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805" yWindow="975" windowWidth="7125" windowHeight="7860" tabRatio="762" firstSheet="4" activeTab="4"/>
  </bookViews>
  <sheets>
    <sheet name="caratula" sheetId="34" r:id="rId1"/>
    <sheet name="Información Macroeconómica" sheetId="62" state="hidden" r:id="rId2"/>
    <sheet name="Personal y KMS Recorridos" sheetId="66" state="hidden" r:id="rId3"/>
    <sheet name="Premisas Presupuesto 2014" sheetId="55" r:id="rId4"/>
    <sheet name="Edo.Res.detalle" sheetId="82" r:id="rId5"/>
    <sheet name="Gastos de Operación" sheetId="86" r:id="rId6"/>
    <sheet name="Vol e Ingresos 2014" sheetId="73" r:id="rId7"/>
    <sheet name="Presupuesto Otros" sheetId="83" r:id="rId8"/>
    <sheet name="Gtos Transp 2014" sheetId="76" r:id="rId9"/>
    <sheet name="Gtos Mtto 2014" sheetId="81" r:id="rId10"/>
    <sheet name="Gtos Transp 2014 (Otros)" sheetId="84" r:id="rId11"/>
    <sheet name="Gtos Mtto 2014 (Otros)" sheetId="85" r:id="rId12"/>
    <sheet name="Información Op. 2013" sheetId="72" r:id="rId13"/>
    <sheet name="Costo op 2013" sheetId="79" r:id="rId14"/>
    <sheet name="Cat. cuentas" sheetId="78" state="hidden" r:id="rId15"/>
    <sheet name="Depreciación 2013" sheetId="75" state="hidden" r:id="rId16"/>
    <sheet name="Hoja1" sheetId="87" r:id="rId17"/>
  </sheets>
  <externalReferences>
    <externalReference r:id="rId18"/>
    <externalReference r:id="rId19"/>
    <externalReference r:id="rId20"/>
    <externalReference r:id="rId21"/>
  </externalReferences>
  <definedNames>
    <definedName name="_xlnm.Print_Area" localSheetId="13">'Costo op 2013'!$A$13:$B$114</definedName>
    <definedName name="_xlnm.Print_Area" localSheetId="4">Edo.Res.detalle!$A$1:$O$35</definedName>
    <definedName name="_xlnm.Print_Area" localSheetId="5">'Gastos de Operación'!$B$92:$R$147</definedName>
    <definedName name="IMSSP">'[1]Sueldos 2008'!$C$109</definedName>
    <definedName name="IncrementoTarifa" localSheetId="13">'Premisas Presupuesto 2014'!$C$9</definedName>
    <definedName name="IncrementoTarifa" localSheetId="4">'[2]Premisas Presupuesto 2013'!$C$12</definedName>
    <definedName name="IncrementoTarifa" localSheetId="9">'[3]Premisas Presupuesto 2013'!$C$9</definedName>
    <definedName name="IncrementoTarifa" localSheetId="11">'[3]Premisas Presupuesto 2013'!$C$9</definedName>
    <definedName name="IncrementoTarifa">'Premisas Presupuesto 2014'!$C$9</definedName>
    <definedName name="IngPorKm" localSheetId="13">'Premisas Presupuesto 2014'!#REF!</definedName>
    <definedName name="IngPorKm" localSheetId="4">'[2]Premisas Presupuesto 2013'!#REF!</definedName>
    <definedName name="IngPorKm" localSheetId="9">'[3]Premisas Presupuesto 2013'!#REF!</definedName>
    <definedName name="IngPorKm" localSheetId="11">'[3]Premisas Presupuesto 2013'!#REF!</definedName>
    <definedName name="IngPorKm" localSheetId="10">'Premisas Presupuesto 2014'!#REF!</definedName>
    <definedName name="IngPorKm">'Premisas Presupuesto 2014'!#REF!</definedName>
    <definedName name="Ingresos_por_viaje" localSheetId="13">'Premisas Presupuesto 2014'!#REF!</definedName>
    <definedName name="Ingresos_por_viaje" localSheetId="4">'[2]Premisas Presupuesto 2013'!#REF!</definedName>
    <definedName name="Ingresos_por_viaje" localSheetId="9">'[3]Premisas Presupuesto 2013'!#REF!</definedName>
    <definedName name="Ingresos_por_viaje" localSheetId="11">'[3]Premisas Presupuesto 2013'!#REF!</definedName>
    <definedName name="Ingresos_por_viaje" localSheetId="10">'Premisas Presupuesto 2014'!#REF!</definedName>
    <definedName name="Ingresos_por_viaje">'Premisas Presupuesto 2014'!#REF!</definedName>
    <definedName name="IngresosPresup" localSheetId="4">#REF!</definedName>
    <definedName name="IngresosPresup" localSheetId="9">#REF!</definedName>
    <definedName name="IngresosPresup" localSheetId="11">#REF!</definedName>
    <definedName name="IngresosPresup" localSheetId="10">#REF!</definedName>
    <definedName name="IngresosPresup">#REF!</definedName>
    <definedName name="Km_Por_viaje" localSheetId="13">'Premisas Presupuesto 2014'!#REF!</definedName>
    <definedName name="Km_Por_viaje" localSheetId="4">'[2]Premisas Presupuesto 2013'!#REF!</definedName>
    <definedName name="Km_Por_viaje" localSheetId="9">'[3]Premisas Presupuesto 2013'!#REF!</definedName>
    <definedName name="Km_Por_viaje" localSheetId="11">'[3]Premisas Presupuesto 2013'!#REF!</definedName>
    <definedName name="Km_Por_viaje" localSheetId="10">'Premisas Presupuesto 2014'!#REF!</definedName>
    <definedName name="Km_Por_viaje">'Premisas Presupuesto 2014'!#REF!</definedName>
    <definedName name="MESACUMULADO" localSheetId="4">Edo.Res.detalle!$G$3</definedName>
    <definedName name="MESACUMULADO" localSheetId="9">#REF!</definedName>
    <definedName name="MESACUMULADO" localSheetId="11">#REF!</definedName>
    <definedName name="MESACUMULADO" localSheetId="10">#REF!</definedName>
    <definedName name="MESACUMULADO">#REF!</definedName>
    <definedName name="rendi">[1]VOLUMENES!$D$196</definedName>
    <definedName name="Toneladas_por_viaje" localSheetId="13">'Premisas Presupuesto 2014'!#REF!</definedName>
    <definedName name="Toneladas_por_viaje" localSheetId="4">'[2]Premisas Presupuesto 2013'!#REF!</definedName>
    <definedName name="Toneladas_por_viaje" localSheetId="9">'[3]Premisas Presupuesto 2013'!#REF!</definedName>
    <definedName name="Toneladas_por_viaje" localSheetId="11">'[3]Premisas Presupuesto 2013'!#REF!</definedName>
    <definedName name="Toneladas_por_viaje" localSheetId="10">'Premisas Presupuesto 2014'!#REF!</definedName>
    <definedName name="Toneladas_por_viaje">'Premisas Presupuesto 2014'!#REF!</definedName>
    <definedName name="VolumenAjustado" localSheetId="4">#REF!</definedName>
    <definedName name="VolumenAjustado" localSheetId="9">#REF!</definedName>
    <definedName name="VolumenAjustado" localSheetId="11">#REF!</definedName>
    <definedName name="VolumenAjustado" localSheetId="10">#REF!</definedName>
    <definedName name="VolumenAjustado">#REF!</definedName>
    <definedName name="Volumenes" localSheetId="4">#REF!</definedName>
    <definedName name="Volumenes" localSheetId="9">#REF!</definedName>
    <definedName name="Volumenes" localSheetId="11">#REF!</definedName>
    <definedName name="Volumenes" localSheetId="10">#REF!</definedName>
    <definedName name="Volumenes">#REF!</definedName>
  </definedNames>
  <calcPr calcId="144525"/>
</workbook>
</file>

<file path=xl/calcChain.xml><?xml version="1.0" encoding="utf-8"?>
<calcChain xmlns="http://schemas.openxmlformats.org/spreadsheetml/2006/main">
  <c r="F3" i="82" l="1"/>
  <c r="P32" i="83" l="1"/>
  <c r="O32" i="83"/>
  <c r="N32" i="83"/>
  <c r="M32" i="83"/>
  <c r="L32" i="83"/>
  <c r="K32" i="83"/>
  <c r="J32" i="83"/>
  <c r="I32" i="83"/>
  <c r="H32" i="83"/>
  <c r="I2" i="82" l="1"/>
  <c r="AJ61" i="85" l="1"/>
  <c r="AI61" i="85"/>
  <c r="AH61" i="85"/>
  <c r="AG61" i="85"/>
  <c r="AF61" i="85"/>
  <c r="AE61" i="85"/>
  <c r="AD61" i="85"/>
  <c r="AC61" i="85"/>
  <c r="AB61" i="85"/>
  <c r="AA61" i="85"/>
  <c r="Z61" i="85"/>
  <c r="Y61" i="85"/>
  <c r="X61" i="85" s="1"/>
  <c r="S61" i="85"/>
  <c r="AJ60" i="85"/>
  <c r="AI60" i="85"/>
  <c r="AH60" i="85"/>
  <c r="AG60" i="85"/>
  <c r="AF60" i="85"/>
  <c r="AE60" i="85"/>
  <c r="AD60" i="85"/>
  <c r="AC60" i="85"/>
  <c r="AB60" i="85"/>
  <c r="AA60" i="85"/>
  <c r="X60" i="85" s="1"/>
  <c r="Z60" i="85"/>
  <c r="Y60" i="85"/>
  <c r="S60" i="85"/>
  <c r="AJ59" i="85"/>
  <c r="AI59" i="85"/>
  <c r="AH59" i="85"/>
  <c r="AG59" i="85"/>
  <c r="AF59" i="85"/>
  <c r="AE59" i="85"/>
  <c r="AD59" i="85"/>
  <c r="AC59" i="85"/>
  <c r="AB59" i="85"/>
  <c r="AA59" i="85"/>
  <c r="Z59" i="85"/>
  <c r="Y59" i="85"/>
  <c r="X59" i="85" s="1"/>
  <c r="S59" i="85"/>
  <c r="AJ58" i="85"/>
  <c r="AI58" i="85"/>
  <c r="AH58" i="85"/>
  <c r="AG58" i="85"/>
  <c r="AF58" i="85"/>
  <c r="AE58" i="85"/>
  <c r="AD58" i="85"/>
  <c r="AC58" i="85"/>
  <c r="AB58" i="85"/>
  <c r="AA58" i="85"/>
  <c r="X58" i="85" s="1"/>
  <c r="Z58" i="85"/>
  <c r="Y58" i="85"/>
  <c r="S58" i="85"/>
  <c r="AJ57" i="85"/>
  <c r="AI57" i="85"/>
  <c r="AH57" i="85"/>
  <c r="AG57" i="85"/>
  <c r="AF57" i="85"/>
  <c r="AE57" i="85"/>
  <c r="AD57" i="85"/>
  <c r="AC57" i="85"/>
  <c r="AB57" i="85"/>
  <c r="AA57" i="85"/>
  <c r="Z57" i="85"/>
  <c r="Y57" i="85"/>
  <c r="X57" i="85" s="1"/>
  <c r="S57" i="85"/>
  <c r="AJ56" i="85"/>
  <c r="AI56" i="85"/>
  <c r="AH56" i="85"/>
  <c r="AG56" i="85"/>
  <c r="AF56" i="85"/>
  <c r="AE56" i="85"/>
  <c r="AD56" i="85"/>
  <c r="AC56" i="85"/>
  <c r="AB56" i="85"/>
  <c r="AA56" i="85"/>
  <c r="X56" i="85" s="1"/>
  <c r="Z56" i="85"/>
  <c r="Y56" i="85"/>
  <c r="S56" i="85"/>
  <c r="AJ55" i="85"/>
  <c r="AI55" i="85"/>
  <c r="AH55" i="85"/>
  <c r="AG55" i="85"/>
  <c r="AF55" i="85"/>
  <c r="AE55" i="85"/>
  <c r="AD55" i="85"/>
  <c r="AC55" i="85"/>
  <c r="AB55" i="85"/>
  <c r="AA55" i="85"/>
  <c r="Z55" i="85"/>
  <c r="Y55" i="85"/>
  <c r="X55" i="85" s="1"/>
  <c r="S55" i="85"/>
  <c r="AJ54" i="85"/>
  <c r="AI54" i="85"/>
  <c r="AH54" i="85"/>
  <c r="AG54" i="85"/>
  <c r="AF54" i="85"/>
  <c r="AE54" i="85"/>
  <c r="AD54" i="85"/>
  <c r="AC54" i="85"/>
  <c r="AB54" i="85"/>
  <c r="AA54" i="85"/>
  <c r="X54" i="85" s="1"/>
  <c r="Z54" i="85"/>
  <c r="Y54" i="85"/>
  <c r="S54" i="85"/>
  <c r="AJ53" i="85"/>
  <c r="AI53" i="85"/>
  <c r="AH53" i="85"/>
  <c r="AG53" i="85"/>
  <c r="AF53" i="85"/>
  <c r="AE53" i="85"/>
  <c r="AD53" i="85"/>
  <c r="AC53" i="85"/>
  <c r="AB53" i="85"/>
  <c r="AA53" i="85"/>
  <c r="Z53" i="85"/>
  <c r="Y53" i="85"/>
  <c r="X53" i="85" s="1"/>
  <c r="S53" i="85"/>
  <c r="AJ52" i="85"/>
  <c r="AI52" i="85"/>
  <c r="AH52" i="85"/>
  <c r="AG52" i="85"/>
  <c r="AF52" i="85"/>
  <c r="AE52" i="85"/>
  <c r="AD52" i="85"/>
  <c r="AC52" i="85"/>
  <c r="AB52" i="85"/>
  <c r="AA52" i="85"/>
  <c r="X52" i="85" s="1"/>
  <c r="Z52" i="85"/>
  <c r="Y52" i="85"/>
  <c r="S52" i="85"/>
  <c r="AJ51" i="85"/>
  <c r="AI51" i="85"/>
  <c r="AH51" i="85"/>
  <c r="AG51" i="85"/>
  <c r="AF51" i="85"/>
  <c r="AE51" i="85"/>
  <c r="AD51" i="85"/>
  <c r="AC51" i="85"/>
  <c r="AB51" i="85"/>
  <c r="AA51" i="85"/>
  <c r="Z51" i="85"/>
  <c r="Y51" i="85"/>
  <c r="X51" i="85" s="1"/>
  <c r="S51" i="85"/>
  <c r="AJ50" i="85"/>
  <c r="AI50" i="85"/>
  <c r="AH50" i="85"/>
  <c r="AG50" i="85"/>
  <c r="AF50" i="85"/>
  <c r="AE50" i="85"/>
  <c r="AD50" i="85"/>
  <c r="AC50" i="85"/>
  <c r="AB50" i="85"/>
  <c r="AA50" i="85"/>
  <c r="X50" i="85" s="1"/>
  <c r="Z50" i="85"/>
  <c r="Y50" i="85"/>
  <c r="S50" i="85"/>
  <c r="AJ49" i="85"/>
  <c r="AI49" i="85"/>
  <c r="AH49" i="85"/>
  <c r="AG49" i="85"/>
  <c r="AF49" i="85"/>
  <c r="AE49" i="85"/>
  <c r="AD49" i="85"/>
  <c r="AC49" i="85"/>
  <c r="AB49" i="85"/>
  <c r="AA49" i="85"/>
  <c r="Z49" i="85"/>
  <c r="Y49" i="85"/>
  <c r="X49" i="85" s="1"/>
  <c r="S49" i="85"/>
  <c r="AJ48" i="85"/>
  <c r="AI48" i="85"/>
  <c r="AH48" i="85"/>
  <c r="AG48" i="85"/>
  <c r="AF48" i="85"/>
  <c r="AE48" i="85"/>
  <c r="AD48" i="85"/>
  <c r="AC48" i="85"/>
  <c r="AB48" i="85"/>
  <c r="AA48" i="85"/>
  <c r="X48" i="85" s="1"/>
  <c r="Z48" i="85"/>
  <c r="Y48" i="85"/>
  <c r="S48" i="85"/>
  <c r="AJ47" i="85"/>
  <c r="AI47" i="85"/>
  <c r="AH47" i="85"/>
  <c r="AG47" i="85"/>
  <c r="AF47" i="85"/>
  <c r="AE47" i="85"/>
  <c r="AD47" i="85"/>
  <c r="AC47" i="85"/>
  <c r="AB47" i="85"/>
  <c r="AA47" i="85"/>
  <c r="Z47" i="85"/>
  <c r="Y47" i="85"/>
  <c r="X47" i="85" s="1"/>
  <c r="S47" i="85"/>
  <c r="AJ46" i="85"/>
  <c r="AI46" i="85"/>
  <c r="AH46" i="85"/>
  <c r="AG46" i="85"/>
  <c r="AF46" i="85"/>
  <c r="AE46" i="85"/>
  <c r="AD46" i="85"/>
  <c r="AC46" i="85"/>
  <c r="AB46" i="85"/>
  <c r="AA46" i="85"/>
  <c r="X46" i="85" s="1"/>
  <c r="Z46" i="85"/>
  <c r="Y46" i="85"/>
  <c r="S46" i="85"/>
  <c r="AJ45" i="85"/>
  <c r="AI45" i="85"/>
  <c r="AH45" i="85"/>
  <c r="AG45" i="85"/>
  <c r="AF45" i="85"/>
  <c r="AE45" i="85"/>
  <c r="AD45" i="85"/>
  <c r="AC45" i="85"/>
  <c r="AB45" i="85"/>
  <c r="AA45" i="85"/>
  <c r="Z45" i="85"/>
  <c r="Y45" i="85"/>
  <c r="X45" i="85" s="1"/>
  <c r="S45" i="85"/>
  <c r="AJ44" i="85"/>
  <c r="AI44" i="85"/>
  <c r="AH44" i="85"/>
  <c r="AG44" i="85"/>
  <c r="AF44" i="85"/>
  <c r="AE44" i="85"/>
  <c r="AD44" i="85"/>
  <c r="AC44" i="85"/>
  <c r="AB44" i="85"/>
  <c r="AA44" i="85"/>
  <c r="X44" i="85" s="1"/>
  <c r="Z44" i="85"/>
  <c r="Y44" i="85"/>
  <c r="S44" i="85"/>
  <c r="AJ43" i="85"/>
  <c r="AI43" i="85"/>
  <c r="AH43" i="85"/>
  <c r="AG43" i="85"/>
  <c r="AF43" i="85"/>
  <c r="AE43" i="85"/>
  <c r="AD43" i="85"/>
  <c r="AC43" i="85"/>
  <c r="AB43" i="85"/>
  <c r="AA43" i="85"/>
  <c r="Z43" i="85"/>
  <c r="Y43" i="85"/>
  <c r="X43" i="85" s="1"/>
  <c r="S43" i="85"/>
  <c r="AJ42" i="85"/>
  <c r="AI42" i="85"/>
  <c r="AH42" i="85"/>
  <c r="AG42" i="85"/>
  <c r="AF42" i="85"/>
  <c r="AE42" i="85"/>
  <c r="AD42" i="85"/>
  <c r="AC42" i="85"/>
  <c r="AB42" i="85"/>
  <c r="AA42" i="85"/>
  <c r="X42" i="85" s="1"/>
  <c r="Z42" i="85"/>
  <c r="Y42" i="85"/>
  <c r="S42" i="85"/>
  <c r="AJ41" i="85"/>
  <c r="AI41" i="85"/>
  <c r="AH41" i="85"/>
  <c r="AG41" i="85"/>
  <c r="AF41" i="85"/>
  <c r="AE41" i="85"/>
  <c r="AD41" i="85"/>
  <c r="AC41" i="85"/>
  <c r="AB41" i="85"/>
  <c r="AA41" i="85"/>
  <c r="Z41" i="85"/>
  <c r="Y41" i="85"/>
  <c r="X41" i="85" s="1"/>
  <c r="S41" i="85"/>
  <c r="AJ40" i="85"/>
  <c r="AI40" i="85"/>
  <c r="AH40" i="85"/>
  <c r="AG40" i="85"/>
  <c r="AF40" i="85"/>
  <c r="AE40" i="85"/>
  <c r="AD40" i="85"/>
  <c r="AC40" i="85"/>
  <c r="AB40" i="85"/>
  <c r="AA40" i="85"/>
  <c r="X40" i="85" s="1"/>
  <c r="Z40" i="85"/>
  <c r="Y40" i="85"/>
  <c r="S40" i="85"/>
  <c r="AJ39" i="85"/>
  <c r="AI39" i="85"/>
  <c r="AH39" i="85"/>
  <c r="AG39" i="85"/>
  <c r="AF39" i="85"/>
  <c r="AE39" i="85"/>
  <c r="AD39" i="85"/>
  <c r="AC39" i="85"/>
  <c r="AB39" i="85"/>
  <c r="AA39" i="85"/>
  <c r="Z39" i="85"/>
  <c r="Y39" i="85"/>
  <c r="X39" i="85" s="1"/>
  <c r="S39" i="85"/>
  <c r="AJ38" i="85"/>
  <c r="AI38" i="85"/>
  <c r="AH38" i="85"/>
  <c r="AG38" i="85"/>
  <c r="AF38" i="85"/>
  <c r="AE38" i="85"/>
  <c r="AD38" i="85"/>
  <c r="AC38" i="85"/>
  <c r="AB38" i="85"/>
  <c r="AA38" i="85"/>
  <c r="X38" i="85" s="1"/>
  <c r="Z38" i="85"/>
  <c r="Y38" i="85"/>
  <c r="S38" i="85"/>
  <c r="AJ37" i="85"/>
  <c r="AI37" i="85"/>
  <c r="AH37" i="85"/>
  <c r="AG37" i="85"/>
  <c r="AF37" i="85"/>
  <c r="AE37" i="85"/>
  <c r="AD37" i="85"/>
  <c r="AC37" i="85"/>
  <c r="AB37" i="85"/>
  <c r="AA37" i="85"/>
  <c r="Z37" i="85"/>
  <c r="Y37" i="85"/>
  <c r="X37" i="85" s="1"/>
  <c r="S37" i="85"/>
  <c r="AJ36" i="85"/>
  <c r="AI36" i="85"/>
  <c r="AH36" i="85"/>
  <c r="AG36" i="85"/>
  <c r="AF36" i="85"/>
  <c r="AE36" i="85"/>
  <c r="AD36" i="85"/>
  <c r="AC36" i="85"/>
  <c r="AB36" i="85"/>
  <c r="AA36" i="85"/>
  <c r="X36" i="85" s="1"/>
  <c r="Z36" i="85"/>
  <c r="Y36" i="85"/>
  <c r="S36" i="85"/>
  <c r="AJ35" i="85"/>
  <c r="AI35" i="85"/>
  <c r="AH35" i="85"/>
  <c r="AG35" i="85"/>
  <c r="AF35" i="85"/>
  <c r="AE35" i="85"/>
  <c r="AD35" i="85"/>
  <c r="AC35" i="85"/>
  <c r="AB35" i="85"/>
  <c r="AA35" i="85"/>
  <c r="Z35" i="85"/>
  <c r="Y35" i="85"/>
  <c r="X35" i="85" s="1"/>
  <c r="S35" i="85"/>
  <c r="AJ34" i="85"/>
  <c r="AI34" i="85"/>
  <c r="AH34" i="85"/>
  <c r="AG34" i="85"/>
  <c r="AF34" i="85"/>
  <c r="AE34" i="85"/>
  <c r="AD34" i="85"/>
  <c r="AC34" i="85"/>
  <c r="AB34" i="85"/>
  <c r="AA34" i="85"/>
  <c r="X34" i="85" s="1"/>
  <c r="Z34" i="85"/>
  <c r="Y34" i="85"/>
  <c r="S34" i="85"/>
  <c r="AJ33" i="85"/>
  <c r="AI33" i="85"/>
  <c r="AH33" i="85"/>
  <c r="AG33" i="85"/>
  <c r="AF33" i="85"/>
  <c r="AE33" i="85"/>
  <c r="AD33" i="85"/>
  <c r="AC33" i="85"/>
  <c r="AB33" i="85"/>
  <c r="AA33" i="85"/>
  <c r="Z33" i="85"/>
  <c r="Y33" i="85"/>
  <c r="X33" i="85" s="1"/>
  <c r="S33" i="85"/>
  <c r="AJ32" i="85"/>
  <c r="AI32" i="85"/>
  <c r="AH32" i="85"/>
  <c r="AG32" i="85"/>
  <c r="AF32" i="85"/>
  <c r="AE32" i="85"/>
  <c r="AD32" i="85"/>
  <c r="AC32" i="85"/>
  <c r="AB32" i="85"/>
  <c r="AA32" i="85"/>
  <c r="X32" i="85" s="1"/>
  <c r="Z32" i="85"/>
  <c r="Y32" i="85"/>
  <c r="S32" i="85"/>
  <c r="AJ31" i="85"/>
  <c r="AI31" i="85"/>
  <c r="AH31" i="85"/>
  <c r="AG31" i="85"/>
  <c r="AF31" i="85"/>
  <c r="AE31" i="85"/>
  <c r="AD31" i="85"/>
  <c r="AC31" i="85"/>
  <c r="AB31" i="85"/>
  <c r="AA31" i="85"/>
  <c r="Z31" i="85"/>
  <c r="Y31" i="85"/>
  <c r="X31" i="85" s="1"/>
  <c r="S31" i="85"/>
  <c r="AJ30" i="85"/>
  <c r="AI30" i="85"/>
  <c r="AH30" i="85"/>
  <c r="AG30" i="85"/>
  <c r="AF30" i="85"/>
  <c r="AE30" i="85"/>
  <c r="AD30" i="85"/>
  <c r="AC30" i="85"/>
  <c r="AB30" i="85"/>
  <c r="AA30" i="85"/>
  <c r="X30" i="85" s="1"/>
  <c r="Z30" i="85"/>
  <c r="Y30" i="85"/>
  <c r="S30" i="85"/>
  <c r="AJ29" i="85"/>
  <c r="AI29" i="85"/>
  <c r="AH29" i="85"/>
  <c r="AG29" i="85"/>
  <c r="AF29" i="85"/>
  <c r="AE29" i="85"/>
  <c r="AD29" i="85"/>
  <c r="AC29" i="85"/>
  <c r="AB29" i="85"/>
  <c r="AA29" i="85"/>
  <c r="Z29" i="85"/>
  <c r="Y29" i="85"/>
  <c r="X29" i="85" s="1"/>
  <c r="S29" i="85"/>
  <c r="AJ28" i="85"/>
  <c r="AI28" i="85"/>
  <c r="AH28" i="85"/>
  <c r="AG28" i="85"/>
  <c r="AF28" i="85"/>
  <c r="AE28" i="85"/>
  <c r="AD28" i="85"/>
  <c r="AC28" i="85"/>
  <c r="AB28" i="85"/>
  <c r="AA28" i="85"/>
  <c r="X28" i="85" s="1"/>
  <c r="Z28" i="85"/>
  <c r="Y28" i="85"/>
  <c r="S28" i="85"/>
  <c r="AJ27" i="85"/>
  <c r="AI27" i="85"/>
  <c r="AH27" i="85"/>
  <c r="AG27" i="85"/>
  <c r="AF27" i="85"/>
  <c r="AE27" i="85"/>
  <c r="AD27" i="85"/>
  <c r="AC27" i="85"/>
  <c r="AB27" i="85"/>
  <c r="AA27" i="85"/>
  <c r="Z27" i="85"/>
  <c r="Y27" i="85"/>
  <c r="X27" i="85" s="1"/>
  <c r="S27" i="85"/>
  <c r="AJ26" i="85"/>
  <c r="AI26" i="85"/>
  <c r="AH26" i="85"/>
  <c r="AG26" i="85"/>
  <c r="AF26" i="85"/>
  <c r="AE26" i="85"/>
  <c r="AD26" i="85"/>
  <c r="AC26" i="85"/>
  <c r="AB26" i="85"/>
  <c r="AA26" i="85"/>
  <c r="X26" i="85" s="1"/>
  <c r="Z26" i="85"/>
  <c r="Y26" i="85"/>
  <c r="S26" i="85"/>
  <c r="AJ25" i="85"/>
  <c r="AI25" i="85"/>
  <c r="AH25" i="85"/>
  <c r="AG25" i="85"/>
  <c r="AF25" i="85"/>
  <c r="AE25" i="85"/>
  <c r="AD25" i="85"/>
  <c r="AC25" i="85"/>
  <c r="AB25" i="85"/>
  <c r="AA25" i="85"/>
  <c r="Z25" i="85"/>
  <c r="Y25" i="85"/>
  <c r="X25" i="85" s="1"/>
  <c r="S25" i="85"/>
  <c r="AJ24" i="85"/>
  <c r="AI24" i="85"/>
  <c r="AH24" i="85"/>
  <c r="AG24" i="85"/>
  <c r="AF24" i="85"/>
  <c r="AE24" i="85"/>
  <c r="AD24" i="85"/>
  <c r="AC24" i="85"/>
  <c r="AB24" i="85"/>
  <c r="AA24" i="85"/>
  <c r="X24" i="85" s="1"/>
  <c r="Z24" i="85"/>
  <c r="Y24" i="85"/>
  <c r="S24" i="85"/>
  <c r="AJ23" i="85"/>
  <c r="AI23" i="85"/>
  <c r="AH23" i="85"/>
  <c r="AG23" i="85"/>
  <c r="AF23" i="85"/>
  <c r="AE23" i="85"/>
  <c r="AD23" i="85"/>
  <c r="AC23" i="85"/>
  <c r="AB23" i="85"/>
  <c r="AA23" i="85"/>
  <c r="Z23" i="85"/>
  <c r="Y23" i="85"/>
  <c r="X23" i="85" s="1"/>
  <c r="S23" i="85"/>
  <c r="AJ22" i="85"/>
  <c r="AI22" i="85"/>
  <c r="AH22" i="85"/>
  <c r="AG22" i="85"/>
  <c r="AF22" i="85"/>
  <c r="AE22" i="85"/>
  <c r="AD22" i="85"/>
  <c r="AC22" i="85"/>
  <c r="AB22" i="85"/>
  <c r="AA22" i="85"/>
  <c r="X22" i="85" s="1"/>
  <c r="Z22" i="85"/>
  <c r="Y22" i="85"/>
  <c r="S22" i="85"/>
  <c r="AJ21" i="85"/>
  <c r="AI21" i="85"/>
  <c r="AH21" i="85"/>
  <c r="AG21" i="85"/>
  <c r="AF21" i="85"/>
  <c r="AE21" i="85"/>
  <c r="AD21" i="85"/>
  <c r="AC21" i="85"/>
  <c r="AB21" i="85"/>
  <c r="AA21" i="85"/>
  <c r="Z21" i="85"/>
  <c r="Y21" i="85"/>
  <c r="X21" i="85" s="1"/>
  <c r="S21" i="85"/>
  <c r="AJ20" i="85"/>
  <c r="AI20" i="85"/>
  <c r="AH20" i="85"/>
  <c r="AG20" i="85"/>
  <c r="AF20" i="85"/>
  <c r="AE20" i="85"/>
  <c r="AD20" i="85"/>
  <c r="AC20" i="85"/>
  <c r="AB20" i="85"/>
  <c r="AA20" i="85"/>
  <c r="X20" i="85" s="1"/>
  <c r="Z20" i="85"/>
  <c r="Y20" i="85"/>
  <c r="S20" i="85"/>
  <c r="AJ19" i="85"/>
  <c r="AI19" i="85"/>
  <c r="AH19" i="85"/>
  <c r="AG19" i="85"/>
  <c r="AF19" i="85"/>
  <c r="AE19" i="85"/>
  <c r="AD19" i="85"/>
  <c r="AC19" i="85"/>
  <c r="AB19" i="85"/>
  <c r="AA19" i="85"/>
  <c r="Z19" i="85"/>
  <c r="Y19" i="85"/>
  <c r="X19" i="85" s="1"/>
  <c r="S19" i="85"/>
  <c r="AJ18" i="85"/>
  <c r="AI18" i="85"/>
  <c r="AH18" i="85"/>
  <c r="AG18" i="85"/>
  <c r="AF18" i="85"/>
  <c r="AE18" i="85"/>
  <c r="AD18" i="85"/>
  <c r="AC18" i="85"/>
  <c r="AB18" i="85"/>
  <c r="AA18" i="85"/>
  <c r="X18" i="85" s="1"/>
  <c r="Z18" i="85"/>
  <c r="Y18" i="85"/>
  <c r="S18" i="85"/>
  <c r="AJ17" i="85"/>
  <c r="AI17" i="85"/>
  <c r="AH17" i="85"/>
  <c r="AG17" i="85"/>
  <c r="AF17" i="85"/>
  <c r="AE17" i="85"/>
  <c r="AD17" i="85"/>
  <c r="AC17" i="85"/>
  <c r="AB17" i="85"/>
  <c r="AA17" i="85"/>
  <c r="Z17" i="85"/>
  <c r="Y17" i="85"/>
  <c r="X17" i="85" s="1"/>
  <c r="S17" i="85"/>
  <c r="AJ16" i="85"/>
  <c r="AI16" i="85"/>
  <c r="AH16" i="85"/>
  <c r="AG16" i="85"/>
  <c r="AF16" i="85"/>
  <c r="AE16" i="85"/>
  <c r="AD16" i="85"/>
  <c r="AC16" i="85"/>
  <c r="AB16" i="85"/>
  <c r="AA16" i="85"/>
  <c r="X16" i="85" s="1"/>
  <c r="Z16" i="85"/>
  <c r="Y16" i="85"/>
  <c r="S16" i="85"/>
  <c r="AJ15" i="85"/>
  <c r="AI15" i="85"/>
  <c r="AH15" i="85"/>
  <c r="AG15" i="85"/>
  <c r="AF15" i="85"/>
  <c r="AE15" i="85"/>
  <c r="AD15" i="85"/>
  <c r="AC15" i="85"/>
  <c r="AB15" i="85"/>
  <c r="AA15" i="85"/>
  <c r="Z15" i="85"/>
  <c r="X15" i="85" s="1"/>
  <c r="Y15" i="85"/>
  <c r="S15" i="85"/>
  <c r="AJ47" i="84"/>
  <c r="AI47" i="84"/>
  <c r="AH47" i="84"/>
  <c r="AG47" i="84"/>
  <c r="AF47" i="84"/>
  <c r="AE47" i="84"/>
  <c r="AD47" i="84"/>
  <c r="AC47" i="84"/>
  <c r="AB47" i="84"/>
  <c r="AA47" i="84"/>
  <c r="Z47" i="84"/>
  <c r="Y47" i="84"/>
  <c r="X47" i="84" s="1"/>
  <c r="S47" i="84"/>
  <c r="AJ46" i="84"/>
  <c r="AI46" i="84"/>
  <c r="AH46" i="84"/>
  <c r="AG46" i="84"/>
  <c r="AF46" i="84"/>
  <c r="AE46" i="84"/>
  <c r="AD46" i="84"/>
  <c r="AC46" i="84"/>
  <c r="AB46" i="84"/>
  <c r="AA46" i="84"/>
  <c r="X46" i="84" s="1"/>
  <c r="Z46" i="84"/>
  <c r="Y46" i="84"/>
  <c r="S46" i="84"/>
  <c r="AJ45" i="84"/>
  <c r="AI45" i="84"/>
  <c r="AH45" i="84"/>
  <c r="AG45" i="84"/>
  <c r="AF45" i="84"/>
  <c r="AE45" i="84"/>
  <c r="AD45" i="84"/>
  <c r="AC45" i="84"/>
  <c r="AB45" i="84"/>
  <c r="AA45" i="84"/>
  <c r="Z45" i="84"/>
  <c r="Y45" i="84"/>
  <c r="X45" i="84" s="1"/>
  <c r="S45" i="84"/>
  <c r="AJ44" i="84"/>
  <c r="AI44" i="84"/>
  <c r="AH44" i="84"/>
  <c r="AG44" i="84"/>
  <c r="AF44" i="84"/>
  <c r="AE44" i="84"/>
  <c r="AD44" i="84"/>
  <c r="AC44" i="84"/>
  <c r="AB44" i="84"/>
  <c r="AA44" i="84"/>
  <c r="X44" i="84" s="1"/>
  <c r="Z44" i="84"/>
  <c r="Y44" i="84"/>
  <c r="S44" i="84"/>
  <c r="AJ43" i="84"/>
  <c r="AI43" i="84"/>
  <c r="AH43" i="84"/>
  <c r="AG43" i="84"/>
  <c r="AF43" i="84"/>
  <c r="AE43" i="84"/>
  <c r="AD43" i="84"/>
  <c r="AC43" i="84"/>
  <c r="AB43" i="84"/>
  <c r="AA43" i="84"/>
  <c r="Z43" i="84"/>
  <c r="Y43" i="84"/>
  <c r="X43" i="84" s="1"/>
  <c r="S43" i="84"/>
  <c r="AJ42" i="84"/>
  <c r="AI42" i="84"/>
  <c r="AH42" i="84"/>
  <c r="AG42" i="84"/>
  <c r="AF42" i="84"/>
  <c r="AE42" i="84"/>
  <c r="AD42" i="84"/>
  <c r="AC42" i="84"/>
  <c r="AB42" i="84"/>
  <c r="AA42" i="84"/>
  <c r="X42" i="84" s="1"/>
  <c r="Z42" i="84"/>
  <c r="Y42" i="84"/>
  <c r="S42" i="84"/>
  <c r="AJ41" i="84"/>
  <c r="AI41" i="84"/>
  <c r="AH41" i="84"/>
  <c r="AG41" i="84"/>
  <c r="AF41" i="84"/>
  <c r="AE41" i="84"/>
  <c r="AD41" i="84"/>
  <c r="AC41" i="84"/>
  <c r="AB41" i="84"/>
  <c r="AA41" i="84"/>
  <c r="Z41" i="84"/>
  <c r="Y41" i="84"/>
  <c r="X41" i="84" s="1"/>
  <c r="S41" i="84"/>
  <c r="AJ40" i="84"/>
  <c r="AI40" i="84"/>
  <c r="AH40" i="84"/>
  <c r="AG40" i="84"/>
  <c r="AF40" i="84"/>
  <c r="AE40" i="84"/>
  <c r="AD40" i="84"/>
  <c r="AC40" i="84"/>
  <c r="AB40" i="84"/>
  <c r="AA40" i="84"/>
  <c r="X40" i="84" s="1"/>
  <c r="Z40" i="84"/>
  <c r="Y40" i="84"/>
  <c r="S40" i="84"/>
  <c r="AJ39" i="84"/>
  <c r="AI39" i="84"/>
  <c r="AH39" i="84"/>
  <c r="AG39" i="84"/>
  <c r="AF39" i="84"/>
  <c r="AE39" i="84"/>
  <c r="AD39" i="84"/>
  <c r="AC39" i="84"/>
  <c r="AB39" i="84"/>
  <c r="AA39" i="84"/>
  <c r="Z39" i="84"/>
  <c r="Y39" i="84"/>
  <c r="X39" i="84" s="1"/>
  <c r="S39" i="84"/>
  <c r="AJ38" i="84"/>
  <c r="AI38" i="84"/>
  <c r="AH38" i="84"/>
  <c r="AG38" i="84"/>
  <c r="AF38" i="84"/>
  <c r="AE38" i="84"/>
  <c r="AD38" i="84"/>
  <c r="AC38" i="84"/>
  <c r="AB38" i="84"/>
  <c r="AA38" i="84"/>
  <c r="X38" i="84" s="1"/>
  <c r="Z38" i="84"/>
  <c r="Y38" i="84"/>
  <c r="S38" i="84"/>
  <c r="AJ37" i="84"/>
  <c r="AI37" i="84"/>
  <c r="AH37" i="84"/>
  <c r="AG37" i="84"/>
  <c r="AF37" i="84"/>
  <c r="AE37" i="84"/>
  <c r="AD37" i="84"/>
  <c r="AC37" i="84"/>
  <c r="AB37" i="84"/>
  <c r="AA37" i="84"/>
  <c r="Z37" i="84"/>
  <c r="Y37" i="84"/>
  <c r="X37" i="84" s="1"/>
  <c r="S37" i="84"/>
  <c r="AJ36" i="84"/>
  <c r="AI36" i="84"/>
  <c r="AH36" i="84"/>
  <c r="AG36" i="84"/>
  <c r="AF36" i="84"/>
  <c r="AE36" i="84"/>
  <c r="AD36" i="84"/>
  <c r="AC36" i="84"/>
  <c r="AB36" i="84"/>
  <c r="AA36" i="84"/>
  <c r="X36" i="84" s="1"/>
  <c r="Z36" i="84"/>
  <c r="Y36" i="84"/>
  <c r="S36" i="84"/>
  <c r="AJ35" i="84"/>
  <c r="AI35" i="84"/>
  <c r="AH35" i="84"/>
  <c r="AG35" i="84"/>
  <c r="AF35" i="84"/>
  <c r="AE35" i="84"/>
  <c r="AD35" i="84"/>
  <c r="AC35" i="84"/>
  <c r="AB35" i="84"/>
  <c r="AA35" i="84"/>
  <c r="Z35" i="84"/>
  <c r="Y35" i="84"/>
  <c r="X35" i="84" s="1"/>
  <c r="S35" i="84"/>
  <c r="AJ34" i="84"/>
  <c r="AI34" i="84"/>
  <c r="AH34" i="84"/>
  <c r="AG34" i="84"/>
  <c r="AF34" i="84"/>
  <c r="AE34" i="84"/>
  <c r="AD34" i="84"/>
  <c r="AC34" i="84"/>
  <c r="AB34" i="84"/>
  <c r="AA34" i="84"/>
  <c r="X34" i="84" s="1"/>
  <c r="Z34" i="84"/>
  <c r="Y34" i="84"/>
  <c r="S34" i="84"/>
  <c r="AJ33" i="84"/>
  <c r="AI33" i="84"/>
  <c r="AH33" i="84"/>
  <c r="AG33" i="84"/>
  <c r="AF33" i="84"/>
  <c r="AE33" i="84"/>
  <c r="AD33" i="84"/>
  <c r="AC33" i="84"/>
  <c r="AB33" i="84"/>
  <c r="AA33" i="84"/>
  <c r="Z33" i="84"/>
  <c r="Y33" i="84"/>
  <c r="X33" i="84" s="1"/>
  <c r="S33" i="84"/>
  <c r="AJ32" i="84"/>
  <c r="AI32" i="84"/>
  <c r="AH32" i="84"/>
  <c r="AG32" i="84"/>
  <c r="AF32" i="84"/>
  <c r="AE32" i="84"/>
  <c r="AD32" i="84"/>
  <c r="AC32" i="84"/>
  <c r="AB32" i="84"/>
  <c r="AA32" i="84"/>
  <c r="X32" i="84" s="1"/>
  <c r="Z32" i="84"/>
  <c r="Y32" i="84"/>
  <c r="S32" i="84"/>
  <c r="AJ31" i="84"/>
  <c r="AI31" i="84"/>
  <c r="AH31" i="84"/>
  <c r="AG31" i="84"/>
  <c r="AF31" i="84"/>
  <c r="AE31" i="84"/>
  <c r="AD31" i="84"/>
  <c r="AC31" i="84"/>
  <c r="AB31" i="84"/>
  <c r="AA31" i="84"/>
  <c r="Z31" i="84"/>
  <c r="Y31" i="84"/>
  <c r="X31" i="84" s="1"/>
  <c r="S31" i="84"/>
  <c r="AJ30" i="84"/>
  <c r="AI30" i="84"/>
  <c r="AH30" i="84"/>
  <c r="AG30" i="84"/>
  <c r="AF30" i="84"/>
  <c r="AE30" i="84"/>
  <c r="AD30" i="84"/>
  <c r="AC30" i="84"/>
  <c r="AB30" i="84"/>
  <c r="AA30" i="84"/>
  <c r="X30" i="84" s="1"/>
  <c r="Z30" i="84"/>
  <c r="Y30" i="84"/>
  <c r="S30" i="84"/>
  <c r="AJ29" i="84"/>
  <c r="AI29" i="84"/>
  <c r="AH29" i="84"/>
  <c r="AG29" i="84"/>
  <c r="AF29" i="84"/>
  <c r="AE29" i="84"/>
  <c r="AD29" i="84"/>
  <c r="AC29" i="84"/>
  <c r="AB29" i="84"/>
  <c r="AA29" i="84"/>
  <c r="Z29" i="84"/>
  <c r="Y29" i="84"/>
  <c r="X29" i="84" s="1"/>
  <c r="S29" i="84"/>
  <c r="AJ28" i="84"/>
  <c r="AI28" i="84"/>
  <c r="AH28" i="84"/>
  <c r="AG28" i="84"/>
  <c r="AF28" i="84"/>
  <c r="AE28" i="84"/>
  <c r="AD28" i="84"/>
  <c r="AC28" i="84"/>
  <c r="AB28" i="84"/>
  <c r="AA28" i="84"/>
  <c r="X28" i="84" s="1"/>
  <c r="Z28" i="84"/>
  <c r="Y28" i="84"/>
  <c r="S28" i="84"/>
  <c r="AJ27" i="84"/>
  <c r="AI27" i="84"/>
  <c r="AH27" i="84"/>
  <c r="AG27" i="84"/>
  <c r="AF27" i="84"/>
  <c r="AE27" i="84"/>
  <c r="AD27" i="84"/>
  <c r="AC27" i="84"/>
  <c r="AB27" i="84"/>
  <c r="AA27" i="84"/>
  <c r="Z27" i="84"/>
  <c r="Y27" i="84"/>
  <c r="X27" i="84" s="1"/>
  <c r="S27" i="84"/>
  <c r="AJ26" i="84"/>
  <c r="AI26" i="84"/>
  <c r="AH26" i="84"/>
  <c r="AG26" i="84"/>
  <c r="AF26" i="84"/>
  <c r="AE26" i="84"/>
  <c r="AD26" i="84"/>
  <c r="AC26" i="84"/>
  <c r="AB26" i="84"/>
  <c r="AA26" i="84"/>
  <c r="X26" i="84" s="1"/>
  <c r="Z26" i="84"/>
  <c r="Y26" i="84"/>
  <c r="S26" i="84"/>
  <c r="AJ25" i="84"/>
  <c r="AI25" i="84"/>
  <c r="AH25" i="84"/>
  <c r="AG25" i="84"/>
  <c r="AF25" i="84"/>
  <c r="AE25" i="84"/>
  <c r="AD25" i="84"/>
  <c r="AC25" i="84"/>
  <c r="AB25" i="84"/>
  <c r="AA25" i="84"/>
  <c r="Z25" i="84"/>
  <c r="Y25" i="84"/>
  <c r="X25" i="84" s="1"/>
  <c r="S25" i="84"/>
  <c r="AJ24" i="84"/>
  <c r="AI24" i="84"/>
  <c r="AH24" i="84"/>
  <c r="AG24" i="84"/>
  <c r="AF24" i="84"/>
  <c r="AE24" i="84"/>
  <c r="AD24" i="84"/>
  <c r="AC24" i="84"/>
  <c r="AB24" i="84"/>
  <c r="AA24" i="84"/>
  <c r="X24" i="84" s="1"/>
  <c r="Z24" i="84"/>
  <c r="Y24" i="84"/>
  <c r="S24" i="84"/>
  <c r="AJ23" i="84"/>
  <c r="AI23" i="84"/>
  <c r="AH23" i="84"/>
  <c r="AG23" i="84"/>
  <c r="AF23" i="84"/>
  <c r="AE23" i="84"/>
  <c r="AD23" i="84"/>
  <c r="AC23" i="84"/>
  <c r="AB23" i="84"/>
  <c r="AA23" i="84"/>
  <c r="Z23" i="84"/>
  <c r="Y23" i="84"/>
  <c r="X23" i="84" s="1"/>
  <c r="S23" i="84"/>
  <c r="AJ22" i="84"/>
  <c r="AI22" i="84"/>
  <c r="AH22" i="84"/>
  <c r="AG22" i="84"/>
  <c r="AF22" i="84"/>
  <c r="AE22" i="84"/>
  <c r="AD22" i="84"/>
  <c r="AC22" i="84"/>
  <c r="AB22" i="84"/>
  <c r="AA22" i="84"/>
  <c r="X22" i="84" s="1"/>
  <c r="Z22" i="84"/>
  <c r="Y22" i="84"/>
  <c r="S22" i="84"/>
  <c r="AJ21" i="84"/>
  <c r="AI21" i="84"/>
  <c r="AH21" i="84"/>
  <c r="AG21" i="84"/>
  <c r="AF21" i="84"/>
  <c r="AE21" i="84"/>
  <c r="AD21" i="84"/>
  <c r="AC21" i="84"/>
  <c r="AB21" i="84"/>
  <c r="AA21" i="84"/>
  <c r="Z21" i="84"/>
  <c r="Y21" i="84"/>
  <c r="X21" i="84" s="1"/>
  <c r="S21" i="84"/>
  <c r="AJ20" i="84"/>
  <c r="AI20" i="84"/>
  <c r="AH20" i="84"/>
  <c r="AG20" i="84"/>
  <c r="AF20" i="84"/>
  <c r="AE20" i="84"/>
  <c r="AD20" i="84"/>
  <c r="AC20" i="84"/>
  <c r="AB20" i="84"/>
  <c r="AA20" i="84"/>
  <c r="X20" i="84" s="1"/>
  <c r="Z20" i="84"/>
  <c r="Y20" i="84"/>
  <c r="S20" i="84"/>
  <c r="AJ19" i="84"/>
  <c r="AI19" i="84"/>
  <c r="AH19" i="84"/>
  <c r="AG19" i="84"/>
  <c r="AF19" i="84"/>
  <c r="AE19" i="84"/>
  <c r="AD19" i="84"/>
  <c r="AC19" i="84"/>
  <c r="AB19" i="84"/>
  <c r="AA19" i="84"/>
  <c r="Z19" i="84"/>
  <c r="Y19" i="84"/>
  <c r="X19" i="84" s="1"/>
  <c r="S19" i="84"/>
  <c r="AJ18" i="84"/>
  <c r="AI18" i="84"/>
  <c r="AH18" i="84"/>
  <c r="AG18" i="84"/>
  <c r="AF18" i="84"/>
  <c r="AE18" i="84"/>
  <c r="AD18" i="84"/>
  <c r="AC18" i="84"/>
  <c r="AB18" i="84"/>
  <c r="AA18" i="84"/>
  <c r="X18" i="84" s="1"/>
  <c r="Z18" i="84"/>
  <c r="Y18" i="84"/>
  <c r="S18" i="84"/>
  <c r="AJ17" i="84"/>
  <c r="AI17" i="84"/>
  <c r="AH17" i="84"/>
  <c r="AG17" i="84"/>
  <c r="AF17" i="84"/>
  <c r="AE17" i="84"/>
  <c r="AD17" i="84"/>
  <c r="AC17" i="84"/>
  <c r="AB17" i="84"/>
  <c r="AA17" i="84"/>
  <c r="Z17" i="84"/>
  <c r="Y17" i="84"/>
  <c r="X17" i="84" s="1"/>
  <c r="S17" i="84"/>
  <c r="AJ16" i="84"/>
  <c r="AI16" i="84"/>
  <c r="AH16" i="84"/>
  <c r="AG16" i="84"/>
  <c r="AF16" i="84"/>
  <c r="AE16" i="84"/>
  <c r="AD16" i="84"/>
  <c r="AC16" i="84"/>
  <c r="AB16" i="84"/>
  <c r="AA16" i="84"/>
  <c r="X16" i="84" s="1"/>
  <c r="Z16" i="84"/>
  <c r="Y16" i="84"/>
  <c r="S16" i="84"/>
  <c r="AJ15" i="84"/>
  <c r="AI15" i="84"/>
  <c r="AH15" i="84"/>
  <c r="AG15" i="84"/>
  <c r="AF15" i="84"/>
  <c r="AE15" i="84"/>
  <c r="AD15" i="84"/>
  <c r="AC15" i="84"/>
  <c r="AB15" i="84"/>
  <c r="AA15" i="84"/>
  <c r="Z15" i="84"/>
  <c r="X15" i="84" s="1"/>
  <c r="Y15" i="84"/>
  <c r="S15" i="84"/>
  <c r="AJ10" i="84"/>
  <c r="AI10" i="84"/>
  <c r="AH10" i="84"/>
  <c r="AG10" i="84"/>
  <c r="AF10" i="84"/>
  <c r="AE10" i="84"/>
  <c r="AD10" i="84"/>
  <c r="AC10" i="84"/>
  <c r="AB10" i="84"/>
  <c r="AA10" i="84"/>
  <c r="Z10" i="84"/>
  <c r="Y10" i="84"/>
  <c r="X10" i="84" s="1"/>
  <c r="S10" i="84"/>
  <c r="AJ9" i="84"/>
  <c r="AI9" i="84"/>
  <c r="AH9" i="84"/>
  <c r="AG9" i="84"/>
  <c r="AF9" i="84"/>
  <c r="AE9" i="84"/>
  <c r="AD9" i="84"/>
  <c r="AC9" i="84"/>
  <c r="AB9" i="84"/>
  <c r="AA9" i="84"/>
  <c r="Z9" i="84"/>
  <c r="X9" i="84" s="1"/>
  <c r="Y9" i="84"/>
  <c r="S9" i="84"/>
  <c r="AJ8" i="84"/>
  <c r="AI8" i="84"/>
  <c r="AH8" i="84"/>
  <c r="AG8" i="84"/>
  <c r="AF8" i="84"/>
  <c r="AE8" i="84"/>
  <c r="AD8" i="84"/>
  <c r="AC8" i="84"/>
  <c r="AB8" i="84"/>
  <c r="AA8" i="84"/>
  <c r="Z8" i="84"/>
  <c r="Y8" i="84"/>
  <c r="X8" i="84" s="1"/>
  <c r="S8" i="84"/>
  <c r="BC18" i="82" l="1"/>
  <c r="BB18" i="82"/>
  <c r="BA18" i="82"/>
  <c r="AZ18" i="82"/>
  <c r="AY18" i="82"/>
  <c r="AX18" i="82"/>
  <c r="AW18" i="82"/>
  <c r="AV18" i="82"/>
  <c r="AU18" i="82"/>
  <c r="AT18" i="82"/>
  <c r="AS18" i="82"/>
  <c r="AR18" i="82"/>
  <c r="BC17" i="82"/>
  <c r="BB17" i="82"/>
  <c r="BA17" i="82"/>
  <c r="AZ17" i="82"/>
  <c r="AY17" i="82"/>
  <c r="AX17" i="82"/>
  <c r="AW17" i="82"/>
  <c r="AV17" i="82"/>
  <c r="AU17" i="82"/>
  <c r="AT17" i="82"/>
  <c r="AS17" i="82"/>
  <c r="AR17" i="82"/>
  <c r="BC16" i="82"/>
  <c r="BB16" i="82"/>
  <c r="BA16" i="82"/>
  <c r="AZ16" i="82"/>
  <c r="AY16" i="82"/>
  <c r="AX16" i="82"/>
  <c r="AW16" i="82"/>
  <c r="AV16" i="82"/>
  <c r="AU16" i="82"/>
  <c r="AT16" i="82"/>
  <c r="AS16" i="82"/>
  <c r="AR16" i="82"/>
  <c r="AQ17" i="82" l="1"/>
  <c r="AJ10" i="76"/>
  <c r="AI10" i="76"/>
  <c r="AH10" i="76"/>
  <c r="AG10" i="76"/>
  <c r="AF10" i="76"/>
  <c r="AE10" i="76"/>
  <c r="AD10" i="76"/>
  <c r="AC10" i="76"/>
  <c r="AB10" i="76"/>
  <c r="AA10" i="76"/>
  <c r="Z10" i="76"/>
  <c r="Y10" i="76"/>
  <c r="X10" i="76" s="1"/>
  <c r="AJ9" i="76"/>
  <c r="AI9" i="76"/>
  <c r="AH9" i="76"/>
  <c r="AG9" i="76"/>
  <c r="AF9" i="76"/>
  <c r="AE9" i="76"/>
  <c r="AD9" i="76"/>
  <c r="AC9" i="76"/>
  <c r="AB9" i="76"/>
  <c r="AA9" i="76"/>
  <c r="Z9" i="76"/>
  <c r="Y9" i="76"/>
  <c r="X9" i="76" s="1"/>
  <c r="AJ8" i="76"/>
  <c r="AI8" i="76"/>
  <c r="AH8" i="76"/>
  <c r="AG8" i="76"/>
  <c r="AF8" i="76"/>
  <c r="AE8" i="76"/>
  <c r="AD8" i="76"/>
  <c r="AC8" i="76"/>
  <c r="AB8" i="76"/>
  <c r="AA8" i="76"/>
  <c r="Z8" i="76"/>
  <c r="Y8" i="76"/>
  <c r="X8" i="76" s="1"/>
  <c r="S10" i="76"/>
  <c r="S9" i="76"/>
  <c r="S8" i="76"/>
  <c r="AQ18" i="82" l="1"/>
  <c r="AQ16" i="82"/>
  <c r="P67" i="81"/>
  <c r="AJ61" i="81"/>
  <c r="AI61" i="81"/>
  <c r="AH61" i="81"/>
  <c r="AG61" i="81"/>
  <c r="AF61" i="81"/>
  <c r="AE61" i="81"/>
  <c r="AD61" i="81"/>
  <c r="AC61" i="81"/>
  <c r="AB61" i="81"/>
  <c r="AA61" i="81"/>
  <c r="Z61" i="81"/>
  <c r="Y61" i="81"/>
  <c r="X61" i="81" s="1"/>
  <c r="S61" i="81"/>
  <c r="S60" i="81"/>
  <c r="AJ59" i="81"/>
  <c r="AI59" i="81"/>
  <c r="AH59" i="81"/>
  <c r="AG59" i="81"/>
  <c r="AF59" i="81"/>
  <c r="AE59" i="81"/>
  <c r="AD59" i="81"/>
  <c r="AC59" i="81"/>
  <c r="AB59" i="81"/>
  <c r="AA59" i="81"/>
  <c r="Z59" i="81"/>
  <c r="Y59" i="81"/>
  <c r="S59" i="81"/>
  <c r="AJ58" i="81"/>
  <c r="AI58" i="81"/>
  <c r="AH58" i="81"/>
  <c r="AG58" i="81"/>
  <c r="AF58" i="81"/>
  <c r="AE58" i="81"/>
  <c r="AD58" i="81"/>
  <c r="AC58" i="81"/>
  <c r="AB58" i="81"/>
  <c r="AA58" i="81"/>
  <c r="Z58" i="81"/>
  <c r="Y58" i="81"/>
  <c r="S58" i="81"/>
  <c r="AJ57" i="81"/>
  <c r="AI57" i="81"/>
  <c r="AH57" i="81"/>
  <c r="AG57" i="81"/>
  <c r="AF57" i="81"/>
  <c r="AE57" i="81"/>
  <c r="AD57" i="81"/>
  <c r="AC57" i="81"/>
  <c r="AB57" i="81"/>
  <c r="AA57" i="81"/>
  <c r="Z57" i="81"/>
  <c r="Y57" i="81"/>
  <c r="S57" i="81"/>
  <c r="AJ56" i="81"/>
  <c r="AI56" i="81"/>
  <c r="AH56" i="81"/>
  <c r="AG56" i="81"/>
  <c r="AF56" i="81"/>
  <c r="AE56" i="81"/>
  <c r="AD56" i="81"/>
  <c r="AB56" i="81"/>
  <c r="AA56" i="81"/>
  <c r="Z56" i="81"/>
  <c r="S56" i="81"/>
  <c r="AJ55" i="81"/>
  <c r="AI55" i="81"/>
  <c r="AH55" i="81"/>
  <c r="AG55" i="81"/>
  <c r="AF55" i="81"/>
  <c r="AE55" i="81"/>
  <c r="AD55" i="81"/>
  <c r="AC55" i="81"/>
  <c r="AB55" i="81"/>
  <c r="AA55" i="81"/>
  <c r="Z55" i="81"/>
  <c r="Y55" i="81"/>
  <c r="S55" i="81"/>
  <c r="S54" i="81"/>
  <c r="S53" i="81"/>
  <c r="S52" i="81"/>
  <c r="S51" i="81"/>
  <c r="S50" i="81"/>
  <c r="S49" i="81"/>
  <c r="S48" i="81"/>
  <c r="S47" i="81"/>
  <c r="S46" i="81"/>
  <c r="S45" i="81"/>
  <c r="S44" i="81"/>
  <c r="S43" i="81"/>
  <c r="S42" i="81"/>
  <c r="S41" i="81"/>
  <c r="S40" i="81"/>
  <c r="S39" i="81"/>
  <c r="S38" i="81"/>
  <c r="S37" i="81"/>
  <c r="S36" i="81"/>
  <c r="S35" i="81"/>
  <c r="S34" i="81"/>
  <c r="S31" i="81"/>
  <c r="AJ30" i="81"/>
  <c r="AI30" i="81"/>
  <c r="AH30" i="81"/>
  <c r="AG30" i="81"/>
  <c r="AF30" i="81"/>
  <c r="AE30" i="81"/>
  <c r="AD30" i="81"/>
  <c r="AC30" i="81"/>
  <c r="AB30" i="81"/>
  <c r="AA30" i="81"/>
  <c r="Z30" i="81"/>
  <c r="Y30" i="81"/>
  <c r="S30" i="81"/>
  <c r="S29" i="81"/>
  <c r="AJ28" i="81"/>
  <c r="AI28" i="81"/>
  <c r="AH28" i="81"/>
  <c r="AG28" i="81"/>
  <c r="AF28" i="81"/>
  <c r="AE28" i="81"/>
  <c r="AD28" i="81"/>
  <c r="AC28" i="81"/>
  <c r="AB28" i="81"/>
  <c r="AA28" i="81"/>
  <c r="Z28" i="81"/>
  <c r="Y28" i="81"/>
  <c r="S28" i="81"/>
  <c r="AJ27" i="81"/>
  <c r="AI27" i="81"/>
  <c r="AH27" i="81"/>
  <c r="AG27" i="81"/>
  <c r="AF27" i="81"/>
  <c r="AE27" i="81"/>
  <c r="AD27" i="81"/>
  <c r="AC27" i="81"/>
  <c r="AB27" i="81"/>
  <c r="AA27" i="81"/>
  <c r="Z27" i="81"/>
  <c r="Y27" i="81"/>
  <c r="X27" i="81" s="1"/>
  <c r="S27" i="81"/>
  <c r="AJ26" i="81"/>
  <c r="AI26" i="81"/>
  <c r="AH26" i="81"/>
  <c r="AG26" i="81"/>
  <c r="AF26" i="81"/>
  <c r="AE26" i="81"/>
  <c r="AD26" i="81"/>
  <c r="AC26" i="81"/>
  <c r="AB26" i="81"/>
  <c r="AA26" i="81"/>
  <c r="Z26" i="81"/>
  <c r="Y26" i="81"/>
  <c r="S26" i="81"/>
  <c r="S25" i="81"/>
  <c r="Z24" i="81"/>
  <c r="Y24" i="81"/>
  <c r="S24" i="81"/>
  <c r="S23" i="81"/>
  <c r="AJ22" i="81"/>
  <c r="AI22" i="81"/>
  <c r="AH22" i="81"/>
  <c r="AG22" i="81"/>
  <c r="AF22" i="81"/>
  <c r="AE22" i="81"/>
  <c r="AD22" i="81"/>
  <c r="AC22" i="81"/>
  <c r="AB22" i="81"/>
  <c r="AA22" i="81"/>
  <c r="Z22" i="81"/>
  <c r="Y22" i="81"/>
  <c r="S22" i="81"/>
  <c r="AJ21" i="81"/>
  <c r="AI21" i="81"/>
  <c r="AH21" i="81"/>
  <c r="AG21" i="81"/>
  <c r="AF21" i="81"/>
  <c r="AE21" i="81"/>
  <c r="AD21" i="81"/>
  <c r="AC21" i="81"/>
  <c r="AB21" i="81"/>
  <c r="AA21" i="81"/>
  <c r="Z21" i="81"/>
  <c r="Y21" i="81"/>
  <c r="S21" i="81"/>
  <c r="S20" i="81"/>
  <c r="S19" i="81"/>
  <c r="AJ18" i="81"/>
  <c r="AI18" i="81"/>
  <c r="AH18" i="81"/>
  <c r="AG18" i="81"/>
  <c r="AF18" i="81"/>
  <c r="AE18" i="81"/>
  <c r="AD18" i="81"/>
  <c r="AC18" i="81"/>
  <c r="AB18" i="81"/>
  <c r="AA18" i="81"/>
  <c r="Z18" i="81"/>
  <c r="Y18" i="81"/>
  <c r="S18" i="81"/>
  <c r="S17" i="81"/>
  <c r="AJ16" i="81"/>
  <c r="AI16" i="81"/>
  <c r="AH16" i="81"/>
  <c r="AG16" i="81"/>
  <c r="AF16" i="81"/>
  <c r="AE16" i="81"/>
  <c r="AD16" i="81"/>
  <c r="AC16" i="81"/>
  <c r="AB16" i="81"/>
  <c r="AA16" i="81"/>
  <c r="Z16" i="81"/>
  <c r="Y16" i="81"/>
  <c r="S16" i="81"/>
  <c r="S15" i="81"/>
  <c r="X28" i="81" l="1"/>
  <c r="X18" i="81"/>
  <c r="X22" i="81"/>
  <c r="X16" i="81"/>
  <c r="X57" i="81"/>
  <c r="X21" i="81"/>
  <c r="X55" i="81"/>
  <c r="X59" i="81"/>
  <c r="X26" i="81"/>
  <c r="X30" i="81"/>
  <c r="X58" i="81"/>
  <c r="F152" i="86"/>
  <c r="Q151" i="86"/>
  <c r="Q152" i="86" s="1"/>
  <c r="P151" i="86"/>
  <c r="P152" i="86" s="1"/>
  <c r="O151" i="86"/>
  <c r="O152" i="86" s="1"/>
  <c r="N151" i="86"/>
  <c r="N152" i="86" s="1"/>
  <c r="M151" i="86"/>
  <c r="M152" i="86" s="1"/>
  <c r="L151" i="86"/>
  <c r="L152" i="86" s="1"/>
  <c r="K151" i="86"/>
  <c r="K152" i="86" s="1"/>
  <c r="J151" i="86"/>
  <c r="J152" i="86" s="1"/>
  <c r="I151" i="86"/>
  <c r="I152" i="86" s="1"/>
  <c r="H151" i="86"/>
  <c r="H152" i="86" s="1"/>
  <c r="G151" i="86"/>
  <c r="G152" i="86" s="1"/>
  <c r="Q150" i="86"/>
  <c r="P150" i="86"/>
  <c r="O150" i="86"/>
  <c r="N150" i="86"/>
  <c r="M150" i="86"/>
  <c r="L150" i="86"/>
  <c r="K150" i="86"/>
  <c r="J150" i="86"/>
  <c r="I150" i="86"/>
  <c r="H150" i="86"/>
  <c r="G150" i="86"/>
  <c r="F151" i="86"/>
  <c r="F150" i="86"/>
  <c r="G3" i="82" l="1"/>
  <c r="AH20" i="82" l="1"/>
  <c r="AH12" i="82"/>
  <c r="AH7" i="82"/>
  <c r="AH18" i="82"/>
  <c r="AH11" i="82"/>
  <c r="AH16" i="82"/>
  <c r="AH9" i="82"/>
  <c r="AH13" i="82"/>
  <c r="AH8" i="82"/>
  <c r="AJ33" i="76"/>
  <c r="AI33" i="76"/>
  <c r="AH33" i="76"/>
  <c r="AG33" i="76"/>
  <c r="AF33" i="76"/>
  <c r="AE33" i="76"/>
  <c r="AD33" i="76"/>
  <c r="AC33" i="76"/>
  <c r="AB33" i="76"/>
  <c r="AA33" i="76"/>
  <c r="Z33" i="76"/>
  <c r="X33" i="76" s="1"/>
  <c r="Y33" i="76"/>
  <c r="S33" i="76"/>
  <c r="P50" i="76"/>
  <c r="AJ47" i="76"/>
  <c r="AI47" i="76"/>
  <c r="AH47" i="76"/>
  <c r="AG47" i="76"/>
  <c r="AF47" i="76"/>
  <c r="AE47" i="76"/>
  <c r="AD47" i="76"/>
  <c r="AC47" i="76"/>
  <c r="AB47" i="76"/>
  <c r="AA47" i="76"/>
  <c r="Z47" i="76"/>
  <c r="Y47" i="76"/>
  <c r="X47" i="76" s="1"/>
  <c r="S47" i="76"/>
  <c r="AJ46" i="76"/>
  <c r="AI46" i="76"/>
  <c r="AH46" i="76"/>
  <c r="AG46" i="76"/>
  <c r="AF46" i="76"/>
  <c r="AE46" i="76"/>
  <c r="AD46" i="76"/>
  <c r="AC46" i="76"/>
  <c r="AB46" i="76"/>
  <c r="AA46" i="76"/>
  <c r="X46" i="76" s="1"/>
  <c r="Z46" i="76"/>
  <c r="Y46" i="76"/>
  <c r="S46" i="76"/>
  <c r="AJ45" i="76"/>
  <c r="AI45" i="76"/>
  <c r="AH45" i="76"/>
  <c r="AG45" i="76"/>
  <c r="AF45" i="76"/>
  <c r="AE45" i="76"/>
  <c r="AD45" i="76"/>
  <c r="AC45" i="76"/>
  <c r="AB45" i="76"/>
  <c r="AA45" i="76"/>
  <c r="Z45" i="76"/>
  <c r="Y45" i="76"/>
  <c r="X45" i="76" s="1"/>
  <c r="S45" i="76"/>
  <c r="AJ44" i="76"/>
  <c r="AI44" i="76"/>
  <c r="AH44" i="76"/>
  <c r="AG44" i="76"/>
  <c r="AF44" i="76"/>
  <c r="AE44" i="76"/>
  <c r="AD44" i="76"/>
  <c r="AC44" i="76"/>
  <c r="AB44" i="76"/>
  <c r="AA44" i="76"/>
  <c r="X44" i="76" s="1"/>
  <c r="Z44" i="76"/>
  <c r="Y44" i="76"/>
  <c r="S44" i="76"/>
  <c r="AJ43" i="76"/>
  <c r="AI43" i="76"/>
  <c r="AH43" i="76"/>
  <c r="AG43" i="76"/>
  <c r="AF43" i="76"/>
  <c r="AE43" i="76"/>
  <c r="AD43" i="76"/>
  <c r="AC43" i="76"/>
  <c r="AB43" i="76"/>
  <c r="AA43" i="76"/>
  <c r="Z43" i="76"/>
  <c r="Y43" i="76"/>
  <c r="X43" i="76" s="1"/>
  <c r="S43" i="76"/>
  <c r="AJ42" i="76"/>
  <c r="AI42" i="76"/>
  <c r="AH42" i="76"/>
  <c r="AG42" i="76"/>
  <c r="AF42" i="76"/>
  <c r="AE42" i="76"/>
  <c r="AD42" i="76"/>
  <c r="AC42" i="76"/>
  <c r="AB42" i="76"/>
  <c r="AA42" i="76"/>
  <c r="X42" i="76" s="1"/>
  <c r="Z42" i="76"/>
  <c r="Y42" i="76"/>
  <c r="S42" i="76"/>
  <c r="AJ41" i="76"/>
  <c r="AI41" i="76"/>
  <c r="AH41" i="76"/>
  <c r="AG41" i="76"/>
  <c r="AF41" i="76"/>
  <c r="AE41" i="76"/>
  <c r="AD41" i="76"/>
  <c r="AC41" i="76"/>
  <c r="AB41" i="76"/>
  <c r="AA41" i="76"/>
  <c r="Z41" i="76"/>
  <c r="Y41" i="76"/>
  <c r="X41" i="76" s="1"/>
  <c r="S41" i="76"/>
  <c r="AJ40" i="76"/>
  <c r="AI40" i="76"/>
  <c r="AH40" i="76"/>
  <c r="AG40" i="76"/>
  <c r="AF40" i="76"/>
  <c r="AE40" i="76"/>
  <c r="AD40" i="76"/>
  <c r="AC40" i="76"/>
  <c r="AB40" i="76"/>
  <c r="AA40" i="76"/>
  <c r="X40" i="76" s="1"/>
  <c r="Z40" i="76"/>
  <c r="Y40" i="76"/>
  <c r="S40" i="76"/>
  <c r="AJ39" i="76"/>
  <c r="AI39" i="76"/>
  <c r="AH39" i="76"/>
  <c r="AG39" i="76"/>
  <c r="AF39" i="76"/>
  <c r="AE39" i="76"/>
  <c r="AD39" i="76"/>
  <c r="AC39" i="76"/>
  <c r="AB39" i="76"/>
  <c r="AA39" i="76"/>
  <c r="Z39" i="76"/>
  <c r="Y39" i="76"/>
  <c r="X39" i="76" s="1"/>
  <c r="S39" i="76"/>
  <c r="AJ38" i="76"/>
  <c r="AI38" i="76"/>
  <c r="AH38" i="76"/>
  <c r="AG38" i="76"/>
  <c r="AF38" i="76"/>
  <c r="AE38" i="76"/>
  <c r="AD38" i="76"/>
  <c r="AC38" i="76"/>
  <c r="AB38" i="76"/>
  <c r="AA38" i="76"/>
  <c r="X38" i="76" s="1"/>
  <c r="Z38" i="76"/>
  <c r="Y38" i="76"/>
  <c r="S38" i="76"/>
  <c r="AJ37" i="76"/>
  <c r="AI37" i="76"/>
  <c r="AH37" i="76"/>
  <c r="AG37" i="76"/>
  <c r="AF37" i="76"/>
  <c r="AE37" i="76"/>
  <c r="AD37" i="76"/>
  <c r="AC37" i="76"/>
  <c r="AB37" i="76"/>
  <c r="AA37" i="76"/>
  <c r="Z37" i="76"/>
  <c r="Y37" i="76"/>
  <c r="X37" i="76" s="1"/>
  <c r="S37" i="76"/>
  <c r="AJ32" i="76"/>
  <c r="AI32" i="76"/>
  <c r="AH32" i="76"/>
  <c r="AG32" i="76"/>
  <c r="AF32" i="76"/>
  <c r="AE32" i="76"/>
  <c r="AD32" i="76"/>
  <c r="AC32" i="76"/>
  <c r="AB32" i="76"/>
  <c r="AA32" i="76"/>
  <c r="Z32" i="76"/>
  <c r="Y32" i="76"/>
  <c r="X32" i="76" s="1"/>
  <c r="AJ31" i="76"/>
  <c r="AI31" i="76"/>
  <c r="AH31" i="76"/>
  <c r="AG31" i="76"/>
  <c r="AF31" i="76"/>
  <c r="AE31" i="76"/>
  <c r="AD31" i="76"/>
  <c r="AC31" i="76"/>
  <c r="AB31" i="76"/>
  <c r="AA31" i="76"/>
  <c r="Z31" i="76"/>
  <c r="Y31" i="76"/>
  <c r="X31" i="76" s="1"/>
  <c r="AJ30" i="76"/>
  <c r="AI30" i="76"/>
  <c r="AH30" i="76"/>
  <c r="AG30" i="76"/>
  <c r="AF30" i="76"/>
  <c r="AE30" i="76"/>
  <c r="AD30" i="76"/>
  <c r="AC30" i="76"/>
  <c r="AB30" i="76"/>
  <c r="AA30" i="76"/>
  <c r="Z30" i="76"/>
  <c r="Y30" i="76"/>
  <c r="X30" i="76" s="1"/>
  <c r="AJ29" i="76"/>
  <c r="AI29" i="76"/>
  <c r="AH29" i="76"/>
  <c r="AG29" i="76"/>
  <c r="AF29" i="76"/>
  <c r="AE29" i="76"/>
  <c r="AD29" i="76"/>
  <c r="AC29" i="76"/>
  <c r="AB29" i="76"/>
  <c r="AA29" i="76"/>
  <c r="Z29" i="76"/>
  <c r="Y29" i="76"/>
  <c r="X29" i="76" s="1"/>
  <c r="AJ28" i="76"/>
  <c r="AI28" i="76"/>
  <c r="AH28" i="76"/>
  <c r="AG28" i="76"/>
  <c r="AF28" i="76"/>
  <c r="AE28" i="76"/>
  <c r="AD28" i="76"/>
  <c r="AC28" i="76"/>
  <c r="AB28" i="76"/>
  <c r="AA28" i="76"/>
  <c r="Z28" i="76"/>
  <c r="Y28" i="76"/>
  <c r="X28" i="76" s="1"/>
  <c r="AJ27" i="76"/>
  <c r="AI27" i="76"/>
  <c r="AH27" i="76"/>
  <c r="AG27" i="76"/>
  <c r="AF27" i="76"/>
  <c r="AE27" i="76"/>
  <c r="AD27" i="76"/>
  <c r="AC27" i="76"/>
  <c r="AB27" i="76"/>
  <c r="AA27" i="76"/>
  <c r="Z27" i="76"/>
  <c r="Y27" i="76"/>
  <c r="X27" i="76" s="1"/>
  <c r="AJ26" i="76"/>
  <c r="AI26" i="76"/>
  <c r="AH26" i="76"/>
  <c r="AG26" i="76"/>
  <c r="AF26" i="76"/>
  <c r="AE26" i="76"/>
  <c r="AD26" i="76"/>
  <c r="AC26" i="76"/>
  <c r="AB26" i="76"/>
  <c r="AA26" i="76"/>
  <c r="Z26" i="76"/>
  <c r="Y26" i="76"/>
  <c r="X26" i="76" s="1"/>
  <c r="AJ25" i="76"/>
  <c r="AI25" i="76"/>
  <c r="AH25" i="76"/>
  <c r="AG25" i="76"/>
  <c r="AF25" i="76"/>
  <c r="AE25" i="76"/>
  <c r="AD25" i="76"/>
  <c r="AC25" i="76"/>
  <c r="AB25" i="76"/>
  <c r="AA25" i="76"/>
  <c r="Z25" i="76"/>
  <c r="Y25" i="76"/>
  <c r="X25" i="76" s="1"/>
  <c r="AJ24" i="76"/>
  <c r="AI24" i="76"/>
  <c r="AH24" i="76"/>
  <c r="AG24" i="76"/>
  <c r="AF24" i="76"/>
  <c r="AE24" i="76"/>
  <c r="AD24" i="76"/>
  <c r="AC24" i="76"/>
  <c r="AB24" i="76"/>
  <c r="AA24" i="76"/>
  <c r="Z24" i="76"/>
  <c r="Y24" i="76"/>
  <c r="X24" i="76" s="1"/>
  <c r="AJ23" i="76"/>
  <c r="AI23" i="76"/>
  <c r="AH23" i="76"/>
  <c r="AG23" i="76"/>
  <c r="AF23" i="76"/>
  <c r="AE23" i="76"/>
  <c r="AD23" i="76"/>
  <c r="AC23" i="76"/>
  <c r="AB23" i="76"/>
  <c r="AA23" i="76"/>
  <c r="Z23" i="76"/>
  <c r="Y23" i="76"/>
  <c r="X23" i="76" s="1"/>
  <c r="AJ22" i="76"/>
  <c r="AI22" i="76"/>
  <c r="AH22" i="76"/>
  <c r="AG22" i="76"/>
  <c r="AF22" i="76"/>
  <c r="AE22" i="76"/>
  <c r="AD22" i="76"/>
  <c r="AC22" i="76"/>
  <c r="AB22" i="76"/>
  <c r="AA22" i="76"/>
  <c r="Z22" i="76"/>
  <c r="Y22" i="76"/>
  <c r="X22" i="76" s="1"/>
  <c r="AJ21" i="76"/>
  <c r="AI21" i="76"/>
  <c r="AH21" i="76"/>
  <c r="AG21" i="76"/>
  <c r="AF21" i="76"/>
  <c r="AE21" i="76"/>
  <c r="AD21" i="76"/>
  <c r="AC21" i="76"/>
  <c r="AB21" i="76"/>
  <c r="AA21" i="76"/>
  <c r="Z21" i="76"/>
  <c r="Y21" i="76"/>
  <c r="X21" i="76" s="1"/>
  <c r="AJ20" i="76"/>
  <c r="AI20" i="76"/>
  <c r="AH20" i="76"/>
  <c r="AG20" i="76"/>
  <c r="AF20" i="76"/>
  <c r="AE20" i="76"/>
  <c r="AD20" i="76"/>
  <c r="AC20" i="76"/>
  <c r="AB20" i="76"/>
  <c r="AA20" i="76"/>
  <c r="Z20" i="76"/>
  <c r="Y20" i="76"/>
  <c r="X20" i="76" s="1"/>
  <c r="AJ19" i="76"/>
  <c r="AI19" i="76"/>
  <c r="AH19" i="76"/>
  <c r="AG19" i="76"/>
  <c r="AF19" i="76"/>
  <c r="AE19" i="76"/>
  <c r="AD19" i="76"/>
  <c r="AC19" i="76"/>
  <c r="AB19" i="76"/>
  <c r="AA19" i="76"/>
  <c r="Z19" i="76"/>
  <c r="Y19" i="76"/>
  <c r="X19" i="76" s="1"/>
  <c r="AJ18" i="76"/>
  <c r="AI18" i="76"/>
  <c r="AH18" i="76"/>
  <c r="AG18" i="76"/>
  <c r="AF18" i="76"/>
  <c r="AE18" i="76"/>
  <c r="AD18" i="76"/>
  <c r="AC18" i="76"/>
  <c r="AB18" i="76"/>
  <c r="AA18" i="76"/>
  <c r="Z18" i="76"/>
  <c r="Y18" i="76"/>
  <c r="X18" i="76" s="1"/>
  <c r="AJ17" i="76"/>
  <c r="AI17" i="76"/>
  <c r="AH17" i="76"/>
  <c r="AG17" i="76"/>
  <c r="AF17" i="76"/>
  <c r="AE17" i="76"/>
  <c r="AD17" i="76"/>
  <c r="AC17" i="76"/>
  <c r="AB17" i="76"/>
  <c r="AA17" i="76"/>
  <c r="Z17" i="76"/>
  <c r="Y17" i="76"/>
  <c r="X17" i="76" s="1"/>
  <c r="AJ16" i="76"/>
  <c r="AI16" i="76"/>
  <c r="AH16" i="76"/>
  <c r="AG16" i="76"/>
  <c r="AF16" i="76"/>
  <c r="AE16" i="76"/>
  <c r="AD16" i="76"/>
  <c r="AC16" i="76"/>
  <c r="AB16" i="76"/>
  <c r="AA16" i="76"/>
  <c r="Z16" i="76"/>
  <c r="Y16" i="76"/>
  <c r="X16" i="76" s="1"/>
  <c r="AJ15" i="76"/>
  <c r="AI15" i="76"/>
  <c r="AH15" i="76"/>
  <c r="AG15" i="76"/>
  <c r="AF15" i="76"/>
  <c r="AE15" i="76"/>
  <c r="AD15" i="76"/>
  <c r="AC15" i="76"/>
  <c r="AB15" i="76"/>
  <c r="AA15" i="76"/>
  <c r="Z15" i="76"/>
  <c r="Y15" i="76"/>
  <c r="S32" i="76"/>
  <c r="S31" i="76"/>
  <c r="S30" i="76"/>
  <c r="S29" i="76"/>
  <c r="S28" i="76"/>
  <c r="S27" i="76"/>
  <c r="S26" i="76"/>
  <c r="S25" i="76"/>
  <c r="S24" i="76"/>
  <c r="S23" i="76"/>
  <c r="S22" i="76"/>
  <c r="S21" i="76"/>
  <c r="S20" i="76"/>
  <c r="S19" i="76"/>
  <c r="S18" i="76"/>
  <c r="S17" i="76"/>
  <c r="S16" i="76"/>
  <c r="S15" i="76"/>
  <c r="X15" i="76" l="1"/>
  <c r="O2" i="85"/>
  <c r="N2" i="85"/>
  <c r="M2" i="85"/>
  <c r="L2" i="85"/>
  <c r="K2" i="85"/>
  <c r="J2" i="85"/>
  <c r="I2" i="85"/>
  <c r="H2" i="85"/>
  <c r="G2" i="85"/>
  <c r="F2" i="85"/>
  <c r="E2" i="85"/>
  <c r="D2" i="85"/>
  <c r="D2" i="84"/>
  <c r="O1" i="84"/>
  <c r="N1" i="84"/>
  <c r="M1" i="84"/>
  <c r="L1" i="84"/>
  <c r="K1" i="84"/>
  <c r="J1" i="84"/>
  <c r="I1" i="84"/>
  <c r="H1" i="84"/>
  <c r="G1" i="84"/>
  <c r="F1" i="84"/>
  <c r="E1" i="84"/>
  <c r="D1" i="84"/>
  <c r="D3" i="81"/>
  <c r="O2" i="81"/>
  <c r="N2" i="81"/>
  <c r="M2" i="81"/>
  <c r="L2" i="81"/>
  <c r="K2" i="81"/>
  <c r="J2" i="81"/>
  <c r="I2" i="81"/>
  <c r="H2" i="81"/>
  <c r="G2" i="81"/>
  <c r="F2" i="81"/>
  <c r="E2" i="81"/>
  <c r="D2" i="81"/>
  <c r="F78" i="76"/>
  <c r="F77" i="76"/>
  <c r="F76" i="76"/>
  <c r="F75" i="76"/>
  <c r="F74" i="76"/>
  <c r="F73" i="76"/>
  <c r="F72" i="76"/>
  <c r="F71" i="76"/>
  <c r="F70" i="76"/>
  <c r="F69" i="76"/>
  <c r="F68" i="76"/>
  <c r="F67" i="76"/>
  <c r="D78" i="76"/>
  <c r="D77" i="76"/>
  <c r="D76" i="76"/>
  <c r="D75" i="76"/>
  <c r="D74" i="76"/>
  <c r="D73" i="76"/>
  <c r="D72" i="76"/>
  <c r="D71" i="76"/>
  <c r="D70" i="76"/>
  <c r="D69" i="76"/>
  <c r="E69" i="76" s="1"/>
  <c r="E70" i="76" s="1"/>
  <c r="E71" i="76" s="1"/>
  <c r="E72" i="76" s="1"/>
  <c r="E73" i="76" s="1"/>
  <c r="E74" i="76" s="1"/>
  <c r="E75" i="76" s="1"/>
  <c r="E76" i="76" s="1"/>
  <c r="E77" i="76" s="1"/>
  <c r="E78" i="76" s="1"/>
  <c r="E68" i="76"/>
  <c r="D68" i="76"/>
  <c r="E67" i="76"/>
  <c r="D67" i="76"/>
  <c r="O64" i="76"/>
  <c r="N64" i="76"/>
  <c r="M64" i="76"/>
  <c r="L64" i="76"/>
  <c r="K64" i="76"/>
  <c r="J64" i="76"/>
  <c r="I64" i="76"/>
  <c r="H64" i="76"/>
  <c r="G64" i="76"/>
  <c r="F64" i="76"/>
  <c r="E64" i="76"/>
  <c r="E61" i="76"/>
  <c r="D62" i="76"/>
  <c r="D64" i="76" s="1"/>
  <c r="O59" i="76"/>
  <c r="N59" i="76"/>
  <c r="M59" i="76"/>
  <c r="L59" i="76"/>
  <c r="K59" i="76"/>
  <c r="J59" i="76"/>
  <c r="I59" i="76"/>
  <c r="H59" i="76"/>
  <c r="G59" i="76"/>
  <c r="F59" i="76"/>
  <c r="E59" i="76"/>
  <c r="D59" i="76"/>
  <c r="F61" i="76" l="1"/>
  <c r="E62" i="76"/>
  <c r="F62" i="76" l="1"/>
  <c r="G61" i="76" s="1"/>
  <c r="Q82" i="86"/>
  <c r="P82" i="86"/>
  <c r="O82" i="86"/>
  <c r="N82" i="86"/>
  <c r="M82" i="86"/>
  <c r="L82" i="86"/>
  <c r="K82" i="86"/>
  <c r="J82" i="86"/>
  <c r="I82" i="86"/>
  <c r="H82" i="86"/>
  <c r="G82" i="86"/>
  <c r="F82" i="86"/>
  <c r="D82" i="86"/>
  <c r="G62" i="76" l="1"/>
  <c r="H61" i="76"/>
  <c r="R82" i="86"/>
  <c r="H62" i="76" l="1"/>
  <c r="I61" i="76"/>
  <c r="I62" i="76" s="1"/>
  <c r="J61" i="76" s="1"/>
  <c r="J62" i="76"/>
  <c r="K61" i="76" s="1"/>
  <c r="B4" i="34"/>
  <c r="B4" i="55"/>
  <c r="B4" i="82"/>
  <c r="B4" i="83"/>
  <c r="B4" i="76"/>
  <c r="B4" i="81"/>
  <c r="B4" i="84"/>
  <c r="B4" i="85"/>
  <c r="B4" i="72"/>
  <c r="B4" i="73"/>
  <c r="B4" i="86"/>
  <c r="K62" i="76" l="1"/>
  <c r="L61" i="76" s="1"/>
  <c r="Q136" i="86"/>
  <c r="P136" i="86"/>
  <c r="O136" i="86"/>
  <c r="N136" i="86"/>
  <c r="M136" i="86"/>
  <c r="L136" i="86"/>
  <c r="K136" i="86"/>
  <c r="J136" i="86"/>
  <c r="I136" i="86"/>
  <c r="H136" i="86"/>
  <c r="G136" i="86"/>
  <c r="Q135" i="86"/>
  <c r="P135" i="86"/>
  <c r="O135" i="86"/>
  <c r="N135" i="86"/>
  <c r="M135" i="86"/>
  <c r="L135" i="86"/>
  <c r="K135" i="86"/>
  <c r="J135" i="86"/>
  <c r="I135" i="86"/>
  <c r="H135" i="86"/>
  <c r="G135" i="86"/>
  <c r="F135" i="86"/>
  <c r="Q134" i="86"/>
  <c r="P134" i="86"/>
  <c r="O134" i="86"/>
  <c r="N134" i="86"/>
  <c r="M134" i="86"/>
  <c r="L134" i="86"/>
  <c r="K134" i="86"/>
  <c r="J134" i="86"/>
  <c r="I134" i="86"/>
  <c r="H134" i="86"/>
  <c r="G134" i="86"/>
  <c r="F134" i="86"/>
  <c r="G132" i="86"/>
  <c r="F132" i="86"/>
  <c r="Q130" i="86"/>
  <c r="P130" i="86"/>
  <c r="O130" i="86"/>
  <c r="N130" i="86"/>
  <c r="M130" i="86"/>
  <c r="L130" i="86"/>
  <c r="K130" i="86"/>
  <c r="J130" i="86"/>
  <c r="I130" i="86"/>
  <c r="H130" i="86"/>
  <c r="G130" i="86"/>
  <c r="F130" i="86"/>
  <c r="Q124" i="86"/>
  <c r="P124" i="86"/>
  <c r="O124" i="86"/>
  <c r="N124" i="86"/>
  <c r="M124" i="86"/>
  <c r="L124" i="86"/>
  <c r="K124" i="86"/>
  <c r="J124" i="86"/>
  <c r="I124" i="86"/>
  <c r="H124" i="86"/>
  <c r="G124" i="86"/>
  <c r="F124" i="86"/>
  <c r="Q123" i="86"/>
  <c r="P123" i="86"/>
  <c r="O123" i="86"/>
  <c r="N123" i="86"/>
  <c r="M123" i="86"/>
  <c r="L123" i="86"/>
  <c r="K123" i="86"/>
  <c r="J123" i="86"/>
  <c r="I123" i="86"/>
  <c r="H123" i="86"/>
  <c r="G123" i="86"/>
  <c r="F123" i="86"/>
  <c r="Q122" i="86"/>
  <c r="P122" i="86"/>
  <c r="O122" i="86"/>
  <c r="N122" i="86"/>
  <c r="M122" i="86"/>
  <c r="L122" i="86"/>
  <c r="K122" i="86"/>
  <c r="J122" i="86"/>
  <c r="I122" i="86"/>
  <c r="H122" i="86"/>
  <c r="G122" i="86"/>
  <c r="F122" i="86"/>
  <c r="Q120" i="86"/>
  <c r="P120" i="86"/>
  <c r="O120" i="86"/>
  <c r="N120" i="86"/>
  <c r="M120" i="86"/>
  <c r="L120" i="86"/>
  <c r="K120" i="86"/>
  <c r="J120" i="86"/>
  <c r="I120" i="86"/>
  <c r="H120" i="86"/>
  <c r="G120" i="86"/>
  <c r="F120" i="86"/>
  <c r="Q118" i="86"/>
  <c r="P118" i="86"/>
  <c r="O118" i="86"/>
  <c r="N118" i="86"/>
  <c r="M118" i="86"/>
  <c r="L118" i="86"/>
  <c r="K118" i="86"/>
  <c r="J118" i="86"/>
  <c r="I118" i="86"/>
  <c r="H118" i="86"/>
  <c r="G118" i="86"/>
  <c r="F118" i="86"/>
  <c r="Q114" i="86"/>
  <c r="P114" i="86"/>
  <c r="O114" i="86"/>
  <c r="N114" i="86"/>
  <c r="M114" i="86"/>
  <c r="L114" i="86"/>
  <c r="K114" i="86"/>
  <c r="J114" i="86"/>
  <c r="I114" i="86"/>
  <c r="H114" i="86"/>
  <c r="G114" i="86"/>
  <c r="F114" i="86"/>
  <c r="Q113" i="86"/>
  <c r="P113" i="86"/>
  <c r="O113" i="86"/>
  <c r="N113" i="86"/>
  <c r="M113" i="86"/>
  <c r="L113" i="86"/>
  <c r="K113" i="86"/>
  <c r="J113" i="86"/>
  <c r="I113" i="86"/>
  <c r="H113" i="86"/>
  <c r="G113" i="86"/>
  <c r="F113" i="86"/>
  <c r="Q112" i="86"/>
  <c r="P112" i="86"/>
  <c r="O112" i="86"/>
  <c r="N112" i="86"/>
  <c r="M112" i="86"/>
  <c r="L112" i="86"/>
  <c r="K112" i="86"/>
  <c r="J112" i="86"/>
  <c r="I112" i="86"/>
  <c r="H112" i="86"/>
  <c r="G112" i="86"/>
  <c r="F112" i="86"/>
  <c r="D137" i="86"/>
  <c r="D136" i="86"/>
  <c r="D135" i="86"/>
  <c r="D134" i="86"/>
  <c r="D133" i="86"/>
  <c r="D132" i="86"/>
  <c r="D130" i="86"/>
  <c r="D126" i="86"/>
  <c r="D125" i="86"/>
  <c r="D124" i="86"/>
  <c r="D123" i="86"/>
  <c r="D122" i="86"/>
  <c r="D121" i="86"/>
  <c r="D120" i="86"/>
  <c r="D119" i="86"/>
  <c r="D118" i="86"/>
  <c r="D115" i="86"/>
  <c r="D114" i="86"/>
  <c r="D113" i="86"/>
  <c r="D106" i="86"/>
  <c r="D104" i="86"/>
  <c r="D103" i="86"/>
  <c r="D102" i="86"/>
  <c r="D101" i="86"/>
  <c r="D100" i="86"/>
  <c r="D99" i="86"/>
  <c r="D98" i="86"/>
  <c r="D97" i="86"/>
  <c r="D96" i="86"/>
  <c r="D94" i="86"/>
  <c r="Q80" i="86"/>
  <c r="P80" i="86"/>
  <c r="O80" i="86"/>
  <c r="N80" i="86"/>
  <c r="M80" i="86"/>
  <c r="L80" i="86"/>
  <c r="K80" i="86"/>
  <c r="J80" i="86"/>
  <c r="I80" i="86"/>
  <c r="H80" i="86"/>
  <c r="G80" i="86"/>
  <c r="F80" i="86"/>
  <c r="Q78" i="86"/>
  <c r="P78" i="86"/>
  <c r="O78" i="86"/>
  <c r="N78" i="86"/>
  <c r="M78" i="86"/>
  <c r="L78" i="86"/>
  <c r="K78" i="86"/>
  <c r="J78" i="86"/>
  <c r="I78" i="86"/>
  <c r="H78" i="86"/>
  <c r="G78" i="86"/>
  <c r="F78" i="86"/>
  <c r="Q75" i="86"/>
  <c r="P75" i="86"/>
  <c r="O75" i="86"/>
  <c r="N75" i="86"/>
  <c r="M75" i="86"/>
  <c r="L75" i="86"/>
  <c r="K75" i="86"/>
  <c r="J75" i="86"/>
  <c r="I75" i="86"/>
  <c r="H75" i="86"/>
  <c r="G75" i="86"/>
  <c r="F75" i="86"/>
  <c r="G72" i="86"/>
  <c r="F72" i="86"/>
  <c r="Q70" i="86"/>
  <c r="P70" i="86"/>
  <c r="O70" i="86"/>
  <c r="N70" i="86"/>
  <c r="M70" i="86"/>
  <c r="L70" i="86"/>
  <c r="K70" i="86"/>
  <c r="J70" i="86"/>
  <c r="I70" i="86"/>
  <c r="H70" i="86"/>
  <c r="G70" i="86"/>
  <c r="F70" i="86"/>
  <c r="Q68" i="86"/>
  <c r="P68" i="86"/>
  <c r="O68" i="86"/>
  <c r="N68" i="86"/>
  <c r="M68" i="86"/>
  <c r="L68" i="86"/>
  <c r="K68" i="86"/>
  <c r="J68" i="86"/>
  <c r="I68" i="86"/>
  <c r="H68" i="86"/>
  <c r="G68" i="86"/>
  <c r="F68" i="86"/>
  <c r="Q65" i="86"/>
  <c r="P65" i="86"/>
  <c r="O65" i="86"/>
  <c r="N65" i="86"/>
  <c r="M65" i="86"/>
  <c r="L65" i="86"/>
  <c r="K65" i="86"/>
  <c r="J65" i="86"/>
  <c r="I65" i="86"/>
  <c r="H65" i="86"/>
  <c r="G65" i="86"/>
  <c r="F65" i="86"/>
  <c r="Q60" i="86"/>
  <c r="P60" i="86"/>
  <c r="O60" i="86"/>
  <c r="N60" i="86"/>
  <c r="M60" i="86"/>
  <c r="L60" i="86"/>
  <c r="K60" i="86"/>
  <c r="J60" i="86"/>
  <c r="I60" i="86"/>
  <c r="H60" i="86"/>
  <c r="G60" i="86"/>
  <c r="F60" i="86"/>
  <c r="Q58" i="86"/>
  <c r="P58" i="86"/>
  <c r="O58" i="86"/>
  <c r="N58" i="86"/>
  <c r="M58" i="86"/>
  <c r="L58" i="86"/>
  <c r="K58" i="86"/>
  <c r="J58" i="86"/>
  <c r="I58" i="86"/>
  <c r="H58" i="86"/>
  <c r="G58" i="86"/>
  <c r="F58" i="86"/>
  <c r="D83" i="86"/>
  <c r="D80" i="86"/>
  <c r="D79" i="86"/>
  <c r="D78" i="86"/>
  <c r="D75" i="86"/>
  <c r="D74" i="86"/>
  <c r="D72" i="86"/>
  <c r="D71" i="86"/>
  <c r="D70" i="86"/>
  <c r="D68" i="86"/>
  <c r="D67" i="86"/>
  <c r="D66" i="86"/>
  <c r="D65" i="86"/>
  <c r="D61" i="86"/>
  <c r="D60" i="86"/>
  <c r="D59" i="86"/>
  <c r="Q44" i="86"/>
  <c r="P44" i="86"/>
  <c r="O44" i="86"/>
  <c r="N44" i="86"/>
  <c r="M44" i="86"/>
  <c r="L44" i="86"/>
  <c r="K44" i="86"/>
  <c r="J44" i="86"/>
  <c r="I44" i="86"/>
  <c r="H44" i="86"/>
  <c r="G44" i="86"/>
  <c r="F44" i="86"/>
  <c r="D50" i="86"/>
  <c r="D49" i="86"/>
  <c r="D48" i="86"/>
  <c r="D47" i="86"/>
  <c r="D46" i="86"/>
  <c r="D45" i="86"/>
  <c r="D43" i="86"/>
  <c r="D42" i="86"/>
  <c r="D41" i="86"/>
  <c r="D40" i="86"/>
  <c r="D39" i="86"/>
  <c r="D38" i="86"/>
  <c r="D37" i="86"/>
  <c r="D36" i="86"/>
  <c r="D34" i="86"/>
  <c r="D33" i="86"/>
  <c r="D32" i="86"/>
  <c r="D31" i="86"/>
  <c r="D29" i="86"/>
  <c r="D28" i="86"/>
  <c r="D27" i="86"/>
  <c r="D26" i="86"/>
  <c r="D25" i="86"/>
  <c r="D24" i="86"/>
  <c r="D23" i="86"/>
  <c r="D22" i="86"/>
  <c r="D21" i="86"/>
  <c r="E106" i="86"/>
  <c r="E96" i="86"/>
  <c r="R51" i="86"/>
  <c r="L62" i="76" l="1"/>
  <c r="M61" i="76" s="1"/>
  <c r="R122" i="86"/>
  <c r="R123" i="86"/>
  <c r="R124" i="86"/>
  <c r="R44" i="86"/>
  <c r="R75" i="86"/>
  <c r="R78" i="86"/>
  <c r="R60" i="86"/>
  <c r="R80" i="86"/>
  <c r="R114" i="86"/>
  <c r="R118" i="86"/>
  <c r="R130" i="86"/>
  <c r="R134" i="86"/>
  <c r="R135" i="86"/>
  <c r="R15" i="86"/>
  <c r="R65" i="86"/>
  <c r="R57" i="86"/>
  <c r="R58" i="86"/>
  <c r="R68" i="86"/>
  <c r="R70" i="86"/>
  <c r="R120" i="86"/>
  <c r="M62" i="76" l="1"/>
  <c r="N61" i="76" s="1"/>
  <c r="R14" i="86"/>
  <c r="E54" i="86"/>
  <c r="O10" i="84"/>
  <c r="N10" i="84"/>
  <c r="M10" i="84"/>
  <c r="L10" i="84"/>
  <c r="K10" i="84"/>
  <c r="J10" i="84"/>
  <c r="I10" i="84"/>
  <c r="H10" i="84"/>
  <c r="G10" i="84"/>
  <c r="F10" i="84"/>
  <c r="E10" i="84"/>
  <c r="D10" i="84"/>
  <c r="O9" i="84"/>
  <c r="N9" i="84"/>
  <c r="M9" i="84"/>
  <c r="L9" i="84"/>
  <c r="K9" i="84"/>
  <c r="J9" i="84"/>
  <c r="I9" i="84"/>
  <c r="H9" i="84"/>
  <c r="G9" i="84"/>
  <c r="F9" i="84"/>
  <c r="E9" i="84"/>
  <c r="D9" i="84"/>
  <c r="O9" i="85"/>
  <c r="N9" i="85"/>
  <c r="M9" i="85"/>
  <c r="L9" i="85"/>
  <c r="K9" i="85"/>
  <c r="J9" i="85"/>
  <c r="I9" i="85"/>
  <c r="H9" i="85"/>
  <c r="G9" i="85"/>
  <c r="F9" i="85"/>
  <c r="E9" i="85"/>
  <c r="D9" i="85"/>
  <c r="O8" i="85"/>
  <c r="N8" i="85"/>
  <c r="M8" i="85"/>
  <c r="L8" i="85"/>
  <c r="K8" i="85"/>
  <c r="J8" i="85"/>
  <c r="I8" i="85"/>
  <c r="H8" i="85"/>
  <c r="G8" i="85"/>
  <c r="F8" i="85"/>
  <c r="E8" i="85"/>
  <c r="D8" i="85"/>
  <c r="O14" i="84"/>
  <c r="N14" i="84"/>
  <c r="M14" i="84"/>
  <c r="L14" i="84"/>
  <c r="K14" i="84"/>
  <c r="J14" i="84"/>
  <c r="I14" i="84"/>
  <c r="H14" i="84"/>
  <c r="G14" i="84"/>
  <c r="F14" i="84"/>
  <c r="E14" i="84"/>
  <c r="D14" i="84"/>
  <c r="O62" i="76" l="1"/>
  <c r="N62" i="76"/>
  <c r="O8" i="84"/>
  <c r="N8" i="84"/>
  <c r="M8" i="84"/>
  <c r="M40" i="84" s="1"/>
  <c r="L8" i="84"/>
  <c r="K8" i="84"/>
  <c r="J8" i="84"/>
  <c r="I8" i="84"/>
  <c r="H8" i="84"/>
  <c r="G8" i="84"/>
  <c r="F8" i="84"/>
  <c r="E8" i="84"/>
  <c r="D8" i="84"/>
  <c r="P62" i="85"/>
  <c r="C61" i="85"/>
  <c r="C60" i="85"/>
  <c r="C59" i="85"/>
  <c r="C58" i="85"/>
  <c r="C57" i="85"/>
  <c r="C56" i="85"/>
  <c r="P55" i="85"/>
  <c r="C54" i="85"/>
  <c r="C53" i="85"/>
  <c r="C52" i="85"/>
  <c r="C51" i="85"/>
  <c r="C50" i="85"/>
  <c r="C49" i="85"/>
  <c r="C48" i="85"/>
  <c r="C47" i="85"/>
  <c r="C46" i="85"/>
  <c r="C45" i="85"/>
  <c r="C44" i="85"/>
  <c r="C43" i="85"/>
  <c r="C42" i="85"/>
  <c r="C41" i="85"/>
  <c r="C40" i="85"/>
  <c r="C39" i="85"/>
  <c r="C38" i="85"/>
  <c r="C37" i="85"/>
  <c r="C36" i="85"/>
  <c r="C35" i="85"/>
  <c r="C34" i="85"/>
  <c r="C31" i="85"/>
  <c r="P30" i="85"/>
  <c r="C30" i="85"/>
  <c r="P29" i="85"/>
  <c r="C29" i="85"/>
  <c r="P28" i="85"/>
  <c r="C28" i="85"/>
  <c r="P27" i="85"/>
  <c r="C27" i="85"/>
  <c r="P26" i="85"/>
  <c r="C26" i="85"/>
  <c r="P25" i="85"/>
  <c r="C25" i="85"/>
  <c r="P24" i="85"/>
  <c r="C24" i="85"/>
  <c r="C23" i="85"/>
  <c r="P22" i="85"/>
  <c r="C22" i="85"/>
  <c r="P21" i="85"/>
  <c r="C21" i="85"/>
  <c r="P20" i="85"/>
  <c r="C20" i="85"/>
  <c r="P19" i="85"/>
  <c r="C19" i="85"/>
  <c r="P18" i="85"/>
  <c r="C18" i="85"/>
  <c r="P17" i="85"/>
  <c r="C17" i="85"/>
  <c r="P16" i="85"/>
  <c r="C16" i="85"/>
  <c r="C15" i="85"/>
  <c r="P14" i="85"/>
  <c r="P9" i="85"/>
  <c r="C47" i="84"/>
  <c r="C46" i="84"/>
  <c r="C45" i="84"/>
  <c r="C44" i="84"/>
  <c r="C43" i="84"/>
  <c r="C42" i="84"/>
  <c r="C41" i="84"/>
  <c r="E40" i="84"/>
  <c r="C40" i="84"/>
  <c r="C39" i="84"/>
  <c r="C38" i="84"/>
  <c r="C37" i="84"/>
  <c r="C33" i="84"/>
  <c r="P32" i="84"/>
  <c r="C32" i="84"/>
  <c r="P31" i="84"/>
  <c r="C31" i="84"/>
  <c r="P30" i="84"/>
  <c r="C30" i="84"/>
  <c r="P29" i="84"/>
  <c r="C29" i="84"/>
  <c r="P28" i="84"/>
  <c r="C28" i="84"/>
  <c r="C27" i="84"/>
  <c r="P26" i="84"/>
  <c r="C26" i="84"/>
  <c r="P25" i="84"/>
  <c r="C25" i="84"/>
  <c r="P24" i="84"/>
  <c r="C24" i="84"/>
  <c r="P23" i="84"/>
  <c r="C23" i="84"/>
  <c r="P22" i="84"/>
  <c r="C22" i="84"/>
  <c r="P21" i="84"/>
  <c r="C21" i="84"/>
  <c r="P20" i="84"/>
  <c r="C20" i="84"/>
  <c r="P19" i="84"/>
  <c r="C19" i="84"/>
  <c r="P18" i="84"/>
  <c r="C18" i="84"/>
  <c r="C17" i="84"/>
  <c r="P16" i="84"/>
  <c r="C16" i="84"/>
  <c r="P15" i="84"/>
  <c r="C15" i="84"/>
  <c r="P14" i="84"/>
  <c r="P10" i="84"/>
  <c r="P9" i="84"/>
  <c r="R16" i="86" l="1"/>
  <c r="P27" i="84"/>
  <c r="M34" i="84"/>
  <c r="I40" i="84"/>
  <c r="I34" i="84"/>
  <c r="E34" i="84"/>
  <c r="F32" i="85"/>
  <c r="N32" i="85"/>
  <c r="L32" i="85"/>
  <c r="P8" i="85"/>
  <c r="E32" i="85"/>
  <c r="I32" i="85"/>
  <c r="M32" i="85"/>
  <c r="H32" i="85"/>
  <c r="P15" i="85"/>
  <c r="J32" i="85"/>
  <c r="G34" i="84"/>
  <c r="K34" i="84"/>
  <c r="O34" i="84"/>
  <c r="F40" i="84"/>
  <c r="J40" i="84"/>
  <c r="N40" i="84"/>
  <c r="F34" i="84"/>
  <c r="J34" i="84"/>
  <c r="N34" i="84"/>
  <c r="P8" i="84"/>
  <c r="H34" i="84"/>
  <c r="L34" i="84"/>
  <c r="G40" i="84"/>
  <c r="K40" i="84"/>
  <c r="O40" i="84"/>
  <c r="P17" i="84"/>
  <c r="H40" i="84"/>
  <c r="L40" i="84"/>
  <c r="P41" i="75"/>
  <c r="O41" i="75"/>
  <c r="N41" i="75"/>
  <c r="M41" i="75"/>
  <c r="L41" i="75"/>
  <c r="K41" i="75"/>
  <c r="J41" i="75"/>
  <c r="I41" i="75"/>
  <c r="H41" i="75"/>
  <c r="G41" i="75"/>
  <c r="F41" i="75"/>
  <c r="E41" i="75"/>
  <c r="D41" i="75"/>
  <c r="P40" i="75"/>
  <c r="O40" i="75"/>
  <c r="N40" i="75"/>
  <c r="M40" i="75"/>
  <c r="L40" i="75"/>
  <c r="K40" i="75"/>
  <c r="J40" i="75"/>
  <c r="I40" i="75"/>
  <c r="H40" i="75"/>
  <c r="G40" i="75"/>
  <c r="F40" i="75"/>
  <c r="E40" i="75"/>
  <c r="D40" i="75"/>
  <c r="P39" i="75"/>
  <c r="O39" i="75"/>
  <c r="N39" i="75"/>
  <c r="M39" i="75"/>
  <c r="L39" i="75"/>
  <c r="K39" i="75"/>
  <c r="J39" i="75"/>
  <c r="I39" i="75"/>
  <c r="H39" i="75"/>
  <c r="G39" i="75"/>
  <c r="F39" i="75"/>
  <c r="E39" i="75"/>
  <c r="D39" i="75"/>
  <c r="P38" i="75"/>
  <c r="O38" i="75"/>
  <c r="N38" i="75"/>
  <c r="M38" i="75"/>
  <c r="L38" i="75"/>
  <c r="K38" i="75"/>
  <c r="J38" i="75"/>
  <c r="I38" i="75"/>
  <c r="H38" i="75"/>
  <c r="G38" i="75"/>
  <c r="F38" i="75"/>
  <c r="E38" i="75"/>
  <c r="D38" i="75"/>
  <c r="P37" i="75"/>
  <c r="O37" i="75"/>
  <c r="N37" i="75"/>
  <c r="M37" i="75"/>
  <c r="L37" i="75"/>
  <c r="K37" i="75"/>
  <c r="J37" i="75"/>
  <c r="I37" i="75"/>
  <c r="H37" i="75"/>
  <c r="G37" i="75"/>
  <c r="F37" i="75"/>
  <c r="E37" i="75"/>
  <c r="D37" i="75"/>
  <c r="P36" i="75"/>
  <c r="O36" i="75"/>
  <c r="N36" i="75"/>
  <c r="M36" i="75"/>
  <c r="L36" i="75"/>
  <c r="K36" i="75"/>
  <c r="J36" i="75"/>
  <c r="I36" i="75"/>
  <c r="H36" i="75"/>
  <c r="G36" i="75"/>
  <c r="F36" i="75"/>
  <c r="E36" i="75"/>
  <c r="D36" i="75"/>
  <c r="P30" i="75"/>
  <c r="O30" i="75"/>
  <c r="N30" i="75"/>
  <c r="M30" i="75"/>
  <c r="L30" i="75"/>
  <c r="K30" i="75"/>
  <c r="J30" i="75"/>
  <c r="I30" i="75"/>
  <c r="H30" i="75"/>
  <c r="G30" i="75"/>
  <c r="F30" i="75"/>
  <c r="E30" i="75"/>
  <c r="D30" i="75"/>
  <c r="P29" i="75"/>
  <c r="O29" i="75"/>
  <c r="N29" i="75"/>
  <c r="M29" i="75"/>
  <c r="L29" i="75"/>
  <c r="K29" i="75"/>
  <c r="J29" i="75"/>
  <c r="I29" i="75"/>
  <c r="H29" i="75"/>
  <c r="G29" i="75"/>
  <c r="F29" i="75"/>
  <c r="E29" i="75"/>
  <c r="D29" i="75"/>
  <c r="P28" i="75"/>
  <c r="O28" i="75"/>
  <c r="N28" i="75"/>
  <c r="M28" i="75"/>
  <c r="L28" i="75"/>
  <c r="K28" i="75"/>
  <c r="J28" i="75"/>
  <c r="I28" i="75"/>
  <c r="H28" i="75"/>
  <c r="E28" i="75"/>
  <c r="P27" i="75"/>
  <c r="O27" i="75"/>
  <c r="N27" i="75"/>
  <c r="M27" i="75"/>
  <c r="L27" i="75"/>
  <c r="K27" i="75"/>
  <c r="J27" i="75"/>
  <c r="I27" i="75"/>
  <c r="H27" i="75"/>
  <c r="G27" i="75"/>
  <c r="F27" i="75"/>
  <c r="E27" i="75"/>
  <c r="P26" i="75"/>
  <c r="O26" i="75"/>
  <c r="N26" i="75"/>
  <c r="M26" i="75"/>
  <c r="L26" i="75"/>
  <c r="K26" i="75"/>
  <c r="J26" i="75"/>
  <c r="I26" i="75"/>
  <c r="H26" i="75"/>
  <c r="G26" i="75"/>
  <c r="F26" i="75"/>
  <c r="E26" i="75"/>
  <c r="P25" i="75"/>
  <c r="O25" i="75"/>
  <c r="N25" i="75"/>
  <c r="M25" i="75"/>
  <c r="L25" i="75"/>
  <c r="K25" i="75"/>
  <c r="J25" i="75"/>
  <c r="I25" i="75"/>
  <c r="H25" i="75"/>
  <c r="G25" i="75"/>
  <c r="F25" i="75"/>
  <c r="E25" i="75"/>
  <c r="P24" i="75"/>
  <c r="O24" i="75"/>
  <c r="N24" i="75"/>
  <c r="M24" i="75"/>
  <c r="L24" i="75"/>
  <c r="K24" i="75"/>
  <c r="J24" i="75"/>
  <c r="I24" i="75"/>
  <c r="H24" i="75"/>
  <c r="G24" i="75"/>
  <c r="F24" i="75"/>
  <c r="E24" i="75"/>
  <c r="P23" i="75"/>
  <c r="O23" i="75"/>
  <c r="N23" i="75"/>
  <c r="M23" i="75"/>
  <c r="L23" i="75"/>
  <c r="K23" i="75"/>
  <c r="J23" i="75"/>
  <c r="I23" i="75"/>
  <c r="H23" i="75"/>
  <c r="G23" i="75"/>
  <c r="F23" i="75"/>
  <c r="E23" i="75"/>
  <c r="O19" i="75"/>
  <c r="N19" i="75"/>
  <c r="M19" i="75"/>
  <c r="L19" i="75"/>
  <c r="K19" i="75"/>
  <c r="J19" i="75"/>
  <c r="I19" i="75"/>
  <c r="H19" i="75"/>
  <c r="G19" i="75"/>
  <c r="F19" i="75"/>
  <c r="E19" i="75"/>
  <c r="D19" i="75"/>
  <c r="P18" i="75"/>
  <c r="P17" i="75"/>
  <c r="P16" i="75"/>
  <c r="P15" i="75"/>
  <c r="P14" i="75"/>
  <c r="P11" i="75"/>
  <c r="O11" i="75"/>
  <c r="N11" i="75"/>
  <c r="M11" i="75"/>
  <c r="L11" i="75"/>
  <c r="K11" i="75"/>
  <c r="J11" i="75"/>
  <c r="I11" i="75"/>
  <c r="H11" i="75"/>
  <c r="G11" i="75"/>
  <c r="F11" i="75"/>
  <c r="E11" i="75"/>
  <c r="D11" i="75"/>
  <c r="P10" i="75"/>
  <c r="P9" i="75"/>
  <c r="O9" i="75"/>
  <c r="N9" i="75"/>
  <c r="M9" i="75"/>
  <c r="L9" i="75"/>
  <c r="K9" i="75"/>
  <c r="J9" i="75"/>
  <c r="I9" i="75"/>
  <c r="H9" i="75"/>
  <c r="G9" i="75"/>
  <c r="F9" i="75"/>
  <c r="E9" i="75"/>
  <c r="D9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P7" i="75"/>
  <c r="O7" i="75"/>
  <c r="N7" i="75"/>
  <c r="M7" i="75"/>
  <c r="L7" i="75"/>
  <c r="K7" i="75"/>
  <c r="J7" i="75"/>
  <c r="I7" i="75"/>
  <c r="H7" i="75"/>
  <c r="G7" i="75"/>
  <c r="F7" i="75"/>
  <c r="E7" i="75"/>
  <c r="D7" i="75"/>
  <c r="P6" i="75"/>
  <c r="O6" i="75"/>
  <c r="N6" i="75"/>
  <c r="M6" i="75"/>
  <c r="L6" i="75"/>
  <c r="K6" i="75"/>
  <c r="J6" i="75"/>
  <c r="I6" i="75"/>
  <c r="H6" i="75"/>
  <c r="G6" i="75"/>
  <c r="F6" i="75"/>
  <c r="E6" i="75"/>
  <c r="D6" i="75"/>
  <c r="P118" i="79"/>
  <c r="O118" i="79"/>
  <c r="N118" i="79"/>
  <c r="M118" i="79"/>
  <c r="L118" i="79"/>
  <c r="K118" i="79"/>
  <c r="J118" i="79"/>
  <c r="I118" i="79"/>
  <c r="H118" i="79"/>
  <c r="G118" i="79"/>
  <c r="F118" i="79"/>
  <c r="E118" i="79"/>
  <c r="D118" i="79"/>
  <c r="P117" i="79"/>
  <c r="O117" i="79"/>
  <c r="N117" i="79"/>
  <c r="M117" i="79"/>
  <c r="L117" i="79"/>
  <c r="K117" i="79"/>
  <c r="J117" i="79"/>
  <c r="I117" i="79"/>
  <c r="H117" i="79"/>
  <c r="G117" i="79"/>
  <c r="F117" i="79"/>
  <c r="E117" i="79"/>
  <c r="D117" i="79"/>
  <c r="P116" i="79"/>
  <c r="P115" i="79"/>
  <c r="C115" i="79"/>
  <c r="P114" i="79"/>
  <c r="C114" i="79"/>
  <c r="P113" i="79"/>
  <c r="P112" i="79"/>
  <c r="C112" i="79"/>
  <c r="P111" i="79"/>
  <c r="C111" i="79"/>
  <c r="P110" i="79"/>
  <c r="C110" i="79"/>
  <c r="P109" i="79"/>
  <c r="Q108" i="79"/>
  <c r="P108" i="79"/>
  <c r="C108" i="79"/>
  <c r="Q107" i="79"/>
  <c r="P107" i="79"/>
  <c r="C107" i="79"/>
  <c r="Q106" i="79"/>
  <c r="P106" i="79"/>
  <c r="C106" i="79"/>
  <c r="Q105" i="79"/>
  <c r="P105" i="79"/>
  <c r="C105" i="79"/>
  <c r="Q104" i="79"/>
  <c r="P104" i="79"/>
  <c r="C104" i="79"/>
  <c r="Q103" i="79"/>
  <c r="P103" i="79"/>
  <c r="C103" i="79"/>
  <c r="Q102" i="79"/>
  <c r="P102" i="79"/>
  <c r="C102" i="79"/>
  <c r="Q101" i="79"/>
  <c r="P101" i="79"/>
  <c r="C101" i="79"/>
  <c r="Q100" i="79"/>
  <c r="C100" i="79"/>
  <c r="Q99" i="79"/>
  <c r="P99" i="79"/>
  <c r="C99" i="79"/>
  <c r="Q98" i="79"/>
  <c r="P98" i="79"/>
  <c r="C98" i="79"/>
  <c r="Q97" i="79"/>
  <c r="P97" i="79"/>
  <c r="C97" i="79"/>
  <c r="Q96" i="79"/>
  <c r="P96" i="79"/>
  <c r="C96" i="79"/>
  <c r="Q95" i="79"/>
  <c r="P95" i="79"/>
  <c r="C95" i="79"/>
  <c r="C94" i="79"/>
  <c r="C93" i="79"/>
  <c r="C92" i="79"/>
  <c r="Q91" i="79"/>
  <c r="P91" i="79"/>
  <c r="C91" i="79"/>
  <c r="Q90" i="79"/>
  <c r="P90" i="79"/>
  <c r="C90" i="79"/>
  <c r="Q89" i="79"/>
  <c r="P89" i="79"/>
  <c r="C89" i="79"/>
  <c r="Q88" i="79"/>
  <c r="P88" i="79"/>
  <c r="C88" i="79"/>
  <c r="Q87" i="79"/>
  <c r="P87" i="79"/>
  <c r="C87" i="79"/>
  <c r="P86" i="79"/>
  <c r="P84" i="79"/>
  <c r="O84" i="79"/>
  <c r="N84" i="79"/>
  <c r="M84" i="79"/>
  <c r="L84" i="79"/>
  <c r="K84" i="79"/>
  <c r="J84" i="79"/>
  <c r="I84" i="79"/>
  <c r="H84" i="79"/>
  <c r="G84" i="79"/>
  <c r="F84" i="79"/>
  <c r="E84" i="79"/>
  <c r="D84" i="79"/>
  <c r="Q83" i="79"/>
  <c r="P83" i="79"/>
  <c r="C83" i="79"/>
  <c r="P82" i="79"/>
  <c r="C82" i="79"/>
  <c r="P81" i="79"/>
  <c r="C81" i="79"/>
  <c r="P80" i="79"/>
  <c r="C80" i="79"/>
  <c r="P79" i="79"/>
  <c r="C79" i="79"/>
  <c r="P78" i="79"/>
  <c r="C78" i="79"/>
  <c r="P77" i="79"/>
  <c r="C77" i="79"/>
  <c r="P76" i="79"/>
  <c r="C76" i="79"/>
  <c r="P75" i="79"/>
  <c r="C75" i="79"/>
  <c r="P74" i="79"/>
  <c r="C74" i="79"/>
  <c r="P73" i="79"/>
  <c r="C73" i="79"/>
  <c r="Q72" i="79"/>
  <c r="P72" i="79"/>
  <c r="C72" i="79"/>
  <c r="P71" i="79"/>
  <c r="P70" i="79"/>
  <c r="C70" i="79"/>
  <c r="P69" i="79"/>
  <c r="C69" i="79"/>
  <c r="P68" i="79"/>
  <c r="C68" i="79"/>
  <c r="P67" i="79"/>
  <c r="C67" i="79"/>
  <c r="P66" i="79"/>
  <c r="C66" i="79"/>
  <c r="P65" i="79"/>
  <c r="C65" i="79"/>
  <c r="P64" i="79"/>
  <c r="C64" i="79"/>
  <c r="P63" i="79"/>
  <c r="C63" i="79"/>
  <c r="Q62" i="79"/>
  <c r="P62" i="79"/>
  <c r="C62" i="79"/>
  <c r="P61" i="79"/>
  <c r="C61" i="79"/>
  <c r="P60" i="79"/>
  <c r="C60" i="79"/>
  <c r="N56" i="79"/>
  <c r="N120" i="79" s="1"/>
  <c r="L56" i="79"/>
  <c r="L120" i="79" s="1"/>
  <c r="J56" i="79"/>
  <c r="J120" i="79" s="1"/>
  <c r="H56" i="79"/>
  <c r="H120" i="79" s="1"/>
  <c r="F56" i="79"/>
  <c r="F120" i="79" s="1"/>
  <c r="D56" i="79"/>
  <c r="D120" i="79" s="1"/>
  <c r="P55" i="79"/>
  <c r="O55" i="79"/>
  <c r="N55" i="79"/>
  <c r="M55" i="79"/>
  <c r="L55" i="79"/>
  <c r="K55" i="79"/>
  <c r="J55" i="79"/>
  <c r="I55" i="79"/>
  <c r="H55" i="79"/>
  <c r="G55" i="79"/>
  <c r="F55" i="79"/>
  <c r="E55" i="79"/>
  <c r="D55" i="79"/>
  <c r="Q54" i="79"/>
  <c r="P54" i="79"/>
  <c r="C54" i="79"/>
  <c r="Q53" i="79"/>
  <c r="P53" i="79"/>
  <c r="C53" i="79"/>
  <c r="Q52" i="79"/>
  <c r="P52" i="79"/>
  <c r="C52" i="79"/>
  <c r="Q51" i="79"/>
  <c r="P51" i="79"/>
  <c r="C51" i="79"/>
  <c r="Q50" i="79"/>
  <c r="P50" i="79"/>
  <c r="C50" i="79"/>
  <c r="Q49" i="79"/>
  <c r="P49" i="79"/>
  <c r="C49" i="79"/>
  <c r="Q48" i="79"/>
  <c r="P48" i="79"/>
  <c r="C48" i="79"/>
  <c r="Q47" i="79"/>
  <c r="P47" i="79"/>
  <c r="C47" i="79"/>
  <c r="Q46" i="79"/>
  <c r="P46" i="79"/>
  <c r="C46" i="79"/>
  <c r="Q45" i="79"/>
  <c r="P45" i="79"/>
  <c r="C45" i="79"/>
  <c r="C44" i="79"/>
  <c r="P43" i="79"/>
  <c r="C43" i="79"/>
  <c r="P42" i="79"/>
  <c r="C42" i="79"/>
  <c r="O40" i="79"/>
  <c r="O56" i="79" s="1"/>
  <c r="O120" i="79" s="1"/>
  <c r="N40" i="79"/>
  <c r="M40" i="79"/>
  <c r="M56" i="79" s="1"/>
  <c r="M120" i="79" s="1"/>
  <c r="L40" i="79"/>
  <c r="K40" i="79"/>
  <c r="K56" i="79" s="1"/>
  <c r="K120" i="79" s="1"/>
  <c r="J40" i="79"/>
  <c r="I40" i="79"/>
  <c r="I56" i="79" s="1"/>
  <c r="I120" i="79" s="1"/>
  <c r="H40" i="79"/>
  <c r="G40" i="79"/>
  <c r="G56" i="79" s="1"/>
  <c r="G120" i="79" s="1"/>
  <c r="F40" i="79"/>
  <c r="E40" i="79"/>
  <c r="E56" i="79" s="1"/>
  <c r="E120" i="79" s="1"/>
  <c r="D40" i="79"/>
  <c r="Q38" i="79"/>
  <c r="P38" i="79"/>
  <c r="C38" i="79"/>
  <c r="P37" i="79"/>
  <c r="C37" i="79"/>
  <c r="P36" i="79"/>
  <c r="C36" i="79"/>
  <c r="P35" i="79"/>
  <c r="C35" i="79"/>
  <c r="P34" i="79"/>
  <c r="C34" i="79"/>
  <c r="P33" i="79"/>
  <c r="C33" i="79"/>
  <c r="P32" i="79"/>
  <c r="C32" i="79"/>
  <c r="P31" i="79"/>
  <c r="C31" i="79"/>
  <c r="P30" i="79"/>
  <c r="C30" i="79"/>
  <c r="P29" i="79"/>
  <c r="P28" i="79"/>
  <c r="C28" i="79"/>
  <c r="P27" i="79"/>
  <c r="P26" i="79"/>
  <c r="P25" i="79"/>
  <c r="C25" i="79"/>
  <c r="P24" i="79"/>
  <c r="C24" i="79"/>
  <c r="P23" i="79"/>
  <c r="C23" i="79"/>
  <c r="P22" i="79"/>
  <c r="C22" i="79"/>
  <c r="P21" i="79"/>
  <c r="C21" i="79"/>
  <c r="P20" i="79"/>
  <c r="C20" i="79"/>
  <c r="P19" i="79"/>
  <c r="C19" i="79"/>
  <c r="P18" i="79"/>
  <c r="C18" i="79"/>
  <c r="P17" i="79"/>
  <c r="C17" i="79"/>
  <c r="P16" i="79"/>
  <c r="C16" i="79"/>
  <c r="P15" i="79"/>
  <c r="C15" i="79"/>
  <c r="P14" i="79"/>
  <c r="C14" i="79"/>
  <c r="P13" i="79"/>
  <c r="C13" i="79"/>
  <c r="P12" i="79"/>
  <c r="C12" i="79"/>
  <c r="P11" i="79"/>
  <c r="C11" i="79"/>
  <c r="P10" i="79"/>
  <c r="P40" i="79" s="1"/>
  <c r="P56" i="79" s="1"/>
  <c r="P120" i="79" s="1"/>
  <c r="N270" i="72"/>
  <c r="M270" i="72"/>
  <c r="L270" i="72"/>
  <c r="K270" i="72"/>
  <c r="J270" i="72"/>
  <c r="I270" i="72"/>
  <c r="H270" i="72"/>
  <c r="G270" i="72"/>
  <c r="F270" i="72"/>
  <c r="E270" i="72"/>
  <c r="D270" i="72"/>
  <c r="C270" i="72"/>
  <c r="B270" i="72"/>
  <c r="N269" i="72"/>
  <c r="K269" i="72"/>
  <c r="J269" i="72"/>
  <c r="I269" i="72"/>
  <c r="H269" i="72"/>
  <c r="G269" i="72"/>
  <c r="F269" i="72"/>
  <c r="E269" i="72"/>
  <c r="D269" i="72"/>
  <c r="C269" i="72"/>
  <c r="B269" i="72"/>
  <c r="N268" i="72"/>
  <c r="K268" i="72"/>
  <c r="J268" i="72"/>
  <c r="I268" i="72"/>
  <c r="H268" i="72"/>
  <c r="G268" i="72"/>
  <c r="F268" i="72"/>
  <c r="E268" i="72"/>
  <c r="D268" i="72"/>
  <c r="C268" i="72"/>
  <c r="B268" i="72"/>
  <c r="N267" i="72"/>
  <c r="K267" i="72"/>
  <c r="J267" i="72"/>
  <c r="I267" i="72"/>
  <c r="H267" i="72"/>
  <c r="G267" i="72"/>
  <c r="F267" i="72"/>
  <c r="E267" i="72"/>
  <c r="D267" i="72"/>
  <c r="C267" i="72"/>
  <c r="B267" i="72"/>
  <c r="N266" i="72"/>
  <c r="K266" i="72"/>
  <c r="J266" i="72"/>
  <c r="I266" i="72"/>
  <c r="H266" i="72"/>
  <c r="G266" i="72"/>
  <c r="F266" i="72"/>
  <c r="E266" i="72"/>
  <c r="D266" i="72"/>
  <c r="C266" i="72"/>
  <c r="B266" i="72"/>
  <c r="N265" i="72"/>
  <c r="K265" i="72"/>
  <c r="J265" i="72"/>
  <c r="I265" i="72"/>
  <c r="H265" i="72"/>
  <c r="G265" i="72"/>
  <c r="F265" i="72"/>
  <c r="E265" i="72"/>
  <c r="D265" i="72"/>
  <c r="C265" i="72"/>
  <c r="B265" i="72"/>
  <c r="N264" i="72"/>
  <c r="K264" i="72"/>
  <c r="J264" i="72"/>
  <c r="I264" i="72"/>
  <c r="H264" i="72"/>
  <c r="G264" i="72"/>
  <c r="F264" i="72"/>
  <c r="E264" i="72"/>
  <c r="D264" i="72"/>
  <c r="C264" i="72"/>
  <c r="B264" i="72"/>
  <c r="N263" i="72"/>
  <c r="K263" i="72"/>
  <c r="J263" i="72"/>
  <c r="I263" i="72"/>
  <c r="H263" i="72"/>
  <c r="G263" i="72"/>
  <c r="F263" i="72"/>
  <c r="E263" i="72"/>
  <c r="D263" i="72"/>
  <c r="C263" i="72"/>
  <c r="B263" i="72"/>
  <c r="N259" i="72"/>
  <c r="M259" i="72"/>
  <c r="L259" i="72"/>
  <c r="K259" i="72"/>
  <c r="J259" i="72"/>
  <c r="I259" i="72"/>
  <c r="H259" i="72"/>
  <c r="G259" i="72"/>
  <c r="F259" i="72"/>
  <c r="E259" i="72"/>
  <c r="D259" i="72"/>
  <c r="C259" i="72"/>
  <c r="B259" i="72"/>
  <c r="N258" i="72"/>
  <c r="M258" i="72"/>
  <c r="L258" i="72"/>
  <c r="K258" i="72"/>
  <c r="J258" i="72"/>
  <c r="I258" i="72"/>
  <c r="H258" i="72"/>
  <c r="G258" i="72"/>
  <c r="F258" i="72"/>
  <c r="E258" i="72"/>
  <c r="D258" i="72"/>
  <c r="C258" i="72"/>
  <c r="B258" i="72"/>
  <c r="N257" i="72"/>
  <c r="M257" i="72"/>
  <c r="L257" i="72"/>
  <c r="K257" i="72"/>
  <c r="J257" i="72"/>
  <c r="I257" i="72"/>
  <c r="H257" i="72"/>
  <c r="G257" i="72"/>
  <c r="F257" i="72"/>
  <c r="E257" i="72"/>
  <c r="D257" i="72"/>
  <c r="C257" i="72"/>
  <c r="B257" i="72"/>
  <c r="N256" i="72"/>
  <c r="M256" i="72"/>
  <c r="L256" i="72"/>
  <c r="K256" i="72"/>
  <c r="J256" i="72"/>
  <c r="I256" i="72"/>
  <c r="H256" i="72"/>
  <c r="G256" i="72"/>
  <c r="F256" i="72"/>
  <c r="E256" i="72"/>
  <c r="D256" i="72"/>
  <c r="C256" i="72"/>
  <c r="B256" i="72"/>
  <c r="N255" i="72"/>
  <c r="M255" i="72"/>
  <c r="L255" i="72"/>
  <c r="K255" i="72"/>
  <c r="J255" i="72"/>
  <c r="I255" i="72"/>
  <c r="H255" i="72"/>
  <c r="G255" i="72"/>
  <c r="F255" i="72"/>
  <c r="E255" i="72"/>
  <c r="D255" i="72"/>
  <c r="C255" i="72"/>
  <c r="B255" i="72"/>
  <c r="N254" i="72"/>
  <c r="M254" i="72"/>
  <c r="L254" i="72"/>
  <c r="K254" i="72"/>
  <c r="J254" i="72"/>
  <c r="I254" i="72"/>
  <c r="H254" i="72"/>
  <c r="G254" i="72"/>
  <c r="F254" i="72"/>
  <c r="E254" i="72"/>
  <c r="D254" i="72"/>
  <c r="C254" i="72"/>
  <c r="B254" i="72"/>
  <c r="N253" i="72"/>
  <c r="M253" i="72"/>
  <c r="L253" i="72"/>
  <c r="K253" i="72"/>
  <c r="J253" i="72"/>
  <c r="I253" i="72"/>
  <c r="H253" i="72"/>
  <c r="G253" i="72"/>
  <c r="F253" i="72"/>
  <c r="E253" i="72"/>
  <c r="D253" i="72"/>
  <c r="C253" i="72"/>
  <c r="B253" i="72"/>
  <c r="N252" i="72"/>
  <c r="M252" i="72"/>
  <c r="L252" i="72"/>
  <c r="K252" i="72"/>
  <c r="J252" i="72"/>
  <c r="I252" i="72"/>
  <c r="H252" i="72"/>
  <c r="G252" i="72"/>
  <c r="F252" i="72"/>
  <c r="E252" i="72"/>
  <c r="D252" i="72"/>
  <c r="C252" i="72"/>
  <c r="B252" i="72"/>
  <c r="N248" i="72"/>
  <c r="M248" i="72"/>
  <c r="L248" i="72"/>
  <c r="K248" i="72"/>
  <c r="J248" i="72"/>
  <c r="I248" i="72"/>
  <c r="H248" i="72"/>
  <c r="G248" i="72"/>
  <c r="F248" i="72"/>
  <c r="E248" i="72"/>
  <c r="D248" i="72"/>
  <c r="C248" i="72"/>
  <c r="B248" i="72"/>
  <c r="N247" i="72"/>
  <c r="M247" i="72"/>
  <c r="L247" i="72"/>
  <c r="N246" i="72"/>
  <c r="M246" i="72"/>
  <c r="L246" i="72"/>
  <c r="N245" i="72"/>
  <c r="M245" i="72"/>
  <c r="L245" i="72"/>
  <c r="N244" i="72"/>
  <c r="M244" i="72"/>
  <c r="L244" i="72"/>
  <c r="N243" i="72"/>
  <c r="M243" i="72"/>
  <c r="L243" i="72"/>
  <c r="N242" i="72"/>
  <c r="M242" i="72"/>
  <c r="L242" i="72"/>
  <c r="N241" i="72"/>
  <c r="M241" i="72"/>
  <c r="L241" i="72"/>
  <c r="N234" i="72"/>
  <c r="M234" i="72"/>
  <c r="L234" i="72"/>
  <c r="K234" i="72"/>
  <c r="J234" i="72"/>
  <c r="I234" i="72"/>
  <c r="H234" i="72"/>
  <c r="G234" i="72"/>
  <c r="F234" i="72"/>
  <c r="E234" i="72"/>
  <c r="D234" i="72"/>
  <c r="C234" i="72"/>
  <c r="B234" i="72"/>
  <c r="N233" i="72"/>
  <c r="M233" i="72"/>
  <c r="L233" i="72"/>
  <c r="K233" i="72"/>
  <c r="J233" i="72"/>
  <c r="I233" i="72"/>
  <c r="H233" i="72"/>
  <c r="G233" i="72"/>
  <c r="F233" i="72"/>
  <c r="E233" i="72"/>
  <c r="D233" i="72"/>
  <c r="C233" i="72"/>
  <c r="B233" i="72"/>
  <c r="N232" i="72"/>
  <c r="M232" i="72"/>
  <c r="L232" i="72"/>
  <c r="K232" i="72"/>
  <c r="J232" i="72"/>
  <c r="I232" i="72"/>
  <c r="H232" i="72"/>
  <c r="G232" i="72"/>
  <c r="F232" i="72"/>
  <c r="E232" i="72"/>
  <c r="D232" i="72"/>
  <c r="C232" i="72"/>
  <c r="B232" i="72"/>
  <c r="N231" i="72"/>
  <c r="M231" i="72"/>
  <c r="L231" i="72"/>
  <c r="K231" i="72"/>
  <c r="J231" i="72"/>
  <c r="I231" i="72"/>
  <c r="H231" i="72"/>
  <c r="G231" i="72"/>
  <c r="F231" i="72"/>
  <c r="E231" i="72"/>
  <c r="D231" i="72"/>
  <c r="C231" i="72"/>
  <c r="B231" i="72"/>
  <c r="N230" i="72"/>
  <c r="M230" i="72"/>
  <c r="L230" i="72"/>
  <c r="K230" i="72"/>
  <c r="J230" i="72"/>
  <c r="I230" i="72"/>
  <c r="H230" i="72"/>
  <c r="G230" i="72"/>
  <c r="F230" i="72"/>
  <c r="E230" i="72"/>
  <c r="D230" i="72"/>
  <c r="C230" i="72"/>
  <c r="B230" i="72"/>
  <c r="N229" i="72"/>
  <c r="M229" i="72"/>
  <c r="L229" i="72"/>
  <c r="K229" i="72"/>
  <c r="J229" i="72"/>
  <c r="I229" i="72"/>
  <c r="H229" i="72"/>
  <c r="G229" i="72"/>
  <c r="F229" i="72"/>
  <c r="E229" i="72"/>
  <c r="D229" i="72"/>
  <c r="C229" i="72"/>
  <c r="B229" i="72"/>
  <c r="N228" i="72"/>
  <c r="M228" i="72"/>
  <c r="L228" i="72"/>
  <c r="K228" i="72"/>
  <c r="J228" i="72"/>
  <c r="I228" i="72"/>
  <c r="H228" i="72"/>
  <c r="G228" i="72"/>
  <c r="F228" i="72"/>
  <c r="E228" i="72"/>
  <c r="D228" i="72"/>
  <c r="C228" i="72"/>
  <c r="B228" i="72"/>
  <c r="N227" i="72"/>
  <c r="M227" i="72"/>
  <c r="L227" i="72"/>
  <c r="K227" i="72"/>
  <c r="J227" i="72"/>
  <c r="I227" i="72"/>
  <c r="H227" i="72"/>
  <c r="G227" i="72"/>
  <c r="F227" i="72"/>
  <c r="E227" i="72"/>
  <c r="D227" i="72"/>
  <c r="C227" i="72"/>
  <c r="B227" i="72"/>
  <c r="N224" i="72"/>
  <c r="M224" i="72"/>
  <c r="L224" i="72"/>
  <c r="K224" i="72"/>
  <c r="J224" i="72"/>
  <c r="I224" i="72"/>
  <c r="H224" i="72"/>
  <c r="G224" i="72"/>
  <c r="F224" i="72"/>
  <c r="E224" i="72"/>
  <c r="D224" i="72"/>
  <c r="C224" i="72"/>
  <c r="B224" i="72"/>
  <c r="N223" i="72"/>
  <c r="M223" i="72"/>
  <c r="L223" i="72"/>
  <c r="K223" i="72"/>
  <c r="J223" i="72"/>
  <c r="I223" i="72"/>
  <c r="H223" i="72"/>
  <c r="G223" i="72"/>
  <c r="F223" i="72"/>
  <c r="E223" i="72"/>
  <c r="D223" i="72"/>
  <c r="C223" i="72"/>
  <c r="B223" i="72"/>
  <c r="N222" i="72"/>
  <c r="M222" i="72"/>
  <c r="L222" i="72"/>
  <c r="K222" i="72"/>
  <c r="J222" i="72"/>
  <c r="I222" i="72"/>
  <c r="H222" i="72"/>
  <c r="G222" i="72"/>
  <c r="F222" i="72"/>
  <c r="E222" i="72"/>
  <c r="D222" i="72"/>
  <c r="C222" i="72"/>
  <c r="B222" i="72"/>
  <c r="N221" i="72"/>
  <c r="M221" i="72"/>
  <c r="L221" i="72"/>
  <c r="K221" i="72"/>
  <c r="J221" i="72"/>
  <c r="I221" i="72"/>
  <c r="H221" i="72"/>
  <c r="G221" i="72"/>
  <c r="F221" i="72"/>
  <c r="E221" i="72"/>
  <c r="D221" i="72"/>
  <c r="C221" i="72"/>
  <c r="B221" i="72"/>
  <c r="N220" i="72"/>
  <c r="M220" i="72"/>
  <c r="L220" i="72"/>
  <c r="K220" i="72"/>
  <c r="J220" i="72"/>
  <c r="I220" i="72"/>
  <c r="H220" i="72"/>
  <c r="G220" i="72"/>
  <c r="F220" i="72"/>
  <c r="E220" i="72"/>
  <c r="D220" i="72"/>
  <c r="C220" i="72"/>
  <c r="B220" i="72"/>
  <c r="N219" i="72"/>
  <c r="M219" i="72"/>
  <c r="L219" i="72"/>
  <c r="K219" i="72"/>
  <c r="J219" i="72"/>
  <c r="I219" i="72"/>
  <c r="H219" i="72"/>
  <c r="G219" i="72"/>
  <c r="F219" i="72"/>
  <c r="E219" i="72"/>
  <c r="D219" i="72"/>
  <c r="C219" i="72"/>
  <c r="B219" i="72"/>
  <c r="N218" i="72"/>
  <c r="M218" i="72"/>
  <c r="L218" i="72"/>
  <c r="K218" i="72"/>
  <c r="J218" i="72"/>
  <c r="I218" i="72"/>
  <c r="H218" i="72"/>
  <c r="G218" i="72"/>
  <c r="F218" i="72"/>
  <c r="E218" i="72"/>
  <c r="D218" i="72"/>
  <c r="C218" i="72"/>
  <c r="B218" i="72"/>
  <c r="N217" i="72"/>
  <c r="M217" i="72"/>
  <c r="L217" i="72"/>
  <c r="K217" i="72"/>
  <c r="J217" i="72"/>
  <c r="I217" i="72"/>
  <c r="H217" i="72"/>
  <c r="G217" i="72"/>
  <c r="F217" i="72"/>
  <c r="E217" i="72"/>
  <c r="D217" i="72"/>
  <c r="C217" i="72"/>
  <c r="B217" i="72"/>
  <c r="M214" i="72"/>
  <c r="L214" i="72"/>
  <c r="N212" i="72"/>
  <c r="M212" i="72"/>
  <c r="L212" i="72"/>
  <c r="K212" i="72"/>
  <c r="J212" i="72"/>
  <c r="I212" i="72"/>
  <c r="H212" i="72"/>
  <c r="G212" i="72"/>
  <c r="F212" i="72"/>
  <c r="E212" i="72"/>
  <c r="D212" i="72"/>
  <c r="C212" i="72"/>
  <c r="B212" i="72"/>
  <c r="N211" i="72"/>
  <c r="N210" i="72"/>
  <c r="N209" i="72"/>
  <c r="N208" i="72"/>
  <c r="N207" i="72"/>
  <c r="N206" i="72"/>
  <c r="N205" i="72"/>
  <c r="N201" i="72"/>
  <c r="M201" i="72"/>
  <c r="L201" i="72"/>
  <c r="K201" i="72"/>
  <c r="J201" i="72"/>
  <c r="I201" i="72"/>
  <c r="H201" i="72"/>
  <c r="G201" i="72"/>
  <c r="F201" i="72"/>
  <c r="E201" i="72"/>
  <c r="D201" i="72"/>
  <c r="C201" i="72"/>
  <c r="B201" i="72"/>
  <c r="N200" i="72"/>
  <c r="M200" i="72"/>
  <c r="L200" i="72"/>
  <c r="K200" i="72"/>
  <c r="J200" i="72"/>
  <c r="I200" i="72"/>
  <c r="H200" i="72"/>
  <c r="G200" i="72"/>
  <c r="F200" i="72"/>
  <c r="E200" i="72"/>
  <c r="D200" i="72"/>
  <c r="C200" i="72"/>
  <c r="B200" i="72"/>
  <c r="N199" i="72"/>
  <c r="M199" i="72"/>
  <c r="L199" i="72"/>
  <c r="K199" i="72"/>
  <c r="J199" i="72"/>
  <c r="I199" i="72"/>
  <c r="H199" i="72"/>
  <c r="G199" i="72"/>
  <c r="F199" i="72"/>
  <c r="E199" i="72"/>
  <c r="D199" i="72"/>
  <c r="C199" i="72"/>
  <c r="B199" i="72"/>
  <c r="N198" i="72"/>
  <c r="M198" i="72"/>
  <c r="L198" i="72"/>
  <c r="K198" i="72"/>
  <c r="J198" i="72"/>
  <c r="I198" i="72"/>
  <c r="H198" i="72"/>
  <c r="G198" i="72"/>
  <c r="F198" i="72"/>
  <c r="E198" i="72"/>
  <c r="D198" i="72"/>
  <c r="C198" i="72"/>
  <c r="B198" i="72"/>
  <c r="N197" i="72"/>
  <c r="M197" i="72"/>
  <c r="L197" i="72"/>
  <c r="K197" i="72"/>
  <c r="J197" i="72"/>
  <c r="I197" i="72"/>
  <c r="H197" i="72"/>
  <c r="G197" i="72"/>
  <c r="F197" i="72"/>
  <c r="E197" i="72"/>
  <c r="D197" i="72"/>
  <c r="C197" i="72"/>
  <c r="B197" i="72"/>
  <c r="N196" i="72"/>
  <c r="M196" i="72"/>
  <c r="L196" i="72"/>
  <c r="K196" i="72"/>
  <c r="J196" i="72"/>
  <c r="I196" i="72"/>
  <c r="H196" i="72"/>
  <c r="G196" i="72"/>
  <c r="F196" i="72"/>
  <c r="E196" i="72"/>
  <c r="D196" i="72"/>
  <c r="C196" i="72"/>
  <c r="B196" i="72"/>
  <c r="N195" i="72"/>
  <c r="M195" i="72"/>
  <c r="L195" i="72"/>
  <c r="K195" i="72"/>
  <c r="J195" i="72"/>
  <c r="I195" i="72"/>
  <c r="H195" i="72"/>
  <c r="G195" i="72"/>
  <c r="F195" i="72"/>
  <c r="E195" i="72"/>
  <c r="D195" i="72"/>
  <c r="C195" i="72"/>
  <c r="B195" i="72"/>
  <c r="N194" i="72"/>
  <c r="M194" i="72"/>
  <c r="L194" i="72"/>
  <c r="K194" i="72"/>
  <c r="J194" i="72"/>
  <c r="I194" i="72"/>
  <c r="H194" i="72"/>
  <c r="G194" i="72"/>
  <c r="F194" i="72"/>
  <c r="E194" i="72"/>
  <c r="D194" i="72"/>
  <c r="C194" i="72"/>
  <c r="B194" i="72"/>
  <c r="N190" i="72"/>
  <c r="M190" i="72"/>
  <c r="L190" i="72"/>
  <c r="K190" i="72"/>
  <c r="J190" i="72"/>
  <c r="I190" i="72"/>
  <c r="H190" i="72"/>
  <c r="G190" i="72"/>
  <c r="F190" i="72"/>
  <c r="E190" i="72"/>
  <c r="D190" i="72"/>
  <c r="C190" i="72"/>
  <c r="B190" i="72"/>
  <c r="N189" i="72"/>
  <c r="N188" i="72"/>
  <c r="N187" i="72"/>
  <c r="N186" i="72"/>
  <c r="N185" i="72"/>
  <c r="N184" i="72"/>
  <c r="N183" i="72"/>
  <c r="N182" i="72"/>
  <c r="N181" i="72"/>
  <c r="N180" i="72"/>
  <c r="N179" i="72"/>
  <c r="N178" i="72"/>
  <c r="N174" i="72"/>
  <c r="M174" i="72"/>
  <c r="L174" i="72"/>
  <c r="K174" i="72"/>
  <c r="J174" i="72"/>
  <c r="I174" i="72"/>
  <c r="H174" i="72"/>
  <c r="G174" i="72"/>
  <c r="F174" i="72"/>
  <c r="E174" i="72"/>
  <c r="D174" i="72"/>
  <c r="C174" i="72"/>
  <c r="B174" i="72"/>
  <c r="N173" i="72"/>
  <c r="N172" i="72"/>
  <c r="N171" i="72"/>
  <c r="N170" i="72"/>
  <c r="N169" i="72"/>
  <c r="N168" i="72"/>
  <c r="N167" i="72"/>
  <c r="N166" i="72"/>
  <c r="N165" i="72"/>
  <c r="N164" i="72"/>
  <c r="N163" i="72"/>
  <c r="N162" i="72"/>
  <c r="N157" i="72"/>
  <c r="M157" i="72"/>
  <c r="L157" i="72"/>
  <c r="K157" i="72"/>
  <c r="J157" i="72"/>
  <c r="I157" i="72"/>
  <c r="H157" i="72"/>
  <c r="G157" i="72"/>
  <c r="F157" i="72"/>
  <c r="E157" i="72"/>
  <c r="D157" i="72"/>
  <c r="C157" i="72"/>
  <c r="B157" i="72"/>
  <c r="N156" i="72"/>
  <c r="M156" i="72"/>
  <c r="L156" i="72"/>
  <c r="K156" i="72"/>
  <c r="J156" i="72"/>
  <c r="I156" i="72"/>
  <c r="H156" i="72"/>
  <c r="G156" i="72"/>
  <c r="F156" i="72"/>
  <c r="E156" i="72"/>
  <c r="D156" i="72"/>
  <c r="C156" i="72"/>
  <c r="B156" i="72"/>
  <c r="N155" i="72"/>
  <c r="M155" i="72"/>
  <c r="L155" i="72"/>
  <c r="K155" i="72"/>
  <c r="J155" i="72"/>
  <c r="I155" i="72"/>
  <c r="H155" i="72"/>
  <c r="G155" i="72"/>
  <c r="F155" i="72"/>
  <c r="E155" i="72"/>
  <c r="D155" i="72"/>
  <c r="C155" i="72"/>
  <c r="B155" i="72"/>
  <c r="N154" i="72"/>
  <c r="M154" i="72"/>
  <c r="L154" i="72"/>
  <c r="K154" i="72"/>
  <c r="J154" i="72"/>
  <c r="I154" i="72"/>
  <c r="H154" i="72"/>
  <c r="G154" i="72"/>
  <c r="F154" i="72"/>
  <c r="E154" i="72"/>
  <c r="D154" i="72"/>
  <c r="C154" i="72"/>
  <c r="B154" i="72"/>
  <c r="N153" i="72"/>
  <c r="M153" i="72"/>
  <c r="L153" i="72"/>
  <c r="K153" i="72"/>
  <c r="J153" i="72"/>
  <c r="I153" i="72"/>
  <c r="H153" i="72"/>
  <c r="G153" i="72"/>
  <c r="F153" i="72"/>
  <c r="E153" i="72"/>
  <c r="D153" i="72"/>
  <c r="C153" i="72"/>
  <c r="B153" i="72"/>
  <c r="N152" i="72"/>
  <c r="M152" i="72"/>
  <c r="L152" i="72"/>
  <c r="K152" i="72"/>
  <c r="J152" i="72"/>
  <c r="I152" i="72"/>
  <c r="H152" i="72"/>
  <c r="G152" i="72"/>
  <c r="F152" i="72"/>
  <c r="E152" i="72"/>
  <c r="D152" i="72"/>
  <c r="C152" i="72"/>
  <c r="B152" i="72"/>
  <c r="N151" i="72"/>
  <c r="M151" i="72"/>
  <c r="L151" i="72"/>
  <c r="K151" i="72"/>
  <c r="J151" i="72"/>
  <c r="I151" i="72"/>
  <c r="H151" i="72"/>
  <c r="G151" i="72"/>
  <c r="F151" i="72"/>
  <c r="E151" i="72"/>
  <c r="D151" i="72"/>
  <c r="C151" i="72"/>
  <c r="B151" i="72"/>
  <c r="N150" i="72"/>
  <c r="M150" i="72"/>
  <c r="L150" i="72"/>
  <c r="K150" i="72"/>
  <c r="J150" i="72"/>
  <c r="I150" i="72"/>
  <c r="H150" i="72"/>
  <c r="G150" i="72"/>
  <c r="F150" i="72"/>
  <c r="E150" i="72"/>
  <c r="D150" i="72"/>
  <c r="C150" i="72"/>
  <c r="B150" i="72"/>
  <c r="N149" i="72"/>
  <c r="M149" i="72"/>
  <c r="L149" i="72"/>
  <c r="K149" i="72"/>
  <c r="J149" i="72"/>
  <c r="I149" i="72"/>
  <c r="H149" i="72"/>
  <c r="G149" i="72"/>
  <c r="F149" i="72"/>
  <c r="E149" i="72"/>
  <c r="D149" i="72"/>
  <c r="C149" i="72"/>
  <c r="B149" i="72"/>
  <c r="N148" i="72"/>
  <c r="M148" i="72"/>
  <c r="L148" i="72"/>
  <c r="K148" i="72"/>
  <c r="J148" i="72"/>
  <c r="I148" i="72"/>
  <c r="H148" i="72"/>
  <c r="G148" i="72"/>
  <c r="F148" i="72"/>
  <c r="E148" i="72"/>
  <c r="D148" i="72"/>
  <c r="C148" i="72"/>
  <c r="B148" i="72"/>
  <c r="N147" i="72"/>
  <c r="M147" i="72"/>
  <c r="L147" i="72"/>
  <c r="K147" i="72"/>
  <c r="J147" i="72"/>
  <c r="I147" i="72"/>
  <c r="H147" i="72"/>
  <c r="G147" i="72"/>
  <c r="F147" i="72"/>
  <c r="E147" i="72"/>
  <c r="D147" i="72"/>
  <c r="C147" i="72"/>
  <c r="B147" i="72"/>
  <c r="N146" i="72"/>
  <c r="M146" i="72"/>
  <c r="L146" i="72"/>
  <c r="K146" i="72"/>
  <c r="J146" i="72"/>
  <c r="I146" i="72"/>
  <c r="H146" i="72"/>
  <c r="G146" i="72"/>
  <c r="F146" i="72"/>
  <c r="E146" i="72"/>
  <c r="D146" i="72"/>
  <c r="C146" i="72"/>
  <c r="B146" i="72"/>
  <c r="N145" i="72"/>
  <c r="M145" i="72"/>
  <c r="L145" i="72"/>
  <c r="K145" i="72"/>
  <c r="J145" i="72"/>
  <c r="I145" i="72"/>
  <c r="H145" i="72"/>
  <c r="G145" i="72"/>
  <c r="F145" i="72"/>
  <c r="E145" i="72"/>
  <c r="D145" i="72"/>
  <c r="C145" i="72"/>
  <c r="B145" i="72"/>
  <c r="N141" i="72"/>
  <c r="M141" i="72"/>
  <c r="L141" i="72"/>
  <c r="K141" i="72"/>
  <c r="J141" i="72"/>
  <c r="I141" i="72"/>
  <c r="H141" i="72"/>
  <c r="G141" i="72"/>
  <c r="F141" i="72"/>
  <c r="E141" i="72"/>
  <c r="D141" i="72"/>
  <c r="C141" i="72"/>
  <c r="B141" i="72"/>
  <c r="N140" i="72"/>
  <c r="M140" i="72"/>
  <c r="L140" i="72"/>
  <c r="K140" i="72"/>
  <c r="J140" i="72"/>
  <c r="I140" i="72"/>
  <c r="H140" i="72"/>
  <c r="G140" i="72"/>
  <c r="F140" i="72"/>
  <c r="E140" i="72"/>
  <c r="D140" i="72"/>
  <c r="C140" i="72"/>
  <c r="B140" i="72"/>
  <c r="N139" i="72"/>
  <c r="M139" i="72"/>
  <c r="L139" i="72"/>
  <c r="K139" i="72"/>
  <c r="J139" i="72"/>
  <c r="I139" i="72"/>
  <c r="H139" i="72"/>
  <c r="G139" i="72"/>
  <c r="F139" i="72"/>
  <c r="E139" i="72"/>
  <c r="D139" i="72"/>
  <c r="C139" i="72"/>
  <c r="B139" i="72"/>
  <c r="N138" i="72"/>
  <c r="M138" i="72"/>
  <c r="L138" i="72"/>
  <c r="K138" i="72"/>
  <c r="J138" i="72"/>
  <c r="I138" i="72"/>
  <c r="H138" i="72"/>
  <c r="G138" i="72"/>
  <c r="F138" i="72"/>
  <c r="E138" i="72"/>
  <c r="D138" i="72"/>
  <c r="C138" i="72"/>
  <c r="B138" i="72"/>
  <c r="N137" i="72"/>
  <c r="M137" i="72"/>
  <c r="L137" i="72"/>
  <c r="K137" i="72"/>
  <c r="J137" i="72"/>
  <c r="I137" i="72"/>
  <c r="H137" i="72"/>
  <c r="G137" i="72"/>
  <c r="F137" i="72"/>
  <c r="E137" i="72"/>
  <c r="D137" i="72"/>
  <c r="C137" i="72"/>
  <c r="B137" i="72"/>
  <c r="N136" i="72"/>
  <c r="M136" i="72"/>
  <c r="L136" i="72"/>
  <c r="K136" i="72"/>
  <c r="J136" i="72"/>
  <c r="I136" i="72"/>
  <c r="H136" i="72"/>
  <c r="G136" i="72"/>
  <c r="F136" i="72"/>
  <c r="E136" i="72"/>
  <c r="D136" i="72"/>
  <c r="C136" i="72"/>
  <c r="B136" i="72"/>
  <c r="N135" i="72"/>
  <c r="M135" i="72"/>
  <c r="L135" i="72"/>
  <c r="K135" i="72"/>
  <c r="J135" i="72"/>
  <c r="I135" i="72"/>
  <c r="H135" i="72"/>
  <c r="G135" i="72"/>
  <c r="F135" i="72"/>
  <c r="E135" i="72"/>
  <c r="D135" i="72"/>
  <c r="C135" i="72"/>
  <c r="B135" i="72"/>
  <c r="N134" i="72"/>
  <c r="M134" i="72"/>
  <c r="L134" i="72"/>
  <c r="K134" i="72"/>
  <c r="J134" i="72"/>
  <c r="I134" i="72"/>
  <c r="H134" i="72"/>
  <c r="G134" i="72"/>
  <c r="F134" i="72"/>
  <c r="E134" i="72"/>
  <c r="D134" i="72"/>
  <c r="C134" i="72"/>
  <c r="B134" i="72"/>
  <c r="N133" i="72"/>
  <c r="M133" i="72"/>
  <c r="L133" i="72"/>
  <c r="K133" i="72"/>
  <c r="J133" i="72"/>
  <c r="I133" i="72"/>
  <c r="H133" i="72"/>
  <c r="G133" i="72"/>
  <c r="F133" i="72"/>
  <c r="E133" i="72"/>
  <c r="D133" i="72"/>
  <c r="C133" i="72"/>
  <c r="B133" i="72"/>
  <c r="N132" i="72"/>
  <c r="M132" i="72"/>
  <c r="L132" i="72"/>
  <c r="K132" i="72"/>
  <c r="J132" i="72"/>
  <c r="I132" i="72"/>
  <c r="H132" i="72"/>
  <c r="G132" i="72"/>
  <c r="F132" i="72"/>
  <c r="E132" i="72"/>
  <c r="D132" i="72"/>
  <c r="C132" i="72"/>
  <c r="B132" i="72"/>
  <c r="N131" i="72"/>
  <c r="M131" i="72"/>
  <c r="L131" i="72"/>
  <c r="K131" i="72"/>
  <c r="J131" i="72"/>
  <c r="I131" i="72"/>
  <c r="H131" i="72"/>
  <c r="G131" i="72"/>
  <c r="F131" i="72"/>
  <c r="E131" i="72"/>
  <c r="D131" i="72"/>
  <c r="C131" i="72"/>
  <c r="B131" i="72"/>
  <c r="N130" i="72"/>
  <c r="M130" i="72"/>
  <c r="L130" i="72"/>
  <c r="K130" i="72"/>
  <c r="J130" i="72"/>
  <c r="I130" i="72"/>
  <c r="H130" i="72"/>
  <c r="G130" i="72"/>
  <c r="F130" i="72"/>
  <c r="E130" i="72"/>
  <c r="D130" i="72"/>
  <c r="C130" i="72"/>
  <c r="B130" i="72"/>
  <c r="N129" i="72"/>
  <c r="M129" i="72"/>
  <c r="L129" i="72"/>
  <c r="K129" i="72"/>
  <c r="J129" i="72"/>
  <c r="I129" i="72"/>
  <c r="H129" i="72"/>
  <c r="G129" i="72"/>
  <c r="F129" i="72"/>
  <c r="E129" i="72"/>
  <c r="D129" i="72"/>
  <c r="C129" i="72"/>
  <c r="B129" i="72"/>
  <c r="N126" i="72"/>
  <c r="M126" i="72"/>
  <c r="L126" i="72"/>
  <c r="K126" i="72"/>
  <c r="J126" i="72"/>
  <c r="I126" i="72"/>
  <c r="H126" i="72"/>
  <c r="G126" i="72"/>
  <c r="F126" i="72"/>
  <c r="E126" i="72"/>
  <c r="D126" i="72"/>
  <c r="C126" i="72"/>
  <c r="B126" i="72"/>
  <c r="N125" i="72"/>
  <c r="M125" i="72"/>
  <c r="L125" i="72"/>
  <c r="K125" i="72"/>
  <c r="J125" i="72"/>
  <c r="I125" i="72"/>
  <c r="H125" i="72"/>
  <c r="G125" i="72"/>
  <c r="F125" i="72"/>
  <c r="E125" i="72"/>
  <c r="D125" i="72"/>
  <c r="C125" i="72"/>
  <c r="B125" i="72"/>
  <c r="N124" i="72"/>
  <c r="M124" i="72"/>
  <c r="L124" i="72"/>
  <c r="K124" i="72"/>
  <c r="J124" i="72"/>
  <c r="I124" i="72"/>
  <c r="H124" i="72"/>
  <c r="G124" i="72"/>
  <c r="F124" i="72"/>
  <c r="E124" i="72"/>
  <c r="D124" i="72"/>
  <c r="C124" i="72"/>
  <c r="B124" i="72"/>
  <c r="N123" i="72"/>
  <c r="M123" i="72"/>
  <c r="L123" i="72"/>
  <c r="K123" i="72"/>
  <c r="J123" i="72"/>
  <c r="I123" i="72"/>
  <c r="H123" i="72"/>
  <c r="G123" i="72"/>
  <c r="F123" i="72"/>
  <c r="E123" i="72"/>
  <c r="D123" i="72"/>
  <c r="C123" i="72"/>
  <c r="B123" i="72"/>
  <c r="N122" i="72"/>
  <c r="M122" i="72"/>
  <c r="L122" i="72"/>
  <c r="K122" i="72"/>
  <c r="J122" i="72"/>
  <c r="I122" i="72"/>
  <c r="H122" i="72"/>
  <c r="G122" i="72"/>
  <c r="F122" i="72"/>
  <c r="E122" i="72"/>
  <c r="D122" i="72"/>
  <c r="C122" i="72"/>
  <c r="B122" i="72"/>
  <c r="N121" i="72"/>
  <c r="M121" i="72"/>
  <c r="L121" i="72"/>
  <c r="K121" i="72"/>
  <c r="J121" i="72"/>
  <c r="I121" i="72"/>
  <c r="H121" i="72"/>
  <c r="G121" i="72"/>
  <c r="F121" i="72"/>
  <c r="E121" i="72"/>
  <c r="D121" i="72"/>
  <c r="C121" i="72"/>
  <c r="B121" i="72"/>
  <c r="N120" i="72"/>
  <c r="M120" i="72"/>
  <c r="L120" i="72"/>
  <c r="K120" i="72"/>
  <c r="J120" i="72"/>
  <c r="I120" i="72"/>
  <c r="H120" i="72"/>
  <c r="G120" i="72"/>
  <c r="F120" i="72"/>
  <c r="E120" i="72"/>
  <c r="D120" i="72"/>
  <c r="C120" i="72"/>
  <c r="B120" i="72"/>
  <c r="N119" i="72"/>
  <c r="M119" i="72"/>
  <c r="L119" i="72"/>
  <c r="K119" i="72"/>
  <c r="J119" i="72"/>
  <c r="I119" i="72"/>
  <c r="H119" i="72"/>
  <c r="G119" i="72"/>
  <c r="F119" i="72"/>
  <c r="E119" i="72"/>
  <c r="D119" i="72"/>
  <c r="C119" i="72"/>
  <c r="B119" i="72"/>
  <c r="N118" i="72"/>
  <c r="M118" i="72"/>
  <c r="L118" i="72"/>
  <c r="K118" i="72"/>
  <c r="J118" i="72"/>
  <c r="I118" i="72"/>
  <c r="H118" i="72"/>
  <c r="G118" i="72"/>
  <c r="F118" i="72"/>
  <c r="E118" i="72"/>
  <c r="D118" i="72"/>
  <c r="C118" i="72"/>
  <c r="B118" i="72"/>
  <c r="N117" i="72"/>
  <c r="M117" i="72"/>
  <c r="L117" i="72"/>
  <c r="K117" i="72"/>
  <c r="J117" i="72"/>
  <c r="I117" i="72"/>
  <c r="H117" i="72"/>
  <c r="G117" i="72"/>
  <c r="F117" i="72"/>
  <c r="E117" i="72"/>
  <c r="D117" i="72"/>
  <c r="C117" i="72"/>
  <c r="B117" i="72"/>
  <c r="N116" i="72"/>
  <c r="M116" i="72"/>
  <c r="L116" i="72"/>
  <c r="K116" i="72"/>
  <c r="J116" i="72"/>
  <c r="I116" i="72"/>
  <c r="H116" i="72"/>
  <c r="G116" i="72"/>
  <c r="F116" i="72"/>
  <c r="E116" i="72"/>
  <c r="D116" i="72"/>
  <c r="C116" i="72"/>
  <c r="B116" i="72"/>
  <c r="N115" i="72"/>
  <c r="M115" i="72"/>
  <c r="L115" i="72"/>
  <c r="K115" i="72"/>
  <c r="J115" i="72"/>
  <c r="I115" i="72"/>
  <c r="H115" i="72"/>
  <c r="G115" i="72"/>
  <c r="F115" i="72"/>
  <c r="E115" i="72"/>
  <c r="D115" i="72"/>
  <c r="C115" i="72"/>
  <c r="B115" i="72"/>
  <c r="N114" i="72"/>
  <c r="M114" i="72"/>
  <c r="L114" i="72"/>
  <c r="K114" i="72"/>
  <c r="J114" i="72"/>
  <c r="I114" i="72"/>
  <c r="H114" i="72"/>
  <c r="G114" i="72"/>
  <c r="F114" i="72"/>
  <c r="E114" i="72"/>
  <c r="D114" i="72"/>
  <c r="C114" i="72"/>
  <c r="B114" i="72"/>
  <c r="J111" i="72"/>
  <c r="I111" i="72"/>
  <c r="G111" i="72"/>
  <c r="F111" i="72"/>
  <c r="B111" i="72"/>
  <c r="K110" i="72"/>
  <c r="J110" i="72"/>
  <c r="I110" i="72"/>
  <c r="H110" i="72"/>
  <c r="G110" i="72"/>
  <c r="F110" i="72"/>
  <c r="E110" i="72"/>
  <c r="D110" i="72"/>
  <c r="C110" i="72"/>
  <c r="B110" i="72"/>
  <c r="K109" i="72"/>
  <c r="J109" i="72"/>
  <c r="I109" i="72"/>
  <c r="H109" i="72"/>
  <c r="G109" i="72"/>
  <c r="F109" i="72"/>
  <c r="E109" i="72"/>
  <c r="D109" i="72"/>
  <c r="C109" i="72"/>
  <c r="B109" i="72"/>
  <c r="L108" i="72"/>
  <c r="K108" i="72"/>
  <c r="J108" i="72"/>
  <c r="I108" i="72"/>
  <c r="H108" i="72"/>
  <c r="G108" i="72"/>
  <c r="F108" i="72"/>
  <c r="E108" i="72"/>
  <c r="D108" i="72"/>
  <c r="C108" i="72"/>
  <c r="B108" i="72"/>
  <c r="K107" i="72"/>
  <c r="J107" i="72"/>
  <c r="I107" i="72"/>
  <c r="H107" i="72"/>
  <c r="G107" i="72"/>
  <c r="F107" i="72"/>
  <c r="E107" i="72"/>
  <c r="D107" i="72"/>
  <c r="C107" i="72"/>
  <c r="B107" i="72"/>
  <c r="K106" i="72"/>
  <c r="J106" i="72"/>
  <c r="I106" i="72"/>
  <c r="H106" i="72"/>
  <c r="G106" i="72"/>
  <c r="F106" i="72"/>
  <c r="E106" i="72"/>
  <c r="D106" i="72"/>
  <c r="C106" i="72"/>
  <c r="B106" i="72"/>
  <c r="N105" i="72"/>
  <c r="M105" i="72"/>
  <c r="L105" i="72"/>
  <c r="K105" i="72"/>
  <c r="J105" i="72"/>
  <c r="I105" i="72"/>
  <c r="H105" i="72"/>
  <c r="G105" i="72"/>
  <c r="F105" i="72"/>
  <c r="E105" i="72"/>
  <c r="D105" i="72"/>
  <c r="C105" i="72"/>
  <c r="B105" i="72"/>
  <c r="N104" i="72"/>
  <c r="M104" i="72"/>
  <c r="L104" i="72"/>
  <c r="K104" i="72"/>
  <c r="J104" i="72"/>
  <c r="I104" i="72"/>
  <c r="H104" i="72"/>
  <c r="G104" i="72"/>
  <c r="F104" i="72"/>
  <c r="E104" i="72"/>
  <c r="D104" i="72"/>
  <c r="C104" i="72"/>
  <c r="B104" i="72"/>
  <c r="N103" i="72"/>
  <c r="M103" i="72"/>
  <c r="L103" i="72"/>
  <c r="K103" i="72"/>
  <c r="J103" i="72"/>
  <c r="I103" i="72"/>
  <c r="H103" i="72"/>
  <c r="G103" i="72"/>
  <c r="F103" i="72"/>
  <c r="E103" i="72"/>
  <c r="D103" i="72"/>
  <c r="C103" i="72"/>
  <c r="B103" i="72"/>
  <c r="N102" i="72"/>
  <c r="M102" i="72"/>
  <c r="L102" i="72"/>
  <c r="K102" i="72"/>
  <c r="J102" i="72"/>
  <c r="I102" i="72"/>
  <c r="H102" i="72"/>
  <c r="G102" i="72"/>
  <c r="F102" i="72"/>
  <c r="E102" i="72"/>
  <c r="D102" i="72"/>
  <c r="C102" i="72"/>
  <c r="B102" i="72"/>
  <c r="N101" i="72"/>
  <c r="M101" i="72"/>
  <c r="L101" i="72"/>
  <c r="K101" i="72"/>
  <c r="J101" i="72"/>
  <c r="I101" i="72"/>
  <c r="H101" i="72"/>
  <c r="G101" i="72"/>
  <c r="F101" i="72"/>
  <c r="E101" i="72"/>
  <c r="D101" i="72"/>
  <c r="C101" i="72"/>
  <c r="B101" i="72"/>
  <c r="M100" i="72"/>
  <c r="L100" i="72"/>
  <c r="K100" i="72"/>
  <c r="J100" i="72"/>
  <c r="I100" i="72"/>
  <c r="H100" i="72"/>
  <c r="G100" i="72"/>
  <c r="F100" i="72"/>
  <c r="E100" i="72"/>
  <c r="D100" i="72"/>
  <c r="C100" i="72"/>
  <c r="B100" i="72"/>
  <c r="N99" i="72"/>
  <c r="M99" i="72"/>
  <c r="L99" i="72"/>
  <c r="K99" i="72"/>
  <c r="J99" i="72"/>
  <c r="I99" i="72"/>
  <c r="H99" i="72"/>
  <c r="G99" i="72"/>
  <c r="F99" i="72"/>
  <c r="E99" i="72"/>
  <c r="D99" i="72"/>
  <c r="C99" i="72"/>
  <c r="B99" i="72"/>
  <c r="J95" i="72"/>
  <c r="F95" i="72"/>
  <c r="K94" i="72"/>
  <c r="J94" i="72"/>
  <c r="I94" i="72"/>
  <c r="H94" i="72"/>
  <c r="G94" i="72"/>
  <c r="F94" i="72"/>
  <c r="E94" i="72"/>
  <c r="D94" i="72"/>
  <c r="C94" i="72"/>
  <c r="B94" i="72"/>
  <c r="K93" i="72"/>
  <c r="J93" i="72"/>
  <c r="I93" i="72"/>
  <c r="H93" i="72"/>
  <c r="G93" i="72"/>
  <c r="F93" i="72"/>
  <c r="E93" i="72"/>
  <c r="D93" i="72"/>
  <c r="C93" i="72"/>
  <c r="B93" i="72"/>
  <c r="K92" i="72"/>
  <c r="J92" i="72"/>
  <c r="I92" i="72"/>
  <c r="H92" i="72"/>
  <c r="G92" i="72"/>
  <c r="F92" i="72"/>
  <c r="E92" i="72"/>
  <c r="D92" i="72"/>
  <c r="C92" i="72"/>
  <c r="B92" i="72"/>
  <c r="K91" i="72"/>
  <c r="J91" i="72"/>
  <c r="I91" i="72"/>
  <c r="H91" i="72"/>
  <c r="G91" i="72"/>
  <c r="F91" i="72"/>
  <c r="E91" i="72"/>
  <c r="D91" i="72"/>
  <c r="C91" i="72"/>
  <c r="B91" i="72"/>
  <c r="K90" i="72"/>
  <c r="J90" i="72"/>
  <c r="I90" i="72"/>
  <c r="H90" i="72"/>
  <c r="G90" i="72"/>
  <c r="F90" i="72"/>
  <c r="E90" i="72"/>
  <c r="D90" i="72"/>
  <c r="C90" i="72"/>
  <c r="B90" i="72"/>
  <c r="N89" i="72"/>
  <c r="M89" i="72"/>
  <c r="L89" i="72"/>
  <c r="K89" i="72"/>
  <c r="J89" i="72"/>
  <c r="I89" i="72"/>
  <c r="H89" i="72"/>
  <c r="G89" i="72"/>
  <c r="F89" i="72"/>
  <c r="E89" i="72"/>
  <c r="D89" i="72"/>
  <c r="C89" i="72"/>
  <c r="B89" i="72"/>
  <c r="N88" i="72"/>
  <c r="M88" i="72"/>
  <c r="L88" i="72"/>
  <c r="K88" i="72"/>
  <c r="J88" i="72"/>
  <c r="I88" i="72"/>
  <c r="H88" i="72"/>
  <c r="G88" i="72"/>
  <c r="F88" i="72"/>
  <c r="E88" i="72"/>
  <c r="D88" i="72"/>
  <c r="C88" i="72"/>
  <c r="B88" i="72"/>
  <c r="N87" i="72"/>
  <c r="M87" i="72"/>
  <c r="L87" i="72"/>
  <c r="K87" i="72"/>
  <c r="J87" i="72"/>
  <c r="I87" i="72"/>
  <c r="H87" i="72"/>
  <c r="G87" i="72"/>
  <c r="F87" i="72"/>
  <c r="E87" i="72"/>
  <c r="D87" i="72"/>
  <c r="C87" i="72"/>
  <c r="B87" i="72"/>
  <c r="N86" i="72"/>
  <c r="M86" i="72"/>
  <c r="L86" i="72"/>
  <c r="K86" i="72"/>
  <c r="J86" i="72"/>
  <c r="I86" i="72"/>
  <c r="H86" i="72"/>
  <c r="G86" i="72"/>
  <c r="F86" i="72"/>
  <c r="E86" i="72"/>
  <c r="D86" i="72"/>
  <c r="C86" i="72"/>
  <c r="B86" i="72"/>
  <c r="N85" i="72"/>
  <c r="M85" i="72"/>
  <c r="L85" i="72"/>
  <c r="K85" i="72"/>
  <c r="J85" i="72"/>
  <c r="I85" i="72"/>
  <c r="H85" i="72"/>
  <c r="G85" i="72"/>
  <c r="F85" i="72"/>
  <c r="E85" i="72"/>
  <c r="D85" i="72"/>
  <c r="C85" i="72"/>
  <c r="B85" i="72"/>
  <c r="M84" i="72"/>
  <c r="L84" i="72"/>
  <c r="K84" i="72"/>
  <c r="J84" i="72"/>
  <c r="I84" i="72"/>
  <c r="H84" i="72"/>
  <c r="G84" i="72"/>
  <c r="F84" i="72"/>
  <c r="E84" i="72"/>
  <c r="D84" i="72"/>
  <c r="C84" i="72"/>
  <c r="B84" i="72"/>
  <c r="N83" i="72"/>
  <c r="M83" i="72"/>
  <c r="L83" i="72"/>
  <c r="K83" i="72"/>
  <c r="J83" i="72"/>
  <c r="I83" i="72"/>
  <c r="H83" i="72"/>
  <c r="G83" i="72"/>
  <c r="F83" i="72"/>
  <c r="E83" i="72"/>
  <c r="D83" i="72"/>
  <c r="C83" i="72"/>
  <c r="B83" i="72"/>
  <c r="J79" i="72"/>
  <c r="H79" i="72"/>
  <c r="F79" i="72"/>
  <c r="K78" i="72"/>
  <c r="J78" i="72"/>
  <c r="I78" i="72"/>
  <c r="H78" i="72"/>
  <c r="G78" i="72"/>
  <c r="F78" i="72"/>
  <c r="E78" i="72"/>
  <c r="D78" i="72"/>
  <c r="C78" i="72"/>
  <c r="B78" i="72"/>
  <c r="K77" i="72"/>
  <c r="J77" i="72"/>
  <c r="I77" i="72"/>
  <c r="H77" i="72"/>
  <c r="G77" i="72"/>
  <c r="F77" i="72"/>
  <c r="E77" i="72"/>
  <c r="D77" i="72"/>
  <c r="C77" i="72"/>
  <c r="B77" i="72"/>
  <c r="L76" i="72"/>
  <c r="K76" i="72"/>
  <c r="J76" i="72"/>
  <c r="I76" i="72"/>
  <c r="H76" i="72"/>
  <c r="G76" i="72"/>
  <c r="F76" i="72"/>
  <c r="E76" i="72"/>
  <c r="D76" i="72"/>
  <c r="C76" i="72"/>
  <c r="B76" i="72"/>
  <c r="K75" i="72"/>
  <c r="L11" i="72" s="1"/>
  <c r="J75" i="72"/>
  <c r="I75" i="72"/>
  <c r="H75" i="72"/>
  <c r="G75" i="72"/>
  <c r="F75" i="72"/>
  <c r="E75" i="72"/>
  <c r="D75" i="72"/>
  <c r="C75" i="72"/>
  <c r="B75" i="72"/>
  <c r="K74" i="72"/>
  <c r="J74" i="72"/>
  <c r="I74" i="72"/>
  <c r="H74" i="72"/>
  <c r="G74" i="72"/>
  <c r="F74" i="72"/>
  <c r="E74" i="72"/>
  <c r="D74" i="72"/>
  <c r="C74" i="72"/>
  <c r="B74" i="72"/>
  <c r="N73" i="72"/>
  <c r="M73" i="72"/>
  <c r="L73" i="72"/>
  <c r="K73" i="72"/>
  <c r="J73" i="72"/>
  <c r="I73" i="72"/>
  <c r="H73" i="72"/>
  <c r="G73" i="72"/>
  <c r="F73" i="72"/>
  <c r="E73" i="72"/>
  <c r="D73" i="72"/>
  <c r="C73" i="72"/>
  <c r="B73" i="72"/>
  <c r="N72" i="72"/>
  <c r="M72" i="72"/>
  <c r="L72" i="72"/>
  <c r="K72" i="72"/>
  <c r="J72" i="72"/>
  <c r="I72" i="72"/>
  <c r="H72" i="72"/>
  <c r="G72" i="72"/>
  <c r="F72" i="72"/>
  <c r="E72" i="72"/>
  <c r="D72" i="72"/>
  <c r="C72" i="72"/>
  <c r="B72" i="72"/>
  <c r="N71" i="72"/>
  <c r="M71" i="72"/>
  <c r="L71" i="72"/>
  <c r="K71" i="72"/>
  <c r="J71" i="72"/>
  <c r="I71" i="72"/>
  <c r="H71" i="72"/>
  <c r="G71" i="72"/>
  <c r="F71" i="72"/>
  <c r="E71" i="72"/>
  <c r="D71" i="72"/>
  <c r="C71" i="72"/>
  <c r="B71" i="72"/>
  <c r="N70" i="72"/>
  <c r="M70" i="72"/>
  <c r="L70" i="72"/>
  <c r="K70" i="72"/>
  <c r="J70" i="72"/>
  <c r="I70" i="72"/>
  <c r="H70" i="72"/>
  <c r="G70" i="72"/>
  <c r="F70" i="72"/>
  <c r="E70" i="72"/>
  <c r="D70" i="72"/>
  <c r="C70" i="72"/>
  <c r="B70" i="72"/>
  <c r="N69" i="72"/>
  <c r="M69" i="72"/>
  <c r="L69" i="72"/>
  <c r="K69" i="72"/>
  <c r="J69" i="72"/>
  <c r="I69" i="72"/>
  <c r="H69" i="72"/>
  <c r="G69" i="72"/>
  <c r="F69" i="72"/>
  <c r="E69" i="72"/>
  <c r="D69" i="72"/>
  <c r="C69" i="72"/>
  <c r="B69" i="72"/>
  <c r="M68" i="72"/>
  <c r="L68" i="72"/>
  <c r="K68" i="72"/>
  <c r="J68" i="72"/>
  <c r="I68" i="72"/>
  <c r="H68" i="72"/>
  <c r="G68" i="72"/>
  <c r="F68" i="72"/>
  <c r="E68" i="72"/>
  <c r="D68" i="72"/>
  <c r="C68" i="72"/>
  <c r="B68" i="72"/>
  <c r="N67" i="72"/>
  <c r="M67" i="72"/>
  <c r="L67" i="72"/>
  <c r="K67" i="72"/>
  <c r="J67" i="72"/>
  <c r="I67" i="72"/>
  <c r="H67" i="72"/>
  <c r="G67" i="72"/>
  <c r="F67" i="72"/>
  <c r="E67" i="72"/>
  <c r="D67" i="72"/>
  <c r="C67" i="72"/>
  <c r="B67" i="72"/>
  <c r="N64" i="72"/>
  <c r="M64" i="72"/>
  <c r="L64" i="72"/>
  <c r="K64" i="72"/>
  <c r="J64" i="72"/>
  <c r="I64" i="72"/>
  <c r="H64" i="72"/>
  <c r="G64" i="72"/>
  <c r="F64" i="72"/>
  <c r="E64" i="72"/>
  <c r="D64" i="72"/>
  <c r="C64" i="72"/>
  <c r="B64" i="72"/>
  <c r="N63" i="72"/>
  <c r="M63" i="72"/>
  <c r="L63" i="72"/>
  <c r="K63" i="72"/>
  <c r="J63" i="72"/>
  <c r="I63" i="72"/>
  <c r="H63" i="72"/>
  <c r="G63" i="72"/>
  <c r="F63" i="72"/>
  <c r="E63" i="72"/>
  <c r="D63" i="72"/>
  <c r="C63" i="72"/>
  <c r="B63" i="72"/>
  <c r="O62" i="72"/>
  <c r="N62" i="72"/>
  <c r="M62" i="72"/>
  <c r="L62" i="72"/>
  <c r="O61" i="72"/>
  <c r="N61" i="72"/>
  <c r="M61" i="72"/>
  <c r="L61" i="72"/>
  <c r="O60" i="72"/>
  <c r="N60" i="72"/>
  <c r="M60" i="72"/>
  <c r="L60" i="72"/>
  <c r="O59" i="72"/>
  <c r="N59" i="72"/>
  <c r="M59" i="72"/>
  <c r="L59" i="72"/>
  <c r="O58" i="72"/>
  <c r="N58" i="72"/>
  <c r="M58" i="72"/>
  <c r="L58" i="72"/>
  <c r="O57" i="72"/>
  <c r="N57" i="72"/>
  <c r="M57" i="72"/>
  <c r="L57" i="72"/>
  <c r="O56" i="72"/>
  <c r="N56" i="72"/>
  <c r="M56" i="72"/>
  <c r="L56" i="72"/>
  <c r="O55" i="72"/>
  <c r="N55" i="72"/>
  <c r="M55" i="72"/>
  <c r="L55" i="72"/>
  <c r="O54" i="72"/>
  <c r="N54" i="72"/>
  <c r="M54" i="72"/>
  <c r="L54" i="72"/>
  <c r="O53" i="72"/>
  <c r="N53" i="72"/>
  <c r="M53" i="72"/>
  <c r="L53" i="72"/>
  <c r="O52" i="72"/>
  <c r="N52" i="72"/>
  <c r="M52" i="72"/>
  <c r="L52" i="72"/>
  <c r="O51" i="72"/>
  <c r="N51" i="72"/>
  <c r="M51" i="72"/>
  <c r="L51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N45" i="72"/>
  <c r="M45" i="72"/>
  <c r="L45" i="72"/>
  <c r="O44" i="72"/>
  <c r="N44" i="72"/>
  <c r="M44" i="72"/>
  <c r="L44" i="72"/>
  <c r="K44" i="72"/>
  <c r="O43" i="72"/>
  <c r="N43" i="72"/>
  <c r="M43" i="72"/>
  <c r="L43" i="72"/>
  <c r="K43" i="72"/>
  <c r="O42" i="72"/>
  <c r="N42" i="72"/>
  <c r="M42" i="72"/>
  <c r="L42" i="72"/>
  <c r="K42" i="72"/>
  <c r="O41" i="72"/>
  <c r="N41" i="72"/>
  <c r="M41" i="72"/>
  <c r="L41" i="72"/>
  <c r="K41" i="72"/>
  <c r="O40" i="72"/>
  <c r="N40" i="72"/>
  <c r="M40" i="72"/>
  <c r="L40" i="72"/>
  <c r="K40" i="72"/>
  <c r="O39" i="72"/>
  <c r="N39" i="72"/>
  <c r="M39" i="72"/>
  <c r="L39" i="72"/>
  <c r="K39" i="72"/>
  <c r="N38" i="72"/>
  <c r="M38" i="72"/>
  <c r="L38" i="72"/>
  <c r="N37" i="72"/>
  <c r="M37" i="72"/>
  <c r="L37" i="72"/>
  <c r="N36" i="72"/>
  <c r="M36" i="72"/>
  <c r="L36" i="72"/>
  <c r="N35" i="72"/>
  <c r="M35" i="72"/>
  <c r="L35" i="72"/>
  <c r="O34" i="72"/>
  <c r="N34" i="72"/>
  <c r="M34" i="72"/>
  <c r="L34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N29" i="72"/>
  <c r="M29" i="72"/>
  <c r="L29" i="72"/>
  <c r="N28" i="72"/>
  <c r="M28" i="72"/>
  <c r="L28" i="72"/>
  <c r="N27" i="72"/>
  <c r="M27" i="72"/>
  <c r="L27" i="72"/>
  <c r="K27" i="72"/>
  <c r="N26" i="72"/>
  <c r="M26" i="72"/>
  <c r="L26" i="72"/>
  <c r="K26" i="72"/>
  <c r="N25" i="72"/>
  <c r="M25" i="72"/>
  <c r="L25" i="72"/>
  <c r="N24" i="72"/>
  <c r="M24" i="72"/>
  <c r="L24" i="72"/>
  <c r="N23" i="72"/>
  <c r="M23" i="72"/>
  <c r="L23" i="72"/>
  <c r="N22" i="72"/>
  <c r="M22" i="72"/>
  <c r="L22" i="72"/>
  <c r="N21" i="72"/>
  <c r="M21" i="72"/>
  <c r="L21" i="72"/>
  <c r="N20" i="72"/>
  <c r="M20" i="72"/>
  <c r="L20" i="72"/>
  <c r="N19" i="72"/>
  <c r="M19" i="72"/>
  <c r="L19" i="72"/>
  <c r="N18" i="72"/>
  <c r="M18" i="72"/>
  <c r="L18" i="72"/>
  <c r="K15" i="72"/>
  <c r="J15" i="72"/>
  <c r="I15" i="72"/>
  <c r="H15" i="72"/>
  <c r="H111" i="72" s="1"/>
  <c r="G15" i="72"/>
  <c r="F15" i="72"/>
  <c r="E15" i="72"/>
  <c r="D15" i="72"/>
  <c r="D111" i="72" s="1"/>
  <c r="C15" i="72"/>
  <c r="B15" i="72"/>
  <c r="B79" i="72" s="1"/>
  <c r="M14" i="72"/>
  <c r="L14" i="72"/>
  <c r="N12" i="72"/>
  <c r="N108" i="72" s="1"/>
  <c r="M12" i="72"/>
  <c r="L12" i="72"/>
  <c r="L92" i="72" s="1"/>
  <c r="M11" i="72"/>
  <c r="M107" i="72" s="1"/>
  <c r="M10" i="72"/>
  <c r="L10" i="72"/>
  <c r="O9" i="72"/>
  <c r="N9" i="72"/>
  <c r="M9" i="72"/>
  <c r="L9" i="72"/>
  <c r="O8" i="72"/>
  <c r="N8" i="72"/>
  <c r="M8" i="72"/>
  <c r="L8" i="72"/>
  <c r="N7" i="72"/>
  <c r="M7" i="72"/>
  <c r="L7" i="72"/>
  <c r="N6" i="72"/>
  <c r="M6" i="72"/>
  <c r="L6" i="72"/>
  <c r="N5" i="72"/>
  <c r="M5" i="72"/>
  <c r="L5" i="72"/>
  <c r="N4" i="72"/>
  <c r="N84" i="72" s="1"/>
  <c r="M4" i="72"/>
  <c r="L4" i="72"/>
  <c r="N3" i="72"/>
  <c r="M3" i="72"/>
  <c r="L3" i="72"/>
  <c r="P62" i="81"/>
  <c r="P61" i="81"/>
  <c r="C61" i="81"/>
  <c r="O60" i="81"/>
  <c r="AJ60" i="81" s="1"/>
  <c r="N60" i="81"/>
  <c r="AI60" i="81" s="1"/>
  <c r="M60" i="81"/>
  <c r="AH60" i="81" s="1"/>
  <c r="L60" i="81"/>
  <c r="AG60" i="81" s="1"/>
  <c r="K60" i="81"/>
  <c r="AF60" i="81" s="1"/>
  <c r="J60" i="81"/>
  <c r="AE60" i="81" s="1"/>
  <c r="I60" i="81"/>
  <c r="AD60" i="81" s="1"/>
  <c r="H60" i="81"/>
  <c r="AC60" i="81" s="1"/>
  <c r="G60" i="81"/>
  <c r="AB60" i="81" s="1"/>
  <c r="F60" i="81"/>
  <c r="AA60" i="81" s="1"/>
  <c r="E60" i="81"/>
  <c r="Z60" i="81" s="1"/>
  <c r="D60" i="81"/>
  <c r="Y60" i="81" s="1"/>
  <c r="C60" i="81"/>
  <c r="P59" i="81"/>
  <c r="C59" i="81"/>
  <c r="P58" i="81"/>
  <c r="C58" i="81"/>
  <c r="P57" i="81"/>
  <c r="C57" i="81"/>
  <c r="P56" i="81"/>
  <c r="H56" i="81"/>
  <c r="AC56" i="81" s="1"/>
  <c r="D56" i="81"/>
  <c r="Y56" i="81" s="1"/>
  <c r="X56" i="81" s="1"/>
  <c r="C56" i="81"/>
  <c r="P55" i="81"/>
  <c r="C54" i="81"/>
  <c r="O53" i="81"/>
  <c r="AJ53" i="81" s="1"/>
  <c r="N53" i="81"/>
  <c r="AI53" i="81" s="1"/>
  <c r="M53" i="81"/>
  <c r="AH53" i="81" s="1"/>
  <c r="L53" i="81"/>
  <c r="AG53" i="81" s="1"/>
  <c r="K53" i="81"/>
  <c r="AF53" i="81" s="1"/>
  <c r="J53" i="81"/>
  <c r="AE53" i="81" s="1"/>
  <c r="I53" i="81"/>
  <c r="AD53" i="81" s="1"/>
  <c r="H53" i="81"/>
  <c r="AC53" i="81" s="1"/>
  <c r="G53" i="81"/>
  <c r="AB53" i="81" s="1"/>
  <c r="F53" i="81"/>
  <c r="AA53" i="81" s="1"/>
  <c r="E53" i="81"/>
  <c r="Z53" i="81" s="1"/>
  <c r="D53" i="81"/>
  <c r="Y53" i="81" s="1"/>
  <c r="C53" i="81"/>
  <c r="O52" i="81"/>
  <c r="AJ52" i="81" s="1"/>
  <c r="N52" i="81"/>
  <c r="AI52" i="81" s="1"/>
  <c r="M52" i="81"/>
  <c r="AH52" i="81" s="1"/>
  <c r="L52" i="81"/>
  <c r="AG52" i="81" s="1"/>
  <c r="K52" i="81"/>
  <c r="AF52" i="81" s="1"/>
  <c r="J52" i="81"/>
  <c r="AE52" i="81" s="1"/>
  <c r="I52" i="81"/>
  <c r="AD52" i="81" s="1"/>
  <c r="H52" i="81"/>
  <c r="AC52" i="81" s="1"/>
  <c r="G52" i="81"/>
  <c r="AB52" i="81" s="1"/>
  <c r="F52" i="81"/>
  <c r="AA52" i="81" s="1"/>
  <c r="X52" i="81" s="1"/>
  <c r="E52" i="81"/>
  <c r="Z52" i="81" s="1"/>
  <c r="D52" i="81"/>
  <c r="Y52" i="81" s="1"/>
  <c r="C52" i="81"/>
  <c r="C51" i="81"/>
  <c r="C50" i="81"/>
  <c r="C49" i="81"/>
  <c r="C48" i="81"/>
  <c r="O47" i="81"/>
  <c r="AJ47" i="81" s="1"/>
  <c r="N47" i="81"/>
  <c r="AI47" i="81" s="1"/>
  <c r="M47" i="81"/>
  <c r="AH47" i="81" s="1"/>
  <c r="L47" i="81"/>
  <c r="AG47" i="81" s="1"/>
  <c r="K47" i="81"/>
  <c r="AF47" i="81" s="1"/>
  <c r="J47" i="81"/>
  <c r="AE47" i="81" s="1"/>
  <c r="I47" i="81"/>
  <c r="AD47" i="81" s="1"/>
  <c r="H47" i="81"/>
  <c r="AC47" i="81" s="1"/>
  <c r="G47" i="81"/>
  <c r="AB47" i="81" s="1"/>
  <c r="F47" i="81"/>
  <c r="AA47" i="81" s="1"/>
  <c r="E47" i="81"/>
  <c r="Z47" i="81" s="1"/>
  <c r="D47" i="81"/>
  <c r="Y47" i="81" s="1"/>
  <c r="C47" i="81"/>
  <c r="C46" i="81"/>
  <c r="O45" i="81"/>
  <c r="AJ45" i="81" s="1"/>
  <c r="N45" i="81"/>
  <c r="AI45" i="81" s="1"/>
  <c r="M45" i="81"/>
  <c r="AH45" i="81" s="1"/>
  <c r="L45" i="81"/>
  <c r="AG45" i="81" s="1"/>
  <c r="K45" i="81"/>
  <c r="AF45" i="81" s="1"/>
  <c r="J45" i="81"/>
  <c r="AE45" i="81" s="1"/>
  <c r="I45" i="81"/>
  <c r="AD45" i="81" s="1"/>
  <c r="H45" i="81"/>
  <c r="AC45" i="81" s="1"/>
  <c r="G45" i="81"/>
  <c r="AB45" i="81" s="1"/>
  <c r="F45" i="81"/>
  <c r="AA45" i="81" s="1"/>
  <c r="E45" i="81"/>
  <c r="Z45" i="81" s="1"/>
  <c r="D45" i="81"/>
  <c r="Y45" i="81" s="1"/>
  <c r="C45" i="81"/>
  <c r="C44" i="81"/>
  <c r="C43" i="81"/>
  <c r="O42" i="81"/>
  <c r="AJ42" i="81" s="1"/>
  <c r="N42" i="81"/>
  <c r="AI42" i="81" s="1"/>
  <c r="M42" i="81"/>
  <c r="AH42" i="81" s="1"/>
  <c r="L42" i="81"/>
  <c r="AG42" i="81" s="1"/>
  <c r="K42" i="81"/>
  <c r="AF42" i="81" s="1"/>
  <c r="J42" i="81"/>
  <c r="AE42" i="81" s="1"/>
  <c r="I42" i="81"/>
  <c r="AD42" i="81" s="1"/>
  <c r="H42" i="81"/>
  <c r="AC42" i="81" s="1"/>
  <c r="G42" i="81"/>
  <c r="AB42" i="81" s="1"/>
  <c r="F42" i="81"/>
  <c r="AA42" i="81" s="1"/>
  <c r="E42" i="81"/>
  <c r="Z42" i="81" s="1"/>
  <c r="D42" i="81"/>
  <c r="Y42" i="81" s="1"/>
  <c r="C42" i="81"/>
  <c r="O41" i="81"/>
  <c r="AJ41" i="81" s="1"/>
  <c r="N41" i="81"/>
  <c r="AI41" i="81" s="1"/>
  <c r="M41" i="81"/>
  <c r="AH41" i="81" s="1"/>
  <c r="L41" i="81"/>
  <c r="AG41" i="81" s="1"/>
  <c r="K41" i="81"/>
  <c r="AF41" i="81" s="1"/>
  <c r="J41" i="81"/>
  <c r="AE41" i="81" s="1"/>
  <c r="I41" i="81"/>
  <c r="AD41" i="81" s="1"/>
  <c r="H41" i="81"/>
  <c r="AC41" i="81" s="1"/>
  <c r="G41" i="81"/>
  <c r="AB41" i="81" s="1"/>
  <c r="F41" i="81"/>
  <c r="AA41" i="81" s="1"/>
  <c r="E41" i="81"/>
  <c r="Z41" i="81" s="1"/>
  <c r="D41" i="81"/>
  <c r="Y41" i="81" s="1"/>
  <c r="C41" i="81"/>
  <c r="O40" i="81"/>
  <c r="AJ40" i="81" s="1"/>
  <c r="N40" i="81"/>
  <c r="AI40" i="81" s="1"/>
  <c r="M40" i="81"/>
  <c r="AH40" i="81" s="1"/>
  <c r="L40" i="81"/>
  <c r="AG40" i="81" s="1"/>
  <c r="K40" i="81"/>
  <c r="AF40" i="81" s="1"/>
  <c r="J40" i="81"/>
  <c r="AE40" i="81" s="1"/>
  <c r="I40" i="81"/>
  <c r="AD40" i="81" s="1"/>
  <c r="H40" i="81"/>
  <c r="AC40" i="81" s="1"/>
  <c r="G40" i="81"/>
  <c r="AB40" i="81" s="1"/>
  <c r="F40" i="81"/>
  <c r="AA40" i="81" s="1"/>
  <c r="X40" i="81" s="1"/>
  <c r="E40" i="81"/>
  <c r="Z40" i="81" s="1"/>
  <c r="D40" i="81"/>
  <c r="Y40" i="81" s="1"/>
  <c r="C40" i="81"/>
  <c r="C39" i="81"/>
  <c r="C38" i="81"/>
  <c r="C37" i="81"/>
  <c r="C36" i="81"/>
  <c r="C35" i="81"/>
  <c r="C34" i="81"/>
  <c r="C31" i="81"/>
  <c r="P30" i="81"/>
  <c r="C30" i="81"/>
  <c r="O29" i="81"/>
  <c r="N29" i="81"/>
  <c r="M29" i="81"/>
  <c r="L29" i="81"/>
  <c r="K29" i="81"/>
  <c r="J29" i="81"/>
  <c r="I29" i="81"/>
  <c r="H29" i="81"/>
  <c r="G29" i="81"/>
  <c r="F29" i="81"/>
  <c r="E29" i="81"/>
  <c r="D29" i="81"/>
  <c r="C29" i="81"/>
  <c r="P28" i="81"/>
  <c r="C28" i="81"/>
  <c r="P27" i="81"/>
  <c r="C27" i="81"/>
  <c r="P26" i="81"/>
  <c r="C26" i="81"/>
  <c r="O25" i="81"/>
  <c r="N25" i="81"/>
  <c r="M25" i="81"/>
  <c r="L25" i="81"/>
  <c r="K25" i="81"/>
  <c r="J25" i="81"/>
  <c r="I25" i="81"/>
  <c r="H25" i="81"/>
  <c r="G25" i="81"/>
  <c r="F25" i="81"/>
  <c r="E25" i="81"/>
  <c r="D25" i="81"/>
  <c r="C25" i="81"/>
  <c r="O24" i="81"/>
  <c r="N24" i="81"/>
  <c r="M24" i="81"/>
  <c r="L24" i="81"/>
  <c r="K24" i="81"/>
  <c r="J24" i="81"/>
  <c r="I24" i="81"/>
  <c r="H24" i="81"/>
  <c r="G24" i="81"/>
  <c r="F24" i="81"/>
  <c r="C24" i="81"/>
  <c r="C23" i="81"/>
  <c r="P22" i="81"/>
  <c r="C22" i="81"/>
  <c r="P21" i="81"/>
  <c r="C21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C20" i="81"/>
  <c r="O19" i="81"/>
  <c r="N19" i="81"/>
  <c r="M19" i="81"/>
  <c r="L19" i="81"/>
  <c r="K19" i="81"/>
  <c r="J19" i="81"/>
  <c r="I19" i="81"/>
  <c r="H19" i="81"/>
  <c r="G19" i="81"/>
  <c r="F19" i="81"/>
  <c r="E19" i="81"/>
  <c r="D19" i="81"/>
  <c r="C19" i="81"/>
  <c r="P18" i="81"/>
  <c r="C18" i="81"/>
  <c r="O17" i="81"/>
  <c r="N17" i="81"/>
  <c r="M17" i="81"/>
  <c r="L17" i="81"/>
  <c r="K17" i="81"/>
  <c r="J17" i="81"/>
  <c r="I17" i="81"/>
  <c r="H17" i="81"/>
  <c r="G17" i="81"/>
  <c r="F17" i="81"/>
  <c r="E17" i="81"/>
  <c r="D17" i="81"/>
  <c r="C17" i="81"/>
  <c r="P16" i="81"/>
  <c r="C16" i="81"/>
  <c r="O15" i="81"/>
  <c r="N15" i="81"/>
  <c r="M15" i="81"/>
  <c r="L15" i="81"/>
  <c r="K15" i="81"/>
  <c r="J15" i="81"/>
  <c r="I15" i="81"/>
  <c r="H15" i="81"/>
  <c r="G15" i="81"/>
  <c r="F15" i="81"/>
  <c r="E15" i="81"/>
  <c r="D15" i="81"/>
  <c r="C15" i="81"/>
  <c r="P14" i="81"/>
  <c r="O47" i="76"/>
  <c r="N47" i="76"/>
  <c r="M47" i="76"/>
  <c r="L47" i="76"/>
  <c r="K47" i="76"/>
  <c r="J47" i="76"/>
  <c r="I47" i="76"/>
  <c r="H47" i="76"/>
  <c r="G47" i="76"/>
  <c r="F47" i="76"/>
  <c r="E47" i="76"/>
  <c r="D47" i="76"/>
  <c r="P47" i="76" s="1"/>
  <c r="C47" i="76"/>
  <c r="P46" i="76"/>
  <c r="C46" i="76"/>
  <c r="P45" i="76"/>
  <c r="O45" i="76"/>
  <c r="N45" i="76"/>
  <c r="M45" i="76"/>
  <c r="L45" i="76"/>
  <c r="K45" i="76"/>
  <c r="J45" i="76"/>
  <c r="I45" i="76"/>
  <c r="H45" i="76"/>
  <c r="G45" i="76"/>
  <c r="F45" i="76"/>
  <c r="E45" i="76"/>
  <c r="D45" i="76"/>
  <c r="C45" i="76"/>
  <c r="P44" i="76"/>
  <c r="O44" i="76"/>
  <c r="N44" i="76"/>
  <c r="M44" i="76"/>
  <c r="L44" i="76"/>
  <c r="K44" i="76"/>
  <c r="J44" i="76"/>
  <c r="I44" i="76"/>
  <c r="H44" i="76"/>
  <c r="G44" i="76"/>
  <c r="F44" i="76"/>
  <c r="E44" i="76"/>
  <c r="D44" i="76"/>
  <c r="C44" i="76"/>
  <c r="C43" i="76"/>
  <c r="C42" i="76"/>
  <c r="C41" i="76"/>
  <c r="C40" i="76"/>
  <c r="C39" i="76"/>
  <c r="P38" i="76"/>
  <c r="C38" i="76"/>
  <c r="C37" i="76"/>
  <c r="C33" i="76"/>
  <c r="P32" i="76"/>
  <c r="D32" i="76"/>
  <c r="F136" i="86" s="1"/>
  <c r="R136" i="86" s="1"/>
  <c r="C32" i="76"/>
  <c r="P31" i="76"/>
  <c r="C31" i="76"/>
  <c r="P30" i="76"/>
  <c r="C30" i="76"/>
  <c r="O29" i="76"/>
  <c r="Q133" i="86" s="1"/>
  <c r="N29" i="76"/>
  <c r="P133" i="86" s="1"/>
  <c r="M29" i="76"/>
  <c r="O133" i="86" s="1"/>
  <c r="L29" i="76"/>
  <c r="N133" i="86" s="1"/>
  <c r="K29" i="76"/>
  <c r="M133" i="86" s="1"/>
  <c r="J29" i="76"/>
  <c r="L133" i="86" s="1"/>
  <c r="I29" i="76"/>
  <c r="K133" i="86" s="1"/>
  <c r="H29" i="76"/>
  <c r="J133" i="86" s="1"/>
  <c r="G29" i="76"/>
  <c r="I133" i="86" s="1"/>
  <c r="F29" i="76"/>
  <c r="H133" i="86" s="1"/>
  <c r="E29" i="76"/>
  <c r="G133" i="86" s="1"/>
  <c r="D29" i="76"/>
  <c r="F133" i="86" s="1"/>
  <c r="C29" i="76"/>
  <c r="O28" i="76"/>
  <c r="Q132" i="86" s="1"/>
  <c r="N28" i="76"/>
  <c r="P132" i="86" s="1"/>
  <c r="M28" i="76"/>
  <c r="O132" i="86" s="1"/>
  <c r="L28" i="76"/>
  <c r="N132" i="86" s="1"/>
  <c r="K28" i="76"/>
  <c r="M132" i="86" s="1"/>
  <c r="J28" i="76"/>
  <c r="L132" i="86" s="1"/>
  <c r="I28" i="76"/>
  <c r="K132" i="86" s="1"/>
  <c r="H28" i="76"/>
  <c r="J132" i="86" s="1"/>
  <c r="G28" i="76"/>
  <c r="I132" i="86" s="1"/>
  <c r="F28" i="76"/>
  <c r="H132" i="86" s="1"/>
  <c r="C28" i="76"/>
  <c r="P27" i="76"/>
  <c r="O27" i="76"/>
  <c r="N27" i="76"/>
  <c r="M27" i="76"/>
  <c r="L27" i="76"/>
  <c r="K27" i="76"/>
  <c r="J27" i="76"/>
  <c r="I27" i="76"/>
  <c r="H27" i="76"/>
  <c r="G27" i="76"/>
  <c r="F27" i="76"/>
  <c r="E27" i="76"/>
  <c r="D27" i="76"/>
  <c r="C27" i="76"/>
  <c r="O26" i="76"/>
  <c r="Q126" i="86" s="1"/>
  <c r="N26" i="76"/>
  <c r="P126" i="86" s="1"/>
  <c r="M26" i="76"/>
  <c r="O126" i="86" s="1"/>
  <c r="L26" i="76"/>
  <c r="N126" i="86" s="1"/>
  <c r="K26" i="76"/>
  <c r="M126" i="86" s="1"/>
  <c r="J26" i="76"/>
  <c r="L126" i="86" s="1"/>
  <c r="I26" i="76"/>
  <c r="K126" i="86" s="1"/>
  <c r="H26" i="76"/>
  <c r="J126" i="86" s="1"/>
  <c r="G26" i="76"/>
  <c r="I126" i="86" s="1"/>
  <c r="F26" i="76"/>
  <c r="H126" i="86" s="1"/>
  <c r="E26" i="76"/>
  <c r="G126" i="86" s="1"/>
  <c r="D26" i="76"/>
  <c r="F126" i="86" s="1"/>
  <c r="C26" i="76"/>
  <c r="O25" i="76"/>
  <c r="Q125" i="86" s="1"/>
  <c r="N25" i="76"/>
  <c r="P125" i="86" s="1"/>
  <c r="M25" i="76"/>
  <c r="O125" i="86" s="1"/>
  <c r="L25" i="76"/>
  <c r="N125" i="86" s="1"/>
  <c r="K25" i="76"/>
  <c r="M125" i="86" s="1"/>
  <c r="J25" i="76"/>
  <c r="L125" i="86" s="1"/>
  <c r="I25" i="76"/>
  <c r="K125" i="86" s="1"/>
  <c r="H25" i="76"/>
  <c r="J125" i="86" s="1"/>
  <c r="G25" i="76"/>
  <c r="I125" i="86" s="1"/>
  <c r="F25" i="76"/>
  <c r="H125" i="86" s="1"/>
  <c r="E25" i="76"/>
  <c r="G125" i="86" s="1"/>
  <c r="D25" i="76"/>
  <c r="F125" i="86" s="1"/>
  <c r="C25" i="76"/>
  <c r="P24" i="76"/>
  <c r="C24" i="76"/>
  <c r="P23" i="76"/>
  <c r="C23" i="76"/>
  <c r="P22" i="76"/>
  <c r="C22" i="76"/>
  <c r="O21" i="76"/>
  <c r="Q121" i="86" s="1"/>
  <c r="N21" i="76"/>
  <c r="P121" i="86" s="1"/>
  <c r="M21" i="76"/>
  <c r="O121" i="86" s="1"/>
  <c r="L21" i="76"/>
  <c r="N121" i="86" s="1"/>
  <c r="K21" i="76"/>
  <c r="M121" i="86" s="1"/>
  <c r="J21" i="76"/>
  <c r="L121" i="86" s="1"/>
  <c r="I21" i="76"/>
  <c r="K121" i="86" s="1"/>
  <c r="H21" i="76"/>
  <c r="J121" i="86" s="1"/>
  <c r="G21" i="76"/>
  <c r="I121" i="86" s="1"/>
  <c r="F21" i="76"/>
  <c r="H121" i="86" s="1"/>
  <c r="E21" i="76"/>
  <c r="G121" i="86" s="1"/>
  <c r="D21" i="76"/>
  <c r="F121" i="86" s="1"/>
  <c r="C21" i="76"/>
  <c r="P20" i="76"/>
  <c r="C20" i="76"/>
  <c r="O19" i="76"/>
  <c r="Q119" i="86" s="1"/>
  <c r="N19" i="76"/>
  <c r="P119" i="86" s="1"/>
  <c r="M19" i="76"/>
  <c r="O119" i="86" s="1"/>
  <c r="L19" i="76"/>
  <c r="N119" i="86" s="1"/>
  <c r="K19" i="76"/>
  <c r="M119" i="86" s="1"/>
  <c r="J19" i="76"/>
  <c r="L119" i="86" s="1"/>
  <c r="I19" i="76"/>
  <c r="K119" i="86" s="1"/>
  <c r="H19" i="76"/>
  <c r="J119" i="86" s="1"/>
  <c r="G19" i="76"/>
  <c r="I119" i="86" s="1"/>
  <c r="F19" i="76"/>
  <c r="H119" i="86" s="1"/>
  <c r="E19" i="76"/>
  <c r="G119" i="86" s="1"/>
  <c r="D19" i="76"/>
  <c r="F119" i="86" s="1"/>
  <c r="C19" i="76"/>
  <c r="P18" i="76"/>
  <c r="C18" i="76"/>
  <c r="O17" i="76"/>
  <c r="Q115" i="86" s="1"/>
  <c r="N17" i="76"/>
  <c r="P115" i="86" s="1"/>
  <c r="M17" i="76"/>
  <c r="O115" i="86" s="1"/>
  <c r="L17" i="76"/>
  <c r="N115" i="86" s="1"/>
  <c r="K17" i="76"/>
  <c r="M115" i="86" s="1"/>
  <c r="J17" i="76"/>
  <c r="L115" i="86" s="1"/>
  <c r="I17" i="76"/>
  <c r="K115" i="86" s="1"/>
  <c r="H17" i="76"/>
  <c r="J115" i="86" s="1"/>
  <c r="G17" i="76"/>
  <c r="I115" i="86" s="1"/>
  <c r="F17" i="76"/>
  <c r="H115" i="86" s="1"/>
  <c r="E17" i="76"/>
  <c r="G115" i="86" s="1"/>
  <c r="D17" i="76"/>
  <c r="F115" i="86" s="1"/>
  <c r="C17" i="76"/>
  <c r="P16" i="76"/>
  <c r="C16" i="76"/>
  <c r="P15" i="76"/>
  <c r="C15" i="76"/>
  <c r="P14" i="76"/>
  <c r="P28" i="83"/>
  <c r="O28" i="83"/>
  <c r="N28" i="83"/>
  <c r="M28" i="83"/>
  <c r="L28" i="83"/>
  <c r="K28" i="83"/>
  <c r="J28" i="83"/>
  <c r="I28" i="83"/>
  <c r="H28" i="83"/>
  <c r="G28" i="83"/>
  <c r="F28" i="83"/>
  <c r="E28" i="83"/>
  <c r="D28" i="83"/>
  <c r="P20" i="83"/>
  <c r="O20" i="83"/>
  <c r="N20" i="83"/>
  <c r="M20" i="83"/>
  <c r="L20" i="83"/>
  <c r="K20" i="83"/>
  <c r="J20" i="83"/>
  <c r="I20" i="83"/>
  <c r="H20" i="83"/>
  <c r="G20" i="83"/>
  <c r="F20" i="83"/>
  <c r="E20" i="83"/>
  <c r="D20" i="83"/>
  <c r="P14" i="83"/>
  <c r="P10" i="83"/>
  <c r="P9" i="83"/>
  <c r="P8" i="83"/>
  <c r="J216" i="73"/>
  <c r="F216" i="73"/>
  <c r="M212" i="73"/>
  <c r="L212" i="73"/>
  <c r="K212" i="73"/>
  <c r="J212" i="73"/>
  <c r="I212" i="73"/>
  <c r="H212" i="73"/>
  <c r="G212" i="73"/>
  <c r="F212" i="73"/>
  <c r="E212" i="73"/>
  <c r="D212" i="73"/>
  <c r="C212" i="73"/>
  <c r="B212" i="73"/>
  <c r="M211" i="73"/>
  <c r="L211" i="73"/>
  <c r="K211" i="73"/>
  <c r="J211" i="73"/>
  <c r="I211" i="73"/>
  <c r="H211" i="73"/>
  <c r="G211" i="73"/>
  <c r="F211" i="73"/>
  <c r="E211" i="73"/>
  <c r="D211" i="73"/>
  <c r="C211" i="73"/>
  <c r="B211" i="73"/>
  <c r="M203" i="73"/>
  <c r="L203" i="73"/>
  <c r="K203" i="73"/>
  <c r="J203" i="73"/>
  <c r="I203" i="73"/>
  <c r="H203" i="73"/>
  <c r="G203" i="73"/>
  <c r="F203" i="73"/>
  <c r="E203" i="73"/>
  <c r="D203" i="73"/>
  <c r="C203" i="73"/>
  <c r="B203" i="73"/>
  <c r="M202" i="73"/>
  <c r="L202" i="73"/>
  <c r="K202" i="73"/>
  <c r="J202" i="73"/>
  <c r="I202" i="73"/>
  <c r="H202" i="73"/>
  <c r="G202" i="73"/>
  <c r="F202" i="73"/>
  <c r="E202" i="73"/>
  <c r="D202" i="73"/>
  <c r="C202" i="73"/>
  <c r="B202" i="73"/>
  <c r="B179" i="73"/>
  <c r="M172" i="73"/>
  <c r="L172" i="73"/>
  <c r="K172" i="73"/>
  <c r="J172" i="73"/>
  <c r="I172" i="73"/>
  <c r="H172" i="73"/>
  <c r="G172" i="73"/>
  <c r="F172" i="73"/>
  <c r="E172" i="73"/>
  <c r="D172" i="73"/>
  <c r="C172" i="73"/>
  <c r="B172" i="73"/>
  <c r="M171" i="73"/>
  <c r="L171" i="73"/>
  <c r="K171" i="73"/>
  <c r="J171" i="73"/>
  <c r="I171" i="73"/>
  <c r="H171" i="73"/>
  <c r="G171" i="73"/>
  <c r="F171" i="73"/>
  <c r="E171" i="73"/>
  <c r="D171" i="73"/>
  <c r="C171" i="73"/>
  <c r="B171" i="73"/>
  <c r="M170" i="73"/>
  <c r="L170" i="73"/>
  <c r="K170" i="73"/>
  <c r="J170" i="73"/>
  <c r="I170" i="73"/>
  <c r="H170" i="73"/>
  <c r="G170" i="73"/>
  <c r="F170" i="73"/>
  <c r="E170" i="73"/>
  <c r="D170" i="73"/>
  <c r="C170" i="73"/>
  <c r="B170" i="73"/>
  <c r="M169" i="73"/>
  <c r="L169" i="73"/>
  <c r="K169" i="73"/>
  <c r="J169" i="73"/>
  <c r="I169" i="73"/>
  <c r="H169" i="73"/>
  <c r="G169" i="73"/>
  <c r="F169" i="73"/>
  <c r="E169" i="73"/>
  <c r="D169" i="73"/>
  <c r="C169" i="73"/>
  <c r="B169" i="73"/>
  <c r="M168" i="73"/>
  <c r="L168" i="73"/>
  <c r="K168" i="73"/>
  <c r="J168" i="73"/>
  <c r="I168" i="73"/>
  <c r="H168" i="73"/>
  <c r="G168" i="73"/>
  <c r="F168" i="73"/>
  <c r="E168" i="73"/>
  <c r="D168" i="73"/>
  <c r="C168" i="73"/>
  <c r="B168" i="73"/>
  <c r="M167" i="73"/>
  <c r="L167" i="73"/>
  <c r="K167" i="73"/>
  <c r="J167" i="73"/>
  <c r="I167" i="73"/>
  <c r="H167" i="73"/>
  <c r="G167" i="73"/>
  <c r="F167" i="73"/>
  <c r="E167" i="73"/>
  <c r="D167" i="73"/>
  <c r="C167" i="73"/>
  <c r="B167" i="73"/>
  <c r="M163" i="73"/>
  <c r="L163" i="73"/>
  <c r="K163" i="73"/>
  <c r="J163" i="73"/>
  <c r="I163" i="73"/>
  <c r="H163" i="73"/>
  <c r="G163" i="73"/>
  <c r="F163" i="73"/>
  <c r="E163" i="73"/>
  <c r="D163" i="73"/>
  <c r="C163" i="73"/>
  <c r="B163" i="73"/>
  <c r="M162" i="73"/>
  <c r="L162" i="73"/>
  <c r="K162" i="73"/>
  <c r="J162" i="73"/>
  <c r="I162" i="73"/>
  <c r="H162" i="73"/>
  <c r="G162" i="73"/>
  <c r="F162" i="73"/>
  <c r="E162" i="73"/>
  <c r="D162" i="73"/>
  <c r="C162" i="73"/>
  <c r="B162" i="73"/>
  <c r="M161" i="73"/>
  <c r="L161" i="73"/>
  <c r="K161" i="73"/>
  <c r="J161" i="73"/>
  <c r="I161" i="73"/>
  <c r="H161" i="73"/>
  <c r="G161" i="73"/>
  <c r="F161" i="73"/>
  <c r="E161" i="73"/>
  <c r="D161" i="73"/>
  <c r="C161" i="73"/>
  <c r="B161" i="73"/>
  <c r="M160" i="73"/>
  <c r="L160" i="73"/>
  <c r="K160" i="73"/>
  <c r="J160" i="73"/>
  <c r="I160" i="73"/>
  <c r="H160" i="73"/>
  <c r="G160" i="73"/>
  <c r="F160" i="73"/>
  <c r="E160" i="73"/>
  <c r="D160" i="73"/>
  <c r="C160" i="73"/>
  <c r="B160" i="73"/>
  <c r="M159" i="73"/>
  <c r="L159" i="73"/>
  <c r="K159" i="73"/>
  <c r="J159" i="73"/>
  <c r="I159" i="73"/>
  <c r="H159" i="73"/>
  <c r="G159" i="73"/>
  <c r="F159" i="73"/>
  <c r="E159" i="73"/>
  <c r="D159" i="73"/>
  <c r="C159" i="73"/>
  <c r="B159" i="73"/>
  <c r="M158" i="73"/>
  <c r="L158" i="73"/>
  <c r="K158" i="73"/>
  <c r="J158" i="73"/>
  <c r="I158" i="73"/>
  <c r="H158" i="73"/>
  <c r="G158" i="73"/>
  <c r="F158" i="73"/>
  <c r="E158" i="73"/>
  <c r="D158" i="73"/>
  <c r="C158" i="73"/>
  <c r="B158" i="73"/>
  <c r="M157" i="73"/>
  <c r="L157" i="73"/>
  <c r="K157" i="73"/>
  <c r="J157" i="73"/>
  <c r="I157" i="73"/>
  <c r="H157" i="73"/>
  <c r="G157" i="73"/>
  <c r="F157" i="73"/>
  <c r="E157" i="73"/>
  <c r="D157" i="73"/>
  <c r="C157" i="73"/>
  <c r="B157" i="73"/>
  <c r="M156" i="73"/>
  <c r="L156" i="73"/>
  <c r="K156" i="73"/>
  <c r="J156" i="73"/>
  <c r="I156" i="73"/>
  <c r="H156" i="73"/>
  <c r="G156" i="73"/>
  <c r="F156" i="73"/>
  <c r="E156" i="73"/>
  <c r="D156" i="73"/>
  <c r="C156" i="73"/>
  <c r="B156" i="73"/>
  <c r="M155" i="73"/>
  <c r="L155" i="73"/>
  <c r="K155" i="73"/>
  <c r="J155" i="73"/>
  <c r="I155" i="73"/>
  <c r="H155" i="73"/>
  <c r="G155" i="73"/>
  <c r="F155" i="73"/>
  <c r="E155" i="73"/>
  <c r="D155" i="73"/>
  <c r="C155" i="73"/>
  <c r="B155" i="73"/>
  <c r="M154" i="73"/>
  <c r="L154" i="73"/>
  <c r="K154" i="73"/>
  <c r="J154" i="73"/>
  <c r="I154" i="73"/>
  <c r="H154" i="73"/>
  <c r="G154" i="73"/>
  <c r="F154" i="73"/>
  <c r="E154" i="73"/>
  <c r="D154" i="73"/>
  <c r="C154" i="73"/>
  <c r="B154" i="73"/>
  <c r="M153" i="73"/>
  <c r="L153" i="73"/>
  <c r="K153" i="73"/>
  <c r="J153" i="73"/>
  <c r="I153" i="73"/>
  <c r="H153" i="73"/>
  <c r="G153" i="73"/>
  <c r="F153" i="73"/>
  <c r="E153" i="73"/>
  <c r="D153" i="73"/>
  <c r="C153" i="73"/>
  <c r="B153" i="73"/>
  <c r="M152" i="73"/>
  <c r="L152" i="73"/>
  <c r="K152" i="73"/>
  <c r="J152" i="73"/>
  <c r="I152" i="73"/>
  <c r="H152" i="73"/>
  <c r="G152" i="73"/>
  <c r="F152" i="73"/>
  <c r="E152" i="73"/>
  <c r="D152" i="73"/>
  <c r="C152" i="73"/>
  <c r="B152" i="73"/>
  <c r="M133" i="73"/>
  <c r="L133" i="73"/>
  <c r="K133" i="73"/>
  <c r="J133" i="73"/>
  <c r="I133" i="73"/>
  <c r="H133" i="73"/>
  <c r="G133" i="73"/>
  <c r="F133" i="73"/>
  <c r="E133" i="73"/>
  <c r="D133" i="73"/>
  <c r="C133" i="73"/>
  <c r="B133" i="73"/>
  <c r="M132" i="73"/>
  <c r="L132" i="73"/>
  <c r="K132" i="73"/>
  <c r="J132" i="73"/>
  <c r="I132" i="73"/>
  <c r="H132" i="73"/>
  <c r="G132" i="73"/>
  <c r="F132" i="73"/>
  <c r="E132" i="73"/>
  <c r="D132" i="73"/>
  <c r="C132" i="73"/>
  <c r="B132" i="73"/>
  <c r="M131" i="73"/>
  <c r="L131" i="73"/>
  <c r="K131" i="73"/>
  <c r="J131" i="73"/>
  <c r="I131" i="73"/>
  <c r="H131" i="73"/>
  <c r="G131" i="73"/>
  <c r="F131" i="73"/>
  <c r="E131" i="73"/>
  <c r="D131" i="73"/>
  <c r="C131" i="73"/>
  <c r="B131" i="73"/>
  <c r="M130" i="73"/>
  <c r="L130" i="73"/>
  <c r="K130" i="73"/>
  <c r="J130" i="73"/>
  <c r="I130" i="73"/>
  <c r="H130" i="73"/>
  <c r="G130" i="73"/>
  <c r="F130" i="73"/>
  <c r="E130" i="73"/>
  <c r="D130" i="73"/>
  <c r="C130" i="73"/>
  <c r="B130" i="73"/>
  <c r="M129" i="73"/>
  <c r="L129" i="73"/>
  <c r="K129" i="73"/>
  <c r="J129" i="73"/>
  <c r="I129" i="73"/>
  <c r="H129" i="73"/>
  <c r="G129" i="73"/>
  <c r="F129" i="73"/>
  <c r="E129" i="73"/>
  <c r="D129" i="73"/>
  <c r="C129" i="73"/>
  <c r="B129" i="73"/>
  <c r="M128" i="73"/>
  <c r="L128" i="73"/>
  <c r="K128" i="73"/>
  <c r="J128" i="73"/>
  <c r="I128" i="73"/>
  <c r="H128" i="73"/>
  <c r="G128" i="73"/>
  <c r="F128" i="73"/>
  <c r="E128" i="73"/>
  <c r="D128" i="73"/>
  <c r="C128" i="73"/>
  <c r="B128" i="73"/>
  <c r="M127" i="73"/>
  <c r="L127" i="73"/>
  <c r="K127" i="73"/>
  <c r="J127" i="73"/>
  <c r="I127" i="73"/>
  <c r="H127" i="73"/>
  <c r="G127" i="73"/>
  <c r="F127" i="73"/>
  <c r="E127" i="73"/>
  <c r="D127" i="73"/>
  <c r="C127" i="73"/>
  <c r="B127" i="73"/>
  <c r="M126" i="73"/>
  <c r="L126" i="73"/>
  <c r="K126" i="73"/>
  <c r="J126" i="73"/>
  <c r="I126" i="73"/>
  <c r="H126" i="73"/>
  <c r="G126" i="73"/>
  <c r="F126" i="73"/>
  <c r="E126" i="73"/>
  <c r="D126" i="73"/>
  <c r="C126" i="73"/>
  <c r="B126" i="73"/>
  <c r="M125" i="73"/>
  <c r="L125" i="73"/>
  <c r="K125" i="73"/>
  <c r="J125" i="73"/>
  <c r="I125" i="73"/>
  <c r="H125" i="73"/>
  <c r="G125" i="73"/>
  <c r="F125" i="73"/>
  <c r="E125" i="73"/>
  <c r="D125" i="73"/>
  <c r="C125" i="73"/>
  <c r="B125" i="73"/>
  <c r="M124" i="73"/>
  <c r="L124" i="73"/>
  <c r="K124" i="73"/>
  <c r="J124" i="73"/>
  <c r="I124" i="73"/>
  <c r="H124" i="73"/>
  <c r="G124" i="73"/>
  <c r="F124" i="73"/>
  <c r="E124" i="73"/>
  <c r="D124" i="73"/>
  <c r="C124" i="73"/>
  <c r="B124" i="73"/>
  <c r="M123" i="73"/>
  <c r="L123" i="73"/>
  <c r="K123" i="73"/>
  <c r="J123" i="73"/>
  <c r="I123" i="73"/>
  <c r="H123" i="73"/>
  <c r="G123" i="73"/>
  <c r="F123" i="73"/>
  <c r="E123" i="73"/>
  <c r="D123" i="73"/>
  <c r="C123" i="73"/>
  <c r="B123" i="73"/>
  <c r="M122" i="73"/>
  <c r="L122" i="73"/>
  <c r="K122" i="73"/>
  <c r="J122" i="73"/>
  <c r="I122" i="73"/>
  <c r="H122" i="73"/>
  <c r="G122" i="73"/>
  <c r="F122" i="73"/>
  <c r="E122" i="73"/>
  <c r="D122" i="73"/>
  <c r="C122" i="73"/>
  <c r="B122" i="73"/>
  <c r="N87" i="73"/>
  <c r="M71" i="73"/>
  <c r="L71" i="73"/>
  <c r="K71" i="73"/>
  <c r="J71" i="73"/>
  <c r="I71" i="73"/>
  <c r="H71" i="73"/>
  <c r="G71" i="73"/>
  <c r="F71" i="73"/>
  <c r="E71" i="73"/>
  <c r="D71" i="73"/>
  <c r="C71" i="73"/>
  <c r="B71" i="73"/>
  <c r="J67" i="73"/>
  <c r="F67" i="73"/>
  <c r="J66" i="73"/>
  <c r="M64" i="73"/>
  <c r="L64" i="73"/>
  <c r="K64" i="73"/>
  <c r="J64" i="73"/>
  <c r="I64" i="73"/>
  <c r="H64" i="73"/>
  <c r="G64" i="73"/>
  <c r="F64" i="73"/>
  <c r="E64" i="73"/>
  <c r="D64" i="73"/>
  <c r="C64" i="73"/>
  <c r="B64" i="73"/>
  <c r="M63" i="73"/>
  <c r="L63" i="73"/>
  <c r="K63" i="73"/>
  <c r="J63" i="73"/>
  <c r="I63" i="73"/>
  <c r="H63" i="73"/>
  <c r="G63" i="73"/>
  <c r="F63" i="73"/>
  <c r="E63" i="73"/>
  <c r="D63" i="73"/>
  <c r="C63" i="73"/>
  <c r="B63" i="73"/>
  <c r="M62" i="73"/>
  <c r="L62" i="73"/>
  <c r="K62" i="73"/>
  <c r="J62" i="73"/>
  <c r="I62" i="73"/>
  <c r="H62" i="73"/>
  <c r="G62" i="73"/>
  <c r="F62" i="73"/>
  <c r="E62" i="73"/>
  <c r="D62" i="73"/>
  <c r="C62" i="73"/>
  <c r="B62" i="73"/>
  <c r="M61" i="73"/>
  <c r="L61" i="73"/>
  <c r="K61" i="73"/>
  <c r="J61" i="73"/>
  <c r="I61" i="73"/>
  <c r="H61" i="73"/>
  <c r="G61" i="73"/>
  <c r="F61" i="73"/>
  <c r="E61" i="73"/>
  <c r="D61" i="73"/>
  <c r="C61" i="73"/>
  <c r="B61" i="73"/>
  <c r="N55" i="73"/>
  <c r="N48" i="73"/>
  <c r="N47" i="73"/>
  <c r="N46" i="73"/>
  <c r="N45" i="73"/>
  <c r="N39" i="73"/>
  <c r="L34" i="73"/>
  <c r="H34" i="73"/>
  <c r="D34" i="73"/>
  <c r="N32" i="73"/>
  <c r="N31" i="73"/>
  <c r="N30" i="73"/>
  <c r="N29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M17" i="73"/>
  <c r="M34" i="73" s="1"/>
  <c r="L17" i="73"/>
  <c r="K17" i="73"/>
  <c r="K34" i="73" s="1"/>
  <c r="J17" i="73"/>
  <c r="J34" i="73" s="1"/>
  <c r="I17" i="73"/>
  <c r="I34" i="73" s="1"/>
  <c r="H17" i="73"/>
  <c r="G17" i="73"/>
  <c r="G34" i="73" s="1"/>
  <c r="F17" i="73"/>
  <c r="F34" i="73" s="1"/>
  <c r="E17" i="73"/>
  <c r="E34" i="73" s="1"/>
  <c r="D17" i="73"/>
  <c r="C17" i="73"/>
  <c r="C34" i="73" s="1"/>
  <c r="B17" i="73"/>
  <c r="M8" i="73"/>
  <c r="L8" i="73"/>
  <c r="K8" i="73"/>
  <c r="K216" i="73" s="1"/>
  <c r="J8" i="73"/>
  <c r="I8" i="73"/>
  <c r="H8" i="73"/>
  <c r="G8" i="73"/>
  <c r="G216" i="73" s="1"/>
  <c r="F8" i="73"/>
  <c r="F66" i="73" s="1"/>
  <c r="E8" i="73"/>
  <c r="E216" i="73" s="1"/>
  <c r="D8" i="73"/>
  <c r="C8" i="73"/>
  <c r="C216" i="73" s="1"/>
  <c r="B8" i="73"/>
  <c r="B181" i="73" s="1"/>
  <c r="O18" i="82"/>
  <c r="N18" i="82"/>
  <c r="M18" i="82"/>
  <c r="AA18" i="82" s="1"/>
  <c r="L18" i="82"/>
  <c r="K18" i="82"/>
  <c r="J18" i="82"/>
  <c r="I18" i="82"/>
  <c r="H18" i="82"/>
  <c r="G18" i="82"/>
  <c r="B18" i="82" s="1"/>
  <c r="F18" i="82"/>
  <c r="E18" i="82"/>
  <c r="D18" i="82"/>
  <c r="Q18" i="82" s="1"/>
  <c r="AA17" i="82"/>
  <c r="W17" i="82"/>
  <c r="S17" i="82"/>
  <c r="Q17" i="82"/>
  <c r="U17" i="82" s="1"/>
  <c r="O13" i="82"/>
  <c r="N13" i="82"/>
  <c r="M13" i="82"/>
  <c r="L13" i="82"/>
  <c r="K13" i="82"/>
  <c r="J13" i="82"/>
  <c r="I13" i="82"/>
  <c r="H13" i="82"/>
  <c r="G13" i="82"/>
  <c r="F13" i="82"/>
  <c r="E13" i="82"/>
  <c r="D13" i="82"/>
  <c r="B13" i="82" s="1"/>
  <c r="O12" i="82"/>
  <c r="N12" i="82"/>
  <c r="M12" i="82"/>
  <c r="L12" i="82"/>
  <c r="K12" i="82"/>
  <c r="J12" i="82"/>
  <c r="I12" i="82"/>
  <c r="H12" i="82"/>
  <c r="G12" i="82"/>
  <c r="F12" i="82"/>
  <c r="E12" i="82"/>
  <c r="D12" i="82"/>
  <c r="B12" i="82" s="1"/>
  <c r="O11" i="82"/>
  <c r="N11" i="82"/>
  <c r="M11" i="82"/>
  <c r="L11" i="82"/>
  <c r="K11" i="82"/>
  <c r="J11" i="82"/>
  <c r="I11" i="82"/>
  <c r="H11" i="82"/>
  <c r="G11" i="82"/>
  <c r="F11" i="82"/>
  <c r="B11" i="82" s="1"/>
  <c r="E11" i="82"/>
  <c r="D11" i="82"/>
  <c r="C71" i="55"/>
  <c r="C70" i="55"/>
  <c r="C69" i="55"/>
  <c r="C68" i="55"/>
  <c r="P67" i="55"/>
  <c r="C67" i="55"/>
  <c r="P66" i="55"/>
  <c r="C66" i="55"/>
  <c r="C65" i="55"/>
  <c r="C64" i="55"/>
  <c r="C63" i="55"/>
  <c r="C62" i="55"/>
  <c r="C61" i="55"/>
  <c r="C60" i="55"/>
  <c r="P58" i="55"/>
  <c r="O58" i="55"/>
  <c r="O57" i="55" s="1"/>
  <c r="N58" i="55"/>
  <c r="M58" i="55"/>
  <c r="M57" i="55" s="1"/>
  <c r="L58" i="55"/>
  <c r="K58" i="55"/>
  <c r="K57" i="55" s="1"/>
  <c r="J58" i="55"/>
  <c r="I58" i="55"/>
  <c r="I57" i="55" s="1"/>
  <c r="H58" i="55"/>
  <c r="G58" i="55"/>
  <c r="G57" i="55" s="1"/>
  <c r="F58" i="55"/>
  <c r="E58" i="55"/>
  <c r="E57" i="55" s="1"/>
  <c r="D58" i="55"/>
  <c r="N57" i="55"/>
  <c r="L57" i="55"/>
  <c r="L60" i="55" s="1"/>
  <c r="J57" i="55"/>
  <c r="H57" i="55"/>
  <c r="H60" i="55" s="1"/>
  <c r="F57" i="55"/>
  <c r="D57" i="55"/>
  <c r="D60" i="55" s="1"/>
  <c r="P56" i="55"/>
  <c r="C50" i="55"/>
  <c r="C49" i="55"/>
  <c r="C48" i="55"/>
  <c r="C47" i="55"/>
  <c r="C46" i="55"/>
  <c r="C45" i="55"/>
  <c r="C44" i="55"/>
  <c r="C43" i="55"/>
  <c r="C42" i="55"/>
  <c r="C41" i="55"/>
  <c r="C40" i="55"/>
  <c r="C39" i="55"/>
  <c r="C38" i="55"/>
  <c r="C33" i="55"/>
  <c r="C32" i="55"/>
  <c r="C28" i="55"/>
  <c r="C27" i="55"/>
  <c r="C25" i="55"/>
  <c r="C24" i="55"/>
  <c r="C22" i="55"/>
  <c r="C18" i="55"/>
  <c r="C12" i="55"/>
  <c r="C6" i="55"/>
  <c r="M38" i="66"/>
  <c r="L38" i="66"/>
  <c r="K38" i="66"/>
  <c r="J38" i="66"/>
  <c r="I38" i="66"/>
  <c r="H38" i="66"/>
  <c r="G38" i="66"/>
  <c r="F38" i="66"/>
  <c r="E38" i="66"/>
  <c r="D38" i="66"/>
  <c r="C38" i="66"/>
  <c r="B38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N33" i="66"/>
  <c r="M33" i="66"/>
  <c r="L33" i="66"/>
  <c r="K33" i="66"/>
  <c r="J33" i="66"/>
  <c r="I33" i="66"/>
  <c r="H33" i="66"/>
  <c r="G33" i="66"/>
  <c r="F33" i="66"/>
  <c r="E33" i="66"/>
  <c r="D33" i="66"/>
  <c r="C33" i="66"/>
  <c r="B33" i="66"/>
  <c r="N31" i="66"/>
  <c r="N30" i="66"/>
  <c r="M30" i="66"/>
  <c r="L30" i="66"/>
  <c r="K30" i="66"/>
  <c r="J30" i="66"/>
  <c r="I30" i="66"/>
  <c r="H30" i="66"/>
  <c r="G30" i="66"/>
  <c r="F30" i="66"/>
  <c r="E30" i="66"/>
  <c r="D30" i="66"/>
  <c r="C30" i="66"/>
  <c r="B30" i="66"/>
  <c r="N24" i="66"/>
  <c r="M24" i="66"/>
  <c r="L24" i="66"/>
  <c r="K24" i="66"/>
  <c r="J24" i="66"/>
  <c r="I24" i="66"/>
  <c r="H24" i="66"/>
  <c r="G24" i="66"/>
  <c r="F24" i="66"/>
  <c r="E24" i="66"/>
  <c r="D24" i="66"/>
  <c r="C24" i="66"/>
  <c r="B24" i="66"/>
  <c r="N20" i="66"/>
  <c r="N18" i="66"/>
  <c r="M18" i="66"/>
  <c r="L18" i="66"/>
  <c r="K18" i="66"/>
  <c r="J18" i="66"/>
  <c r="I18" i="66"/>
  <c r="H18" i="66"/>
  <c r="G18" i="66"/>
  <c r="F18" i="66"/>
  <c r="E18" i="66"/>
  <c r="D18" i="66"/>
  <c r="C18" i="66"/>
  <c r="B18" i="66"/>
  <c r="N16" i="66"/>
  <c r="N15" i="66"/>
  <c r="N12" i="66"/>
  <c r="A4" i="66"/>
  <c r="A2" i="66"/>
  <c r="A4" i="62"/>
  <c r="I59" i="86" l="1"/>
  <c r="AB15" i="81"/>
  <c r="M59" i="86"/>
  <c r="AF15" i="81"/>
  <c r="Q59" i="86"/>
  <c r="AJ15" i="81"/>
  <c r="F61" i="86"/>
  <c r="Y17" i="81"/>
  <c r="J61" i="86"/>
  <c r="AC17" i="81"/>
  <c r="N61" i="86"/>
  <c r="AG17" i="81"/>
  <c r="G66" i="86"/>
  <c r="Z19" i="81"/>
  <c r="K66" i="86"/>
  <c r="AD19" i="81"/>
  <c r="O66" i="86"/>
  <c r="AH19" i="81"/>
  <c r="F67" i="86"/>
  <c r="Y20" i="81"/>
  <c r="J67" i="86"/>
  <c r="AC20" i="81"/>
  <c r="N67" i="86"/>
  <c r="AG20" i="81"/>
  <c r="J72" i="86"/>
  <c r="AC24" i="81"/>
  <c r="N72" i="86"/>
  <c r="AG24" i="81"/>
  <c r="I74" i="86"/>
  <c r="AB25" i="81"/>
  <c r="M74" i="86"/>
  <c r="AF25" i="81"/>
  <c r="Q74" i="86"/>
  <c r="AJ25" i="81"/>
  <c r="F79" i="86"/>
  <c r="Y29" i="81"/>
  <c r="J79" i="86"/>
  <c r="AC29" i="81"/>
  <c r="N79" i="86"/>
  <c r="AG29" i="81"/>
  <c r="Y15" i="81"/>
  <c r="F59" i="86"/>
  <c r="J59" i="86"/>
  <c r="AC15" i="81"/>
  <c r="N59" i="86"/>
  <c r="AG15" i="81"/>
  <c r="G61" i="86"/>
  <c r="Z17" i="81"/>
  <c r="K61" i="86"/>
  <c r="AD17" i="81"/>
  <c r="O61" i="86"/>
  <c r="AH17" i="81"/>
  <c r="H66" i="86"/>
  <c r="AA19" i="81"/>
  <c r="L66" i="86"/>
  <c r="AE19" i="81"/>
  <c r="P66" i="86"/>
  <c r="AI19" i="81"/>
  <c r="G67" i="86"/>
  <c r="Z20" i="81"/>
  <c r="K67" i="86"/>
  <c r="AD20" i="81"/>
  <c r="O67" i="86"/>
  <c r="AH20" i="81"/>
  <c r="K72" i="86"/>
  <c r="AD24" i="81"/>
  <c r="O72" i="86"/>
  <c r="AH24" i="81"/>
  <c r="F74" i="86"/>
  <c r="Y25" i="81"/>
  <c r="J74" i="86"/>
  <c r="AC25" i="81"/>
  <c r="N74" i="86"/>
  <c r="AG25" i="81"/>
  <c r="G79" i="86"/>
  <c r="Z29" i="81"/>
  <c r="K79" i="86"/>
  <c r="AD29" i="81"/>
  <c r="O79" i="86"/>
  <c r="AH29" i="81"/>
  <c r="X47" i="81"/>
  <c r="Z15" i="81"/>
  <c r="G59" i="86"/>
  <c r="K59" i="86"/>
  <c r="AD15" i="81"/>
  <c r="O59" i="86"/>
  <c r="AH15" i="81"/>
  <c r="H61" i="86"/>
  <c r="AA17" i="81"/>
  <c r="L61" i="86"/>
  <c r="AE17" i="81"/>
  <c r="P61" i="86"/>
  <c r="AI17" i="81"/>
  <c r="I66" i="86"/>
  <c r="AB19" i="81"/>
  <c r="M66" i="86"/>
  <c r="AF19" i="81"/>
  <c r="Q66" i="86"/>
  <c r="AJ19" i="81"/>
  <c r="H67" i="86"/>
  <c r="AA20" i="81"/>
  <c r="L67" i="86"/>
  <c r="AE20" i="81"/>
  <c r="P67" i="86"/>
  <c r="AI20" i="81"/>
  <c r="H72" i="86"/>
  <c r="AA24" i="81"/>
  <c r="L72" i="86"/>
  <c r="AE24" i="81"/>
  <c r="P72" i="86"/>
  <c r="AI24" i="81"/>
  <c r="G74" i="86"/>
  <c r="Z25" i="81"/>
  <c r="K74" i="86"/>
  <c r="AD25" i="81"/>
  <c r="O74" i="86"/>
  <c r="AH25" i="81"/>
  <c r="H79" i="86"/>
  <c r="AA29" i="81"/>
  <c r="L79" i="86"/>
  <c r="AE29" i="81"/>
  <c r="P79" i="86"/>
  <c r="AI29" i="81"/>
  <c r="X42" i="81"/>
  <c r="X60" i="81"/>
  <c r="H59" i="86"/>
  <c r="AA15" i="81"/>
  <c r="L59" i="86"/>
  <c r="AE15" i="81"/>
  <c r="P59" i="86"/>
  <c r="AI15" i="81"/>
  <c r="I61" i="86"/>
  <c r="AB17" i="81"/>
  <c r="M61" i="86"/>
  <c r="AF17" i="81"/>
  <c r="Q61" i="86"/>
  <c r="AJ17" i="81"/>
  <c r="F66" i="86"/>
  <c r="Y19" i="81"/>
  <c r="J66" i="86"/>
  <c r="AC19" i="81"/>
  <c r="N66" i="86"/>
  <c r="AG19" i="81"/>
  <c r="I67" i="86"/>
  <c r="AB20" i="81"/>
  <c r="M67" i="86"/>
  <c r="AF20" i="81"/>
  <c r="Q67" i="86"/>
  <c r="AJ20" i="81"/>
  <c r="I72" i="86"/>
  <c r="AB24" i="81"/>
  <c r="M72" i="86"/>
  <c r="AF24" i="81"/>
  <c r="Q72" i="86"/>
  <c r="AJ24" i="81"/>
  <c r="H74" i="86"/>
  <c r="AA25" i="81"/>
  <c r="L74" i="86"/>
  <c r="AE25" i="81"/>
  <c r="P74" i="86"/>
  <c r="AI25" i="81"/>
  <c r="I79" i="86"/>
  <c r="AB29" i="81"/>
  <c r="M79" i="86"/>
  <c r="AF29" i="81"/>
  <c r="Q79" i="86"/>
  <c r="AJ29" i="81"/>
  <c r="X41" i="81"/>
  <c r="X45" i="81"/>
  <c r="X53" i="81"/>
  <c r="P47" i="81"/>
  <c r="G71" i="55"/>
  <c r="E22" i="73" s="1"/>
  <c r="G65" i="55"/>
  <c r="E16" i="73" s="1"/>
  <c r="G61" i="55"/>
  <c r="E12" i="73" s="1"/>
  <c r="G68" i="55"/>
  <c r="E19" i="73" s="1"/>
  <c r="E52" i="73" s="1"/>
  <c r="G69" i="55"/>
  <c r="E20" i="73" s="1"/>
  <c r="E53" i="73" s="1"/>
  <c r="E85" i="73" s="1"/>
  <c r="G63" i="55"/>
  <c r="E14" i="73" s="1"/>
  <c r="G62" i="55"/>
  <c r="E13" i="73" s="1"/>
  <c r="G70" i="55"/>
  <c r="E21" i="73" s="1"/>
  <c r="E54" i="73" s="1"/>
  <c r="G64" i="55"/>
  <c r="E15" i="73" s="1"/>
  <c r="G60" i="55"/>
  <c r="K69" i="55"/>
  <c r="I20" i="73" s="1"/>
  <c r="I53" i="73" s="1"/>
  <c r="K63" i="55"/>
  <c r="I14" i="73" s="1"/>
  <c r="K60" i="55"/>
  <c r="K70" i="55"/>
  <c r="I21" i="73" s="1"/>
  <c r="I54" i="73" s="1"/>
  <c r="I86" i="73" s="1"/>
  <c r="K64" i="55"/>
  <c r="I15" i="73" s="1"/>
  <c r="K61" i="55"/>
  <c r="I12" i="73" s="1"/>
  <c r="K71" i="55"/>
  <c r="I22" i="73" s="1"/>
  <c r="K65" i="55"/>
  <c r="I16" i="73" s="1"/>
  <c r="K68" i="55"/>
  <c r="I19" i="73" s="1"/>
  <c r="I52" i="73" s="1"/>
  <c r="I68" i="73" s="1"/>
  <c r="K62" i="55"/>
  <c r="I13" i="73" s="1"/>
  <c r="O71" i="55"/>
  <c r="M22" i="73" s="1"/>
  <c r="O65" i="55"/>
  <c r="M16" i="73" s="1"/>
  <c r="O68" i="55"/>
  <c r="M19" i="73" s="1"/>
  <c r="M52" i="73" s="1"/>
  <c r="O62" i="55"/>
  <c r="M13" i="73" s="1"/>
  <c r="O60" i="55"/>
  <c r="O69" i="55"/>
  <c r="M20" i="73" s="1"/>
  <c r="M53" i="73" s="1"/>
  <c r="M85" i="73" s="1"/>
  <c r="O63" i="55"/>
  <c r="M14" i="73" s="1"/>
  <c r="O61" i="55"/>
  <c r="M12" i="73" s="1"/>
  <c r="O70" i="55"/>
  <c r="M21" i="73" s="1"/>
  <c r="M54" i="73" s="1"/>
  <c r="O64" i="55"/>
  <c r="M15" i="73" s="1"/>
  <c r="F11" i="73"/>
  <c r="E70" i="55"/>
  <c r="C21" i="73" s="1"/>
  <c r="C54" i="73" s="1"/>
  <c r="C70" i="73" s="1"/>
  <c r="E64" i="55"/>
  <c r="C15" i="73" s="1"/>
  <c r="E71" i="55"/>
  <c r="C22" i="73" s="1"/>
  <c r="E65" i="55"/>
  <c r="C16" i="73" s="1"/>
  <c r="C33" i="73" s="1"/>
  <c r="E60" i="55"/>
  <c r="E68" i="55"/>
  <c r="C19" i="73" s="1"/>
  <c r="C52" i="73" s="1"/>
  <c r="C84" i="73" s="1"/>
  <c r="E61" i="55"/>
  <c r="C12" i="73" s="1"/>
  <c r="E69" i="55"/>
  <c r="C20" i="73" s="1"/>
  <c r="C53" i="73" s="1"/>
  <c r="C69" i="73" s="1"/>
  <c r="E63" i="55"/>
  <c r="C14" i="73" s="1"/>
  <c r="E62" i="55"/>
  <c r="C13" i="73" s="1"/>
  <c r="I68" i="55"/>
  <c r="G19" i="73" s="1"/>
  <c r="G52" i="73" s="1"/>
  <c r="I62" i="55"/>
  <c r="G13" i="73" s="1"/>
  <c r="I69" i="55"/>
  <c r="G20" i="73" s="1"/>
  <c r="G53" i="73" s="1"/>
  <c r="G69" i="73" s="1"/>
  <c r="I63" i="55"/>
  <c r="G14" i="73" s="1"/>
  <c r="I60" i="55"/>
  <c r="I70" i="55"/>
  <c r="G21" i="73" s="1"/>
  <c r="G54" i="73" s="1"/>
  <c r="I64" i="55"/>
  <c r="G15" i="73" s="1"/>
  <c r="I71" i="55"/>
  <c r="G22" i="73" s="1"/>
  <c r="I65" i="55"/>
  <c r="G16" i="73" s="1"/>
  <c r="G33" i="73" s="1"/>
  <c r="I61" i="55"/>
  <c r="G12" i="73" s="1"/>
  <c r="M70" i="55"/>
  <c r="K21" i="73" s="1"/>
  <c r="K54" i="73" s="1"/>
  <c r="K70" i="73" s="1"/>
  <c r="M64" i="55"/>
  <c r="K15" i="73" s="1"/>
  <c r="M61" i="55"/>
  <c r="K12" i="73" s="1"/>
  <c r="M71" i="55"/>
  <c r="K22" i="73" s="1"/>
  <c r="M65" i="55"/>
  <c r="K16" i="73" s="1"/>
  <c r="K33" i="73" s="1"/>
  <c r="M68" i="55"/>
  <c r="K19" i="73" s="1"/>
  <c r="K52" i="73" s="1"/>
  <c r="K84" i="73" s="1"/>
  <c r="M62" i="55"/>
  <c r="K13" i="73" s="1"/>
  <c r="M60" i="55"/>
  <c r="M69" i="55"/>
  <c r="K20" i="73" s="1"/>
  <c r="K53" i="73" s="1"/>
  <c r="M63" i="55"/>
  <c r="K14" i="73" s="1"/>
  <c r="B11" i="73"/>
  <c r="J11" i="73"/>
  <c r="M37" i="84"/>
  <c r="K37" i="84"/>
  <c r="E37" i="84"/>
  <c r="P37" i="84" s="1"/>
  <c r="G37" i="84"/>
  <c r="O37" i="84"/>
  <c r="L37" i="84"/>
  <c r="N37" i="84"/>
  <c r="D37" i="84"/>
  <c r="F37" i="84"/>
  <c r="F70" i="55"/>
  <c r="D21" i="73" s="1"/>
  <c r="D54" i="73" s="1"/>
  <c r="F68" i="55"/>
  <c r="D19" i="73" s="1"/>
  <c r="D52" i="73" s="1"/>
  <c r="D68" i="73" s="1"/>
  <c r="F64" i="55"/>
  <c r="D15" i="73" s="1"/>
  <c r="F62" i="55"/>
  <c r="D13" i="73" s="1"/>
  <c r="F71" i="55"/>
  <c r="D22" i="73" s="1"/>
  <c r="F69" i="55"/>
  <c r="D20" i="73" s="1"/>
  <c r="D53" i="73" s="1"/>
  <c r="D85" i="73" s="1"/>
  <c r="F65" i="55"/>
  <c r="D16" i="73" s="1"/>
  <c r="F63" i="55"/>
  <c r="D14" i="73" s="1"/>
  <c r="J70" i="55"/>
  <c r="H21" i="73" s="1"/>
  <c r="H54" i="73" s="1"/>
  <c r="J68" i="55"/>
  <c r="H19" i="73" s="1"/>
  <c r="H52" i="73" s="1"/>
  <c r="H68" i="73" s="1"/>
  <c r="J64" i="55"/>
  <c r="H15" i="73" s="1"/>
  <c r="J62" i="55"/>
  <c r="H13" i="73" s="1"/>
  <c r="J60" i="55"/>
  <c r="J71" i="55"/>
  <c r="H22" i="73" s="1"/>
  <c r="J69" i="55"/>
  <c r="H20" i="73" s="1"/>
  <c r="H53" i="73" s="1"/>
  <c r="J65" i="55"/>
  <c r="H16" i="73" s="1"/>
  <c r="H49" i="73" s="1"/>
  <c r="H81" i="73" s="1"/>
  <c r="J63" i="55"/>
  <c r="H14" i="73" s="1"/>
  <c r="N70" i="55"/>
  <c r="L21" i="73" s="1"/>
  <c r="L54" i="73" s="1"/>
  <c r="L70" i="73" s="1"/>
  <c r="N68" i="55"/>
  <c r="L19" i="73" s="1"/>
  <c r="L52" i="73" s="1"/>
  <c r="N64" i="55"/>
  <c r="L15" i="73" s="1"/>
  <c r="N62" i="55"/>
  <c r="L13" i="73" s="1"/>
  <c r="N60" i="55"/>
  <c r="P60" i="55" s="1"/>
  <c r="N71" i="55"/>
  <c r="L22" i="73" s="1"/>
  <c r="N69" i="55"/>
  <c r="L20" i="73" s="1"/>
  <c r="L53" i="73" s="1"/>
  <c r="L85" i="73" s="1"/>
  <c r="N65" i="55"/>
  <c r="L16" i="73" s="1"/>
  <c r="N63" i="55"/>
  <c r="L14" i="73" s="1"/>
  <c r="N61" i="55"/>
  <c r="L12" i="73" s="1"/>
  <c r="J61" i="55"/>
  <c r="H12" i="73" s="1"/>
  <c r="I66" i="73"/>
  <c r="I216" i="73"/>
  <c r="I67" i="73"/>
  <c r="M216" i="73"/>
  <c r="M66" i="73"/>
  <c r="E66" i="73"/>
  <c r="H37" i="84"/>
  <c r="D71" i="55"/>
  <c r="D69" i="55"/>
  <c r="D65" i="55"/>
  <c r="D63" i="55"/>
  <c r="D61" i="55"/>
  <c r="D70" i="55"/>
  <c r="D68" i="55"/>
  <c r="D64" i="55"/>
  <c r="H71" i="55"/>
  <c r="F22" i="73" s="1"/>
  <c r="H69" i="55"/>
  <c r="F20" i="73" s="1"/>
  <c r="F53" i="73" s="1"/>
  <c r="F85" i="73" s="1"/>
  <c r="H65" i="55"/>
  <c r="F16" i="73" s="1"/>
  <c r="F49" i="73" s="1"/>
  <c r="F81" i="73" s="1"/>
  <c r="H63" i="55"/>
  <c r="F14" i="73" s="1"/>
  <c r="H61" i="55"/>
  <c r="F12" i="73" s="1"/>
  <c r="F23" i="73" s="1"/>
  <c r="H70" i="55"/>
  <c r="F21" i="73" s="1"/>
  <c r="F54" i="73" s="1"/>
  <c r="F70" i="73" s="1"/>
  <c r="H68" i="55"/>
  <c r="F19" i="73" s="1"/>
  <c r="F52" i="73" s="1"/>
  <c r="H64" i="55"/>
  <c r="F15" i="73" s="1"/>
  <c r="L71" i="55"/>
  <c r="J22" i="73" s="1"/>
  <c r="L69" i="55"/>
  <c r="J20" i="73" s="1"/>
  <c r="J53" i="73" s="1"/>
  <c r="J85" i="73" s="1"/>
  <c r="L65" i="55"/>
  <c r="J16" i="73" s="1"/>
  <c r="J49" i="73" s="1"/>
  <c r="J65" i="73" s="1"/>
  <c r="L63" i="55"/>
  <c r="J14" i="73" s="1"/>
  <c r="L61" i="55"/>
  <c r="J12" i="73" s="1"/>
  <c r="L70" i="55"/>
  <c r="J21" i="73" s="1"/>
  <c r="J54" i="73" s="1"/>
  <c r="J70" i="73" s="1"/>
  <c r="L68" i="55"/>
  <c r="J19" i="73" s="1"/>
  <c r="J52" i="73" s="1"/>
  <c r="J84" i="73" s="1"/>
  <c r="L64" i="55"/>
  <c r="J15" i="73" s="1"/>
  <c r="L62" i="55"/>
  <c r="J13" i="73" s="1"/>
  <c r="P57" i="55"/>
  <c r="F61" i="55"/>
  <c r="D12" i="73" s="1"/>
  <c r="H62" i="55"/>
  <c r="F13" i="73" s="1"/>
  <c r="I37" i="84"/>
  <c r="F60" i="55"/>
  <c r="D62" i="55"/>
  <c r="J37" i="84"/>
  <c r="N18" i="73"/>
  <c r="B216" i="73"/>
  <c r="B178" i="73"/>
  <c r="F86" i="73"/>
  <c r="C85" i="73"/>
  <c r="K69" i="73"/>
  <c r="K85" i="73"/>
  <c r="D84" i="73"/>
  <c r="H84" i="73"/>
  <c r="L68" i="73"/>
  <c r="L84" i="73"/>
  <c r="H216" i="73"/>
  <c r="H67" i="73"/>
  <c r="H66" i="73"/>
  <c r="B50" i="73"/>
  <c r="B82" i="73" s="1"/>
  <c r="N82" i="73" s="1"/>
  <c r="B34" i="73"/>
  <c r="N34" i="73" s="1"/>
  <c r="H69" i="73"/>
  <c r="D70" i="73"/>
  <c r="D86" i="73"/>
  <c r="L86" i="73"/>
  <c r="G49" i="73"/>
  <c r="I84" i="73"/>
  <c r="H33" i="73"/>
  <c r="B51" i="73"/>
  <c r="E67" i="73"/>
  <c r="M67" i="73"/>
  <c r="E69" i="73"/>
  <c r="I70" i="73"/>
  <c r="G85" i="73"/>
  <c r="J86" i="73"/>
  <c r="D216" i="73"/>
  <c r="D67" i="73"/>
  <c r="D66" i="73"/>
  <c r="L216" i="73"/>
  <c r="L67" i="73"/>
  <c r="L66" i="73"/>
  <c r="N17" i="73"/>
  <c r="L69" i="73"/>
  <c r="H70" i="73"/>
  <c r="H86" i="73"/>
  <c r="G84" i="73"/>
  <c r="G68" i="73"/>
  <c r="J69" i="73"/>
  <c r="K49" i="73"/>
  <c r="K81" i="73" s="1"/>
  <c r="C68" i="73"/>
  <c r="K68" i="73"/>
  <c r="F69" i="73"/>
  <c r="H85" i="73"/>
  <c r="C86" i="73"/>
  <c r="K86" i="73"/>
  <c r="J23" i="73"/>
  <c r="B28" i="73"/>
  <c r="D16" i="82" s="1"/>
  <c r="F28" i="73"/>
  <c r="H16" i="82" s="1"/>
  <c r="J33" i="73"/>
  <c r="C66" i="73"/>
  <c r="G66" i="73"/>
  <c r="K66" i="73"/>
  <c r="C67" i="73"/>
  <c r="G67" i="73"/>
  <c r="K67" i="73"/>
  <c r="B176" i="73"/>
  <c r="B180" i="73"/>
  <c r="D10" i="81"/>
  <c r="H10" i="81"/>
  <c r="L10" i="81"/>
  <c r="B44" i="73"/>
  <c r="F44" i="73"/>
  <c r="J44" i="73"/>
  <c r="B177" i="73"/>
  <c r="P15" i="81"/>
  <c r="P24" i="81"/>
  <c r="P25" i="81"/>
  <c r="P40" i="81"/>
  <c r="P52" i="81"/>
  <c r="P41" i="81"/>
  <c r="P45" i="81"/>
  <c r="P53" i="81"/>
  <c r="P42" i="81"/>
  <c r="P60" i="81"/>
  <c r="P17" i="81"/>
  <c r="P19" i="81"/>
  <c r="P29" i="81"/>
  <c r="P20" i="81"/>
  <c r="R126" i="86"/>
  <c r="P26" i="76"/>
  <c r="R115" i="86"/>
  <c r="P17" i="76"/>
  <c r="R119" i="86"/>
  <c r="P19" i="76"/>
  <c r="R121" i="86"/>
  <c r="P21" i="76"/>
  <c r="R125" i="86"/>
  <c r="P25" i="76"/>
  <c r="P28" i="76"/>
  <c r="R132" i="86"/>
  <c r="R133" i="86"/>
  <c r="P29" i="76"/>
  <c r="H20" i="82"/>
  <c r="M13" i="72"/>
  <c r="L13" i="72"/>
  <c r="S18" i="82"/>
  <c r="H65" i="73"/>
  <c r="L90" i="72"/>
  <c r="L74" i="72"/>
  <c r="N10" i="72"/>
  <c r="L15" i="72"/>
  <c r="W18" i="82"/>
  <c r="O12" i="72"/>
  <c r="N92" i="72"/>
  <c r="N76" i="72"/>
  <c r="C95" i="72"/>
  <c r="C79" i="72"/>
  <c r="C111" i="72"/>
  <c r="G95" i="72"/>
  <c r="G79" i="72"/>
  <c r="K95" i="72"/>
  <c r="K79" i="72"/>
  <c r="K111" i="72"/>
  <c r="L106" i="72"/>
  <c r="M91" i="72"/>
  <c r="M75" i="72"/>
  <c r="L110" i="72"/>
  <c r="N14" i="72"/>
  <c r="L94" i="72"/>
  <c r="L107" i="72"/>
  <c r="L75" i="72"/>
  <c r="L91" i="72"/>
  <c r="N11" i="72"/>
  <c r="L78" i="72"/>
  <c r="G65" i="73"/>
  <c r="M106" i="72"/>
  <c r="M74" i="72"/>
  <c r="M90" i="72"/>
  <c r="M110" i="72"/>
  <c r="M78" i="72"/>
  <c r="M94" i="72"/>
  <c r="H95" i="72"/>
  <c r="E79" i="72"/>
  <c r="E95" i="72"/>
  <c r="I79" i="72"/>
  <c r="I95" i="72"/>
  <c r="M15" i="72"/>
  <c r="D79" i="72"/>
  <c r="E111" i="72"/>
  <c r="M92" i="72"/>
  <c r="M108" i="72"/>
  <c r="M76" i="72"/>
  <c r="D95" i="72"/>
  <c r="B95" i="72"/>
  <c r="N100" i="72"/>
  <c r="N68" i="72"/>
  <c r="AC17" i="82"/>
  <c r="P23" i="85"/>
  <c r="D32" i="85"/>
  <c r="P31" i="85"/>
  <c r="O32" i="85"/>
  <c r="K32" i="85"/>
  <c r="G32" i="85"/>
  <c r="P33" i="84"/>
  <c r="P34" i="84" s="1"/>
  <c r="D34" i="84"/>
  <c r="U18" i="82"/>
  <c r="Y18" i="82" s="1"/>
  <c r="Y17" i="82"/>
  <c r="R59" i="86" l="1"/>
  <c r="R61" i="86"/>
  <c r="R79" i="86"/>
  <c r="R72" i="86"/>
  <c r="R74" i="86"/>
  <c r="R67" i="86"/>
  <c r="R66" i="86"/>
  <c r="X25" i="81"/>
  <c r="X29" i="81"/>
  <c r="X20" i="81"/>
  <c r="X17" i="81"/>
  <c r="X19" i="81"/>
  <c r="X15" i="81"/>
  <c r="X24" i="81"/>
  <c r="K65" i="73"/>
  <c r="F65" i="73"/>
  <c r="J81" i="73"/>
  <c r="J88" i="73" s="1"/>
  <c r="P61" i="55"/>
  <c r="P73" i="55" s="1"/>
  <c r="B12" i="73"/>
  <c r="P71" i="55"/>
  <c r="B22" i="73"/>
  <c r="N22" i="73" s="1"/>
  <c r="K11" i="73"/>
  <c r="G70" i="73"/>
  <c r="G86" i="73"/>
  <c r="E86" i="73"/>
  <c r="E70" i="73"/>
  <c r="E84" i="73"/>
  <c r="E68" i="73"/>
  <c r="B182" i="73"/>
  <c r="F33" i="73"/>
  <c r="D69" i="73"/>
  <c r="M69" i="73"/>
  <c r="B15" i="73"/>
  <c r="N15" i="73" s="1"/>
  <c r="P64" i="55"/>
  <c r="P63" i="55"/>
  <c r="B14" i="73"/>
  <c r="N14" i="73" s="1"/>
  <c r="D33" i="73"/>
  <c r="D49" i="73"/>
  <c r="D10" i="85"/>
  <c r="D10" i="76"/>
  <c r="D8" i="82" s="1"/>
  <c r="G11" i="73"/>
  <c r="H10" i="85"/>
  <c r="H10" i="76"/>
  <c r="H8" i="82" s="1"/>
  <c r="M84" i="73"/>
  <c r="M68" i="73"/>
  <c r="I85" i="73"/>
  <c r="I69" i="73"/>
  <c r="K88" i="73"/>
  <c r="B13" i="73"/>
  <c r="N13" i="73" s="1"/>
  <c r="P62" i="55"/>
  <c r="I73" i="55" s="1"/>
  <c r="F84" i="73"/>
  <c r="F88" i="73" s="1"/>
  <c r="F68" i="73"/>
  <c r="B19" i="73"/>
  <c r="P68" i="55"/>
  <c r="P65" i="55"/>
  <c r="B16" i="73"/>
  <c r="L11" i="73"/>
  <c r="N73" i="55"/>
  <c r="L10" i="85"/>
  <c r="L10" i="76"/>
  <c r="L8" i="82" s="1"/>
  <c r="M49" i="73"/>
  <c r="M33" i="73"/>
  <c r="I49" i="73"/>
  <c r="I33" i="73"/>
  <c r="E11" i="73"/>
  <c r="E49" i="73"/>
  <c r="E33" i="73"/>
  <c r="J28" i="73"/>
  <c r="L16" i="82" s="1"/>
  <c r="L20" i="82" s="1"/>
  <c r="J68" i="73"/>
  <c r="C49" i="73"/>
  <c r="D11" i="73"/>
  <c r="B21" i="73"/>
  <c r="P70" i="55"/>
  <c r="P69" i="55"/>
  <c r="B20" i="73"/>
  <c r="L49" i="73"/>
  <c r="L33" i="73"/>
  <c r="H11" i="73"/>
  <c r="D73" i="55"/>
  <c r="C11" i="73"/>
  <c r="M86" i="73"/>
  <c r="M70" i="73"/>
  <c r="M11" i="73"/>
  <c r="I11" i="73"/>
  <c r="B66" i="73"/>
  <c r="N50" i="73"/>
  <c r="D9" i="81"/>
  <c r="B76" i="73"/>
  <c r="D9" i="76"/>
  <c r="D9" i="82" s="1"/>
  <c r="B60" i="73"/>
  <c r="D20" i="82"/>
  <c r="H88" i="73"/>
  <c r="H9" i="81"/>
  <c r="F76" i="73"/>
  <c r="H9" i="76"/>
  <c r="H9" i="82" s="1"/>
  <c r="F60" i="73"/>
  <c r="F56" i="73"/>
  <c r="L9" i="81"/>
  <c r="L9" i="76"/>
  <c r="L9" i="82" s="1"/>
  <c r="J60" i="73"/>
  <c r="J56" i="73"/>
  <c r="J76" i="73"/>
  <c r="N51" i="73"/>
  <c r="B67" i="73"/>
  <c r="B83" i="73"/>
  <c r="N83" i="73" s="1"/>
  <c r="G81" i="73"/>
  <c r="G88" i="73" s="1"/>
  <c r="N91" i="72"/>
  <c r="O11" i="72"/>
  <c r="N107" i="72"/>
  <c r="N75" i="72"/>
  <c r="N110" i="72"/>
  <c r="N94" i="72"/>
  <c r="N78" i="72"/>
  <c r="L93" i="72"/>
  <c r="L109" i="72"/>
  <c r="L77" i="72"/>
  <c r="N13" i="72"/>
  <c r="M79" i="72"/>
  <c r="M95" i="72"/>
  <c r="M111" i="72"/>
  <c r="L111" i="72"/>
  <c r="L95" i="72"/>
  <c r="L79" i="72"/>
  <c r="M109" i="72"/>
  <c r="M93" i="72"/>
  <c r="M77" i="72"/>
  <c r="J37" i="73"/>
  <c r="F37" i="73"/>
  <c r="B37" i="73"/>
  <c r="M37" i="73"/>
  <c r="I37" i="73"/>
  <c r="E37" i="73"/>
  <c r="L37" i="73"/>
  <c r="H37" i="73"/>
  <c r="D37" i="73"/>
  <c r="C37" i="73"/>
  <c r="K37" i="73"/>
  <c r="G37" i="73"/>
  <c r="N15" i="72"/>
  <c r="O10" i="72"/>
  <c r="N74" i="72"/>
  <c r="N106" i="72"/>
  <c r="N90" i="72"/>
  <c r="AC18" i="82"/>
  <c r="N111" i="72"/>
  <c r="N95" i="72"/>
  <c r="N79" i="72"/>
  <c r="P32" i="85"/>
  <c r="K10" i="76" l="1"/>
  <c r="K8" i="82" s="1"/>
  <c r="K10" i="85"/>
  <c r="I44" i="73"/>
  <c r="I28" i="73"/>
  <c r="K16" i="82" s="1"/>
  <c r="K20" i="82" s="1"/>
  <c r="K10" i="81"/>
  <c r="I23" i="73"/>
  <c r="L81" i="73"/>
  <c r="L88" i="73" s="1"/>
  <c r="L65" i="73"/>
  <c r="N21" i="73"/>
  <c r="B54" i="73"/>
  <c r="G10" i="76"/>
  <c r="G8" i="82" s="1"/>
  <c r="G10" i="81"/>
  <c r="E28" i="73"/>
  <c r="G16" i="82" s="1"/>
  <c r="E44" i="73"/>
  <c r="E23" i="73"/>
  <c r="G10" i="85"/>
  <c r="F72" i="73"/>
  <c r="K73" i="55"/>
  <c r="J73" i="55"/>
  <c r="B53" i="73"/>
  <c r="N20" i="73"/>
  <c r="F73" i="55"/>
  <c r="G73" i="55"/>
  <c r="M81" i="73"/>
  <c r="M88" i="73" s="1"/>
  <c r="M65" i="73"/>
  <c r="N10" i="76"/>
  <c r="N8" i="82" s="1"/>
  <c r="L23" i="73"/>
  <c r="L28" i="73"/>
  <c r="N16" i="82" s="1"/>
  <c r="N20" i="82" s="1"/>
  <c r="N10" i="85"/>
  <c r="L44" i="73"/>
  <c r="N10" i="81"/>
  <c r="B52" i="73"/>
  <c r="N19" i="73"/>
  <c r="M10" i="85"/>
  <c r="K44" i="73"/>
  <c r="K28" i="73"/>
  <c r="M16" i="82" s="1"/>
  <c r="M10" i="76"/>
  <c r="M8" i="82" s="1"/>
  <c r="M10" i="81"/>
  <c r="K23" i="73"/>
  <c r="N12" i="73"/>
  <c r="B23" i="73"/>
  <c r="O10" i="76"/>
  <c r="O8" i="82" s="1"/>
  <c r="M44" i="73"/>
  <c r="O10" i="85"/>
  <c r="O10" i="81"/>
  <c r="M23" i="73"/>
  <c r="M28" i="73"/>
  <c r="O16" i="82" s="1"/>
  <c r="O20" i="82" s="1"/>
  <c r="E10" i="85"/>
  <c r="C44" i="73"/>
  <c r="E10" i="76"/>
  <c r="E10" i="81"/>
  <c r="C28" i="73"/>
  <c r="C23" i="73"/>
  <c r="N11" i="73"/>
  <c r="H23" i="73"/>
  <c r="H44" i="73"/>
  <c r="J10" i="81"/>
  <c r="J10" i="85"/>
  <c r="J10" i="76"/>
  <c r="J8" i="82" s="1"/>
  <c r="H28" i="73"/>
  <c r="J16" i="82" s="1"/>
  <c r="F10" i="85"/>
  <c r="F10" i="76"/>
  <c r="F8" i="82" s="1"/>
  <c r="F10" i="81"/>
  <c r="D44" i="73"/>
  <c r="D23" i="73"/>
  <c r="D28" i="73"/>
  <c r="F16" i="82" s="1"/>
  <c r="F20" i="82" s="1"/>
  <c r="B49" i="73"/>
  <c r="N16" i="73"/>
  <c r="B33" i="73"/>
  <c r="N33" i="73" s="1"/>
  <c r="I10" i="85"/>
  <c r="G44" i="73"/>
  <c r="G23" i="73"/>
  <c r="I10" i="81"/>
  <c r="G28" i="73"/>
  <c r="I16" i="82" s="1"/>
  <c r="I20" i="82" s="1"/>
  <c r="I10" i="76"/>
  <c r="I8" i="82" s="1"/>
  <c r="L73" i="55"/>
  <c r="H73" i="55"/>
  <c r="M73" i="55"/>
  <c r="J72" i="73"/>
  <c r="O73" i="55"/>
  <c r="E73" i="55"/>
  <c r="C81" i="73"/>
  <c r="C88" i="73" s="1"/>
  <c r="C65" i="73"/>
  <c r="E81" i="73"/>
  <c r="E88" i="73" s="1"/>
  <c r="E65" i="73"/>
  <c r="I81" i="73"/>
  <c r="I88" i="73" s="1"/>
  <c r="I65" i="73"/>
  <c r="D81" i="73"/>
  <c r="D88" i="73" s="1"/>
  <c r="D65" i="73"/>
  <c r="H8" i="76"/>
  <c r="H8" i="81"/>
  <c r="D8" i="76"/>
  <c r="D8" i="81"/>
  <c r="L8" i="81"/>
  <c r="L8" i="76"/>
  <c r="K36" i="73"/>
  <c r="G36" i="73"/>
  <c r="C36" i="73"/>
  <c r="J36" i="73"/>
  <c r="F36" i="73"/>
  <c r="B36" i="73"/>
  <c r="M36" i="73"/>
  <c r="I36" i="73"/>
  <c r="E36" i="73"/>
  <c r="L36" i="73"/>
  <c r="H36" i="73"/>
  <c r="D36" i="73"/>
  <c r="N37" i="73"/>
  <c r="L35" i="73"/>
  <c r="H35" i="73"/>
  <c r="D35" i="73"/>
  <c r="K35" i="73"/>
  <c r="G35" i="73"/>
  <c r="C35" i="73"/>
  <c r="J35" i="73"/>
  <c r="F35" i="73"/>
  <c r="B35" i="73"/>
  <c r="M35" i="73"/>
  <c r="I35" i="73"/>
  <c r="E35" i="73"/>
  <c r="N109" i="72"/>
  <c r="N77" i="72"/>
  <c r="O13" i="72"/>
  <c r="N93" i="72"/>
  <c r="I9" i="81" l="1"/>
  <c r="I9" i="76"/>
  <c r="I9" i="82" s="1"/>
  <c r="G60" i="73"/>
  <c r="G72" i="73" s="1"/>
  <c r="G76" i="73"/>
  <c r="G56" i="73"/>
  <c r="N49" i="73"/>
  <c r="B65" i="73"/>
  <c r="B81" i="73"/>
  <c r="B56" i="73"/>
  <c r="P10" i="81"/>
  <c r="O9" i="76"/>
  <c r="O9" i="82" s="1"/>
  <c r="M56" i="73"/>
  <c r="O9" i="81"/>
  <c r="M76" i="73"/>
  <c r="M60" i="73"/>
  <c r="M72" i="73" s="1"/>
  <c r="N23" i="73"/>
  <c r="G9" i="81"/>
  <c r="E60" i="73"/>
  <c r="E72" i="73" s="1"/>
  <c r="E56" i="73"/>
  <c r="G9" i="76"/>
  <c r="G9" i="82" s="1"/>
  <c r="E76" i="73"/>
  <c r="B70" i="73"/>
  <c r="N54" i="73"/>
  <c r="B86" i="73"/>
  <c r="N86" i="73" s="1"/>
  <c r="F9" i="76"/>
  <c r="F9" i="82" s="1"/>
  <c r="D56" i="73"/>
  <c r="F9" i="81"/>
  <c r="D60" i="73"/>
  <c r="D72" i="73" s="1"/>
  <c r="D76" i="73"/>
  <c r="J20" i="82"/>
  <c r="W20" i="82" s="1"/>
  <c r="W16" i="82"/>
  <c r="X16" i="82" s="1"/>
  <c r="J9" i="76"/>
  <c r="J9" i="82" s="1"/>
  <c r="J9" i="81"/>
  <c r="H60" i="73"/>
  <c r="H72" i="73" s="1"/>
  <c r="H76" i="73"/>
  <c r="H56" i="73"/>
  <c r="E16" i="82"/>
  <c r="N28" i="73"/>
  <c r="M20" i="82"/>
  <c r="AA20" i="82" s="1"/>
  <c r="AA16" i="82"/>
  <c r="N52" i="73"/>
  <c r="B84" i="73"/>
  <c r="N84" i="73" s="1"/>
  <c r="B68" i="73"/>
  <c r="B85" i="73"/>
  <c r="N85" i="73" s="1"/>
  <c r="B69" i="73"/>
  <c r="N53" i="73"/>
  <c r="S16" i="82"/>
  <c r="T16" i="82" s="1"/>
  <c r="G20" i="82"/>
  <c r="S20" i="82" s="1"/>
  <c r="E8" i="82"/>
  <c r="B8" i="82" s="1"/>
  <c r="P10" i="76"/>
  <c r="M9" i="76"/>
  <c r="M9" i="82" s="1"/>
  <c r="M9" i="81"/>
  <c r="K60" i="73"/>
  <c r="K72" i="73" s="1"/>
  <c r="K76" i="73"/>
  <c r="K56" i="73"/>
  <c r="P10" i="85"/>
  <c r="C56" i="73"/>
  <c r="C76" i="73"/>
  <c r="E9" i="81"/>
  <c r="C60" i="73"/>
  <c r="C72" i="73" s="1"/>
  <c r="E9" i="76"/>
  <c r="N44" i="73"/>
  <c r="N9" i="76"/>
  <c r="N9" i="82" s="1"/>
  <c r="AA8" i="82" s="1"/>
  <c r="N9" i="81"/>
  <c r="L60" i="73"/>
  <c r="L72" i="73" s="1"/>
  <c r="L76" i="73"/>
  <c r="L56" i="73"/>
  <c r="K9" i="81"/>
  <c r="I60" i="73"/>
  <c r="I72" i="73" s="1"/>
  <c r="I56" i="73"/>
  <c r="I76" i="73"/>
  <c r="K9" i="76"/>
  <c r="K9" i="82" s="1"/>
  <c r="D59" i="85"/>
  <c r="F48" i="86" s="1"/>
  <c r="D53" i="85"/>
  <c r="F42" i="86" s="1"/>
  <c r="D42" i="85"/>
  <c r="F29" i="86" s="1"/>
  <c r="D49" i="81"/>
  <c r="Y49" i="81" s="1"/>
  <c r="D34" i="81"/>
  <c r="Y34" i="81" s="1"/>
  <c r="D35" i="81"/>
  <c r="D48" i="81"/>
  <c r="D52" i="85"/>
  <c r="F41" i="86" s="1"/>
  <c r="D46" i="81"/>
  <c r="Y46" i="81" s="1"/>
  <c r="D51" i="81"/>
  <c r="D37" i="81"/>
  <c r="D57" i="85"/>
  <c r="F46" i="86" s="1"/>
  <c r="D47" i="85"/>
  <c r="F36" i="86" s="1"/>
  <c r="D43" i="81"/>
  <c r="D36" i="81"/>
  <c r="Y36" i="81" s="1"/>
  <c r="D56" i="85"/>
  <c r="F45" i="86" s="1"/>
  <c r="D38" i="81"/>
  <c r="D54" i="81"/>
  <c r="D58" i="85"/>
  <c r="F47" i="86" s="1"/>
  <c r="D41" i="85"/>
  <c r="F28" i="86" s="1"/>
  <c r="D50" i="81"/>
  <c r="D61" i="85"/>
  <c r="F50" i="86" s="1"/>
  <c r="D40" i="85"/>
  <c r="F27" i="86" s="1"/>
  <c r="D44" i="81"/>
  <c r="Y44" i="81" s="1"/>
  <c r="D23" i="81"/>
  <c r="Y23" i="81" s="1"/>
  <c r="D60" i="85"/>
  <c r="F49" i="86" s="1"/>
  <c r="D45" i="85"/>
  <c r="F33" i="86" s="1"/>
  <c r="D31" i="81"/>
  <c r="D39" i="81"/>
  <c r="D45" i="84"/>
  <c r="F103" i="86" s="1"/>
  <c r="D42" i="76"/>
  <c r="D42" i="84" s="1"/>
  <c r="F100" i="86" s="1"/>
  <c r="D40" i="76"/>
  <c r="D39" i="76"/>
  <c r="D39" i="84" s="1"/>
  <c r="D37" i="76"/>
  <c r="D46" i="84"/>
  <c r="F104" i="86" s="1"/>
  <c r="D33" i="76"/>
  <c r="D44" i="84"/>
  <c r="F102" i="86" s="1"/>
  <c r="D43" i="76"/>
  <c r="D7" i="82"/>
  <c r="D38" i="84"/>
  <c r="F96" i="86" s="1"/>
  <c r="D47" i="84"/>
  <c r="F106" i="86" s="1"/>
  <c r="D41" i="76"/>
  <c r="H59" i="85"/>
  <c r="J48" i="86" s="1"/>
  <c r="H53" i="85"/>
  <c r="J42" i="86" s="1"/>
  <c r="H42" i="85"/>
  <c r="J29" i="86" s="1"/>
  <c r="H54" i="81"/>
  <c r="H49" i="81"/>
  <c r="H34" i="81"/>
  <c r="AC34" i="81" s="1"/>
  <c r="H35" i="81"/>
  <c r="H61" i="85"/>
  <c r="J50" i="86" s="1"/>
  <c r="H47" i="85"/>
  <c r="J36" i="86" s="1"/>
  <c r="H37" i="81"/>
  <c r="H44" i="81"/>
  <c r="AC44" i="81" s="1"/>
  <c r="H56" i="85"/>
  <c r="J45" i="86" s="1"/>
  <c r="H31" i="81"/>
  <c r="H23" i="81"/>
  <c r="AC23" i="81" s="1"/>
  <c r="H39" i="81"/>
  <c r="H58" i="85"/>
  <c r="J47" i="86" s="1"/>
  <c r="H52" i="85"/>
  <c r="J41" i="86" s="1"/>
  <c r="H41" i="85"/>
  <c r="J28" i="86" s="1"/>
  <c r="H48" i="81"/>
  <c r="H46" i="81"/>
  <c r="H50" i="81"/>
  <c r="H51" i="81"/>
  <c r="AC51" i="81" s="1"/>
  <c r="H57" i="85"/>
  <c r="J46" i="86" s="1"/>
  <c r="H40" i="85"/>
  <c r="J27" i="86" s="1"/>
  <c r="H43" i="81"/>
  <c r="H36" i="81"/>
  <c r="H60" i="85"/>
  <c r="J49" i="86" s="1"/>
  <c r="H45" i="85"/>
  <c r="J33" i="86" s="1"/>
  <c r="H38" i="81"/>
  <c r="L7" i="82"/>
  <c r="L44" i="84"/>
  <c r="N102" i="86" s="1"/>
  <c r="L43" i="76"/>
  <c r="L33" i="76"/>
  <c r="L40" i="76"/>
  <c r="N98" i="86" s="1"/>
  <c r="L38" i="84"/>
  <c r="L37" i="76"/>
  <c r="L47" i="84"/>
  <c r="N106" i="86" s="1"/>
  <c r="L39" i="76"/>
  <c r="L41" i="76"/>
  <c r="L46" i="84"/>
  <c r="N104" i="86" s="1"/>
  <c r="L42" i="76"/>
  <c r="L42" i="84" s="1"/>
  <c r="N100" i="86" s="1"/>
  <c r="L45" i="84"/>
  <c r="N103" i="86" s="1"/>
  <c r="H38" i="84"/>
  <c r="J96" i="86" s="1"/>
  <c r="H44" i="84"/>
  <c r="J102" i="86" s="1"/>
  <c r="H41" i="76"/>
  <c r="H41" i="84" s="1"/>
  <c r="J99" i="86" s="1"/>
  <c r="H7" i="82"/>
  <c r="H47" i="84"/>
  <c r="J106" i="86" s="1"/>
  <c r="H40" i="76"/>
  <c r="J98" i="86" s="1"/>
  <c r="H46" i="84"/>
  <c r="J104" i="86" s="1"/>
  <c r="H39" i="76"/>
  <c r="H45" i="84"/>
  <c r="J103" i="86" s="1"/>
  <c r="H43" i="76"/>
  <c r="H43" i="84" s="1"/>
  <c r="J101" i="86" s="1"/>
  <c r="H42" i="76"/>
  <c r="H42" i="84" s="1"/>
  <c r="J100" i="86" s="1"/>
  <c r="H37" i="76"/>
  <c r="H33" i="76"/>
  <c r="L50" i="81"/>
  <c r="L60" i="85"/>
  <c r="N49" i="86" s="1"/>
  <c r="L56" i="85"/>
  <c r="N45" i="86" s="1"/>
  <c r="L45" i="85"/>
  <c r="N33" i="86" s="1"/>
  <c r="L31" i="81"/>
  <c r="L48" i="81"/>
  <c r="L46" i="81"/>
  <c r="AG46" i="81" s="1"/>
  <c r="L58" i="85"/>
  <c r="N47" i="86" s="1"/>
  <c r="L41" i="85"/>
  <c r="N28" i="86" s="1"/>
  <c r="L44" i="81"/>
  <c r="L47" i="85"/>
  <c r="N36" i="86" s="1"/>
  <c r="L49" i="81"/>
  <c r="L59" i="85"/>
  <c r="N48" i="86" s="1"/>
  <c r="L53" i="85"/>
  <c r="N42" i="86" s="1"/>
  <c r="L42" i="85"/>
  <c r="N29" i="86" s="1"/>
  <c r="L51" i="81"/>
  <c r="AG51" i="81" s="1"/>
  <c r="L37" i="81"/>
  <c r="AG37" i="81" s="1"/>
  <c r="L43" i="81"/>
  <c r="L52" i="85"/>
  <c r="N41" i="86" s="1"/>
  <c r="L36" i="81"/>
  <c r="AG36" i="81" s="1"/>
  <c r="L23" i="81"/>
  <c r="AG23" i="81" s="1"/>
  <c r="L38" i="81"/>
  <c r="AG38" i="81" s="1"/>
  <c r="L39" i="81"/>
  <c r="L61" i="85"/>
  <c r="N50" i="86" s="1"/>
  <c r="L57" i="85"/>
  <c r="N46" i="86" s="1"/>
  <c r="L40" i="85"/>
  <c r="N27" i="86" s="1"/>
  <c r="L54" i="81"/>
  <c r="L34" i="81"/>
  <c r="AG34" i="81" s="1"/>
  <c r="L35" i="81"/>
  <c r="M38" i="73"/>
  <c r="I38" i="73"/>
  <c r="I40" i="73" s="1"/>
  <c r="E38" i="73"/>
  <c r="E40" i="73" s="1"/>
  <c r="L38" i="73"/>
  <c r="L40" i="73" s="1"/>
  <c r="H38" i="73"/>
  <c r="H40" i="73" s="1"/>
  <c r="D38" i="73"/>
  <c r="D40" i="73" s="1"/>
  <c r="K38" i="73"/>
  <c r="K40" i="73" s="1"/>
  <c r="G38" i="73"/>
  <c r="G40" i="73" s="1"/>
  <c r="C38" i="73"/>
  <c r="C40" i="73" s="1"/>
  <c r="F38" i="73"/>
  <c r="F40" i="73" s="1"/>
  <c r="B38" i="73"/>
  <c r="B40" i="73" s="1"/>
  <c r="J38" i="73"/>
  <c r="J40" i="73" s="1"/>
  <c r="M40" i="73"/>
  <c r="N36" i="73"/>
  <c r="N35" i="73"/>
  <c r="L35" i="85" l="1"/>
  <c r="N22" i="86" s="1"/>
  <c r="AG35" i="81"/>
  <c r="N83" i="86"/>
  <c r="AG31" i="81"/>
  <c r="L50" i="85"/>
  <c r="N39" i="86" s="1"/>
  <c r="AG50" i="81"/>
  <c r="H46" i="85"/>
  <c r="J34" i="86" s="1"/>
  <c r="AC46" i="81"/>
  <c r="H54" i="85"/>
  <c r="J43" i="86" s="1"/>
  <c r="AC54" i="81"/>
  <c r="D54" i="85"/>
  <c r="F43" i="86" s="1"/>
  <c r="Y54" i="81"/>
  <c r="D43" i="85"/>
  <c r="F31" i="86" s="1"/>
  <c r="Y43" i="81"/>
  <c r="D51" i="85"/>
  <c r="F40" i="86" s="1"/>
  <c r="Y51" i="81"/>
  <c r="D35" i="85"/>
  <c r="F22" i="86" s="1"/>
  <c r="Y35" i="81"/>
  <c r="L49" i="85"/>
  <c r="N38" i="86" s="1"/>
  <c r="AG49" i="81"/>
  <c r="H48" i="85"/>
  <c r="J37" i="86" s="1"/>
  <c r="AC48" i="81"/>
  <c r="H39" i="85"/>
  <c r="J26" i="86" s="1"/>
  <c r="AC39" i="81"/>
  <c r="H35" i="85"/>
  <c r="J22" i="86" s="1"/>
  <c r="AC35" i="81"/>
  <c r="D39" i="85"/>
  <c r="F26" i="86" s="1"/>
  <c r="Y39" i="81"/>
  <c r="D50" i="85"/>
  <c r="F39" i="86" s="1"/>
  <c r="Y50" i="81"/>
  <c r="D38" i="85"/>
  <c r="F25" i="86" s="1"/>
  <c r="Y38" i="81"/>
  <c r="L54" i="85"/>
  <c r="N43" i="86" s="1"/>
  <c r="AG54" i="81"/>
  <c r="L39" i="85"/>
  <c r="N26" i="86" s="1"/>
  <c r="AG39" i="81"/>
  <c r="H36" i="85"/>
  <c r="J23" i="86" s="1"/>
  <c r="AC36" i="81"/>
  <c r="H37" i="85"/>
  <c r="J24" i="86" s="1"/>
  <c r="AC37" i="81"/>
  <c r="F83" i="86"/>
  <c r="Y31" i="81"/>
  <c r="L43" i="85"/>
  <c r="N31" i="86" s="1"/>
  <c r="AG43" i="81"/>
  <c r="L44" i="85"/>
  <c r="N32" i="86" s="1"/>
  <c r="AG44" i="81"/>
  <c r="L48" i="85"/>
  <c r="N37" i="86" s="1"/>
  <c r="AG48" i="81"/>
  <c r="H38" i="85"/>
  <c r="J25" i="86" s="1"/>
  <c r="AC38" i="81"/>
  <c r="H43" i="85"/>
  <c r="J31" i="86" s="1"/>
  <c r="AC43" i="81"/>
  <c r="H50" i="85"/>
  <c r="J39" i="86" s="1"/>
  <c r="AC50" i="81"/>
  <c r="J83" i="86"/>
  <c r="AC31" i="81"/>
  <c r="H49" i="85"/>
  <c r="J38" i="86" s="1"/>
  <c r="AC49" i="81"/>
  <c r="D37" i="85"/>
  <c r="F24" i="86" s="1"/>
  <c r="Y37" i="81"/>
  <c r="D48" i="85"/>
  <c r="Y48" i="81"/>
  <c r="X20" i="82"/>
  <c r="J8" i="81"/>
  <c r="J8" i="76"/>
  <c r="M8" i="81"/>
  <c r="M8" i="76"/>
  <c r="X17" i="82"/>
  <c r="X18" i="82"/>
  <c r="O8" i="76"/>
  <c r="O8" i="81"/>
  <c r="E9" i="82"/>
  <c r="P9" i="76"/>
  <c r="E20" i="82"/>
  <c r="B16" i="82"/>
  <c r="Q16" i="82"/>
  <c r="F8" i="81"/>
  <c r="F8" i="76"/>
  <c r="G8" i="76"/>
  <c r="G8" i="81"/>
  <c r="N56" i="73"/>
  <c r="K8" i="76"/>
  <c r="K8" i="81"/>
  <c r="AB17" i="82"/>
  <c r="AB18" i="82"/>
  <c r="P9" i="81"/>
  <c r="B72" i="73"/>
  <c r="N8" i="81"/>
  <c r="N8" i="76"/>
  <c r="E8" i="76"/>
  <c r="E8" i="81"/>
  <c r="N76" i="73"/>
  <c r="T17" i="82"/>
  <c r="T18" i="82"/>
  <c r="T20" i="82" s="1"/>
  <c r="AB16" i="82"/>
  <c r="W8" i="82"/>
  <c r="S8" i="82"/>
  <c r="B88" i="73"/>
  <c r="N88" i="73" s="1"/>
  <c r="N81" i="73"/>
  <c r="I8" i="76"/>
  <c r="I8" i="81"/>
  <c r="L37" i="85"/>
  <c r="N24" i="86" s="1"/>
  <c r="H53" i="76"/>
  <c r="H54" i="76" s="1"/>
  <c r="H48" i="76"/>
  <c r="H16" i="83" s="1"/>
  <c r="J94" i="86"/>
  <c r="H39" i="84"/>
  <c r="H48" i="84" s="1"/>
  <c r="H49" i="84" s="1"/>
  <c r="L51" i="85"/>
  <c r="N40" i="86" s="1"/>
  <c r="N137" i="86"/>
  <c r="L34" i="76"/>
  <c r="J71" i="86"/>
  <c r="H32" i="81"/>
  <c r="H34" i="85"/>
  <c r="J21" i="86" s="1"/>
  <c r="H63" i="81"/>
  <c r="D34" i="76"/>
  <c r="F137" i="86"/>
  <c r="F37" i="86"/>
  <c r="F97" i="86"/>
  <c r="L46" i="85"/>
  <c r="N34" i="86" s="1"/>
  <c r="N94" i="86"/>
  <c r="L53" i="76"/>
  <c r="L54" i="76" s="1"/>
  <c r="L48" i="76"/>
  <c r="L16" i="83" s="1"/>
  <c r="L43" i="84"/>
  <c r="F71" i="86"/>
  <c r="D32" i="81"/>
  <c r="D46" i="85"/>
  <c r="F34" i="86" s="1"/>
  <c r="D63" i="81"/>
  <c r="D34" i="85"/>
  <c r="N71" i="86"/>
  <c r="N85" i="86" s="1"/>
  <c r="L25" i="82" s="1"/>
  <c r="L32" i="81"/>
  <c r="L39" i="84"/>
  <c r="N97" i="86" s="1"/>
  <c r="H44" i="85"/>
  <c r="J32" i="86" s="1"/>
  <c r="D36" i="85"/>
  <c r="F23" i="86" s="1"/>
  <c r="L34" i="85"/>
  <c r="L63" i="81"/>
  <c r="L36" i="85"/>
  <c r="N23" i="86" s="1"/>
  <c r="H51" i="85"/>
  <c r="J40" i="86" s="1"/>
  <c r="D40" i="84"/>
  <c r="P40" i="84" s="1"/>
  <c r="L38" i="85"/>
  <c r="J137" i="86"/>
  <c r="H34" i="76"/>
  <c r="L55" i="76"/>
  <c r="L41" i="84"/>
  <c r="N99" i="86" s="1"/>
  <c r="N96" i="86"/>
  <c r="D41" i="84"/>
  <c r="F99" i="86" s="1"/>
  <c r="D55" i="76"/>
  <c r="D43" i="84"/>
  <c r="F101" i="86" s="1"/>
  <c r="F94" i="86"/>
  <c r="D53" i="76"/>
  <c r="D54" i="76" s="1"/>
  <c r="D48" i="76"/>
  <c r="D16" i="83" s="1"/>
  <c r="D44" i="85"/>
  <c r="D49" i="85"/>
  <c r="F38" i="86" s="1"/>
  <c r="H55" i="76"/>
  <c r="N40" i="73"/>
  <c r="P40" i="73" s="1"/>
  <c r="P41" i="73" s="1"/>
  <c r="N38" i="73"/>
  <c r="J85" i="86" l="1"/>
  <c r="H25" i="82" s="1"/>
  <c r="F85" i="86"/>
  <c r="D25" i="82" s="1"/>
  <c r="AH25" i="82" s="1"/>
  <c r="E44" i="84"/>
  <c r="E39" i="76"/>
  <c r="E33" i="76"/>
  <c r="E46" i="84"/>
  <c r="E41" i="76"/>
  <c r="E7" i="82"/>
  <c r="E45" i="84"/>
  <c r="E37" i="76"/>
  <c r="E38" i="84"/>
  <c r="E42" i="76"/>
  <c r="E47" i="84"/>
  <c r="P8" i="76"/>
  <c r="E43" i="76"/>
  <c r="E40" i="76"/>
  <c r="F45" i="85"/>
  <c r="H33" i="86" s="1"/>
  <c r="F61" i="85"/>
  <c r="H50" i="86" s="1"/>
  <c r="F59" i="85"/>
  <c r="H48" i="86" s="1"/>
  <c r="F51" i="81"/>
  <c r="F36" i="81"/>
  <c r="F43" i="81"/>
  <c r="AA43" i="81" s="1"/>
  <c r="F39" i="81"/>
  <c r="AA39" i="81" s="1"/>
  <c r="F58" i="85"/>
  <c r="H47" i="86" s="1"/>
  <c r="F56" i="85"/>
  <c r="H45" i="86" s="1"/>
  <c r="F42" i="85"/>
  <c r="H29" i="86" s="1"/>
  <c r="F44" i="81"/>
  <c r="F48" i="81"/>
  <c r="AA48" i="81" s="1"/>
  <c r="F38" i="81"/>
  <c r="F53" i="85"/>
  <c r="H42" i="86" s="1"/>
  <c r="F57" i="85"/>
  <c r="H46" i="86" s="1"/>
  <c r="F47" i="85"/>
  <c r="H36" i="86" s="1"/>
  <c r="F37" i="81"/>
  <c r="F46" i="81"/>
  <c r="AA46" i="81" s="1"/>
  <c r="F31" i="81"/>
  <c r="F41" i="85"/>
  <c r="H28" i="86" s="1"/>
  <c r="F52" i="85"/>
  <c r="H41" i="86" s="1"/>
  <c r="F23" i="81"/>
  <c r="AA23" i="81" s="1"/>
  <c r="F54" i="81"/>
  <c r="F35" i="81"/>
  <c r="F60" i="85"/>
  <c r="H49" i="86" s="1"/>
  <c r="F34" i="81"/>
  <c r="AA34" i="81" s="1"/>
  <c r="F40" i="85"/>
  <c r="H27" i="86" s="1"/>
  <c r="F50" i="81"/>
  <c r="F49" i="81"/>
  <c r="O57" i="85"/>
  <c r="Q46" i="86" s="1"/>
  <c r="O41" i="85"/>
  <c r="Q28" i="86" s="1"/>
  <c r="O47" i="85"/>
  <c r="Q36" i="86" s="1"/>
  <c r="O59" i="85"/>
  <c r="Q48" i="86" s="1"/>
  <c r="O53" i="85"/>
  <c r="Q42" i="86" s="1"/>
  <c r="O40" i="85"/>
  <c r="Q27" i="86" s="1"/>
  <c r="O43" i="81"/>
  <c r="O46" i="81"/>
  <c r="O50" i="81"/>
  <c r="O23" i="81"/>
  <c r="AJ23" i="81" s="1"/>
  <c r="O42" i="85"/>
  <c r="Q29" i="86" s="1"/>
  <c r="O45" i="85"/>
  <c r="Q33" i="86" s="1"/>
  <c r="O52" i="85"/>
  <c r="Q41" i="86" s="1"/>
  <c r="O39" i="81"/>
  <c r="O38" i="81"/>
  <c r="O44" i="81"/>
  <c r="O54" i="81"/>
  <c r="O61" i="85"/>
  <c r="Q50" i="86" s="1"/>
  <c r="O60" i="85"/>
  <c r="Q49" i="86" s="1"/>
  <c r="O51" i="81"/>
  <c r="O37" i="81"/>
  <c r="O34" i="81"/>
  <c r="AJ34" i="81" s="1"/>
  <c r="O36" i="81"/>
  <c r="O49" i="81"/>
  <c r="O35" i="81"/>
  <c r="AJ35" i="81" s="1"/>
  <c r="O58" i="85"/>
  <c r="Q47" i="86" s="1"/>
  <c r="O31" i="81"/>
  <c r="O56" i="85"/>
  <c r="Q45" i="86" s="1"/>
  <c r="O48" i="81"/>
  <c r="M46" i="84"/>
  <c r="O104" i="86" s="1"/>
  <c r="M41" i="76"/>
  <c r="M41" i="84" s="1"/>
  <c r="O99" i="86" s="1"/>
  <c r="M33" i="76"/>
  <c r="M45" i="84"/>
  <c r="O103" i="86" s="1"/>
  <c r="M39" i="76"/>
  <c r="M39" i="84" s="1"/>
  <c r="O97" i="86" s="1"/>
  <c r="M42" i="76"/>
  <c r="M42" i="84" s="1"/>
  <c r="O100" i="86" s="1"/>
  <c r="M43" i="76"/>
  <c r="M38" i="84"/>
  <c r="M37" i="76"/>
  <c r="M47" i="84"/>
  <c r="O106" i="86" s="1"/>
  <c r="M40" i="76"/>
  <c r="O98" i="86" s="1"/>
  <c r="M44" i="84"/>
  <c r="O102" i="86" s="1"/>
  <c r="M7" i="82"/>
  <c r="M55" i="76"/>
  <c r="L49" i="76"/>
  <c r="N46" i="84"/>
  <c r="P104" i="86" s="1"/>
  <c r="N37" i="76"/>
  <c r="N43" i="76"/>
  <c r="N43" i="84" s="1"/>
  <c r="P101" i="86" s="1"/>
  <c r="N45" i="84"/>
  <c r="P103" i="86" s="1"/>
  <c r="N42" i="76"/>
  <c r="N42" i="84" s="1"/>
  <c r="P100" i="86" s="1"/>
  <c r="N33" i="76"/>
  <c r="N38" i="84"/>
  <c r="N39" i="76"/>
  <c r="N41" i="76"/>
  <c r="N47" i="84"/>
  <c r="P106" i="86" s="1"/>
  <c r="N7" i="82"/>
  <c r="N44" i="84"/>
  <c r="P102" i="86" s="1"/>
  <c r="N40" i="76"/>
  <c r="P98" i="86" s="1"/>
  <c r="K45" i="85"/>
  <c r="M33" i="86" s="1"/>
  <c r="K41" i="85"/>
  <c r="M28" i="86" s="1"/>
  <c r="K57" i="85"/>
  <c r="M46" i="86" s="1"/>
  <c r="K59" i="85"/>
  <c r="M48" i="86" s="1"/>
  <c r="K43" i="81"/>
  <c r="K50" i="81"/>
  <c r="K48" i="81"/>
  <c r="AF48" i="81" s="1"/>
  <c r="K38" i="81"/>
  <c r="K58" i="85"/>
  <c r="M47" i="86" s="1"/>
  <c r="K60" i="85"/>
  <c r="M49" i="86" s="1"/>
  <c r="K52" i="85"/>
  <c r="M41" i="86" s="1"/>
  <c r="K47" i="85"/>
  <c r="M36" i="86" s="1"/>
  <c r="K39" i="81"/>
  <c r="K44" i="81"/>
  <c r="K23" i="81"/>
  <c r="AF23" i="81" s="1"/>
  <c r="K31" i="81"/>
  <c r="K53" i="85"/>
  <c r="M42" i="86" s="1"/>
  <c r="K42" i="85"/>
  <c r="M29" i="86" s="1"/>
  <c r="K35" i="81"/>
  <c r="K34" i="81"/>
  <c r="AF34" i="81" s="1"/>
  <c r="K56" i="85"/>
  <c r="M45" i="86" s="1"/>
  <c r="K51" i="81"/>
  <c r="K36" i="81"/>
  <c r="K61" i="85"/>
  <c r="M50" i="86" s="1"/>
  <c r="K49" i="81"/>
  <c r="K54" i="81"/>
  <c r="K40" i="85"/>
  <c r="M27" i="86" s="1"/>
  <c r="K37" i="81"/>
  <c r="K46" i="81"/>
  <c r="G57" i="85"/>
  <c r="I46" i="86" s="1"/>
  <c r="G60" i="85"/>
  <c r="I49" i="86" s="1"/>
  <c r="G58" i="85"/>
  <c r="I47" i="86" s="1"/>
  <c r="G51" i="81"/>
  <c r="G37" i="81"/>
  <c r="G48" i="81"/>
  <c r="G34" i="81"/>
  <c r="AB34" i="81" s="1"/>
  <c r="G52" i="85"/>
  <c r="I41" i="86" s="1"/>
  <c r="G56" i="85"/>
  <c r="I45" i="86" s="1"/>
  <c r="G53" i="85"/>
  <c r="I42" i="86" s="1"/>
  <c r="G49" i="81"/>
  <c r="G35" i="81"/>
  <c r="G23" i="81"/>
  <c r="AB23" i="81" s="1"/>
  <c r="G31" i="81"/>
  <c r="G59" i="85"/>
  <c r="I48" i="86" s="1"/>
  <c r="G42" i="85"/>
  <c r="I29" i="86" s="1"/>
  <c r="G54" i="81"/>
  <c r="AB54" i="81" s="1"/>
  <c r="G50" i="81"/>
  <c r="G47" i="85"/>
  <c r="I36" i="86" s="1"/>
  <c r="G43" i="81"/>
  <c r="G46" i="81"/>
  <c r="G61" i="85"/>
  <c r="I50" i="86" s="1"/>
  <c r="G41" i="85"/>
  <c r="I28" i="86" s="1"/>
  <c r="G39" i="81"/>
  <c r="G38" i="81"/>
  <c r="G40" i="85"/>
  <c r="I27" i="86" s="1"/>
  <c r="G45" i="85"/>
  <c r="I33" i="86" s="1"/>
  <c r="G36" i="81"/>
  <c r="G44" i="81"/>
  <c r="U16" i="82"/>
  <c r="AC16" i="82"/>
  <c r="B9" i="82"/>
  <c r="AF8" i="82"/>
  <c r="Q8" i="82"/>
  <c r="AC8" i="82" s="1"/>
  <c r="O47" i="84"/>
  <c r="Q106" i="86" s="1"/>
  <c r="O38" i="84"/>
  <c r="O37" i="76"/>
  <c r="O46" i="84"/>
  <c r="Q104" i="86" s="1"/>
  <c r="O42" i="76"/>
  <c r="O42" i="84" s="1"/>
  <c r="Q100" i="86" s="1"/>
  <c r="O41" i="76"/>
  <c r="O41" i="84" s="1"/>
  <c r="Q99" i="86" s="1"/>
  <c r="O7" i="82"/>
  <c r="O33" i="76"/>
  <c r="O45" i="84"/>
  <c r="Q103" i="86" s="1"/>
  <c r="O43" i="76"/>
  <c r="O43" i="84" s="1"/>
  <c r="Q101" i="86" s="1"/>
  <c r="O44" i="84"/>
  <c r="Q102" i="86" s="1"/>
  <c r="O39" i="76"/>
  <c r="O40" i="76"/>
  <c r="Q98" i="86" s="1"/>
  <c r="M52" i="85"/>
  <c r="O41" i="86" s="1"/>
  <c r="M56" i="85"/>
  <c r="O45" i="86" s="1"/>
  <c r="M41" i="85"/>
  <c r="O28" i="86" s="1"/>
  <c r="M50" i="81"/>
  <c r="M38" i="81"/>
  <c r="M23" i="81"/>
  <c r="AH23" i="81" s="1"/>
  <c r="M35" i="81"/>
  <c r="M40" i="85"/>
  <c r="O27" i="86" s="1"/>
  <c r="M47" i="85"/>
  <c r="O36" i="86" s="1"/>
  <c r="M58" i="85"/>
  <c r="O47" i="86" s="1"/>
  <c r="M48" i="81"/>
  <c r="M36" i="81"/>
  <c r="M49" i="81"/>
  <c r="AH49" i="81" s="1"/>
  <c r="M31" i="81"/>
  <c r="M57" i="85"/>
  <c r="O46" i="86" s="1"/>
  <c r="M45" i="85"/>
  <c r="O33" i="86" s="1"/>
  <c r="M44" i="81"/>
  <c r="M39" i="81"/>
  <c r="M59" i="85"/>
  <c r="O48" i="86" s="1"/>
  <c r="M42" i="85"/>
  <c r="O29" i="86" s="1"/>
  <c r="M34" i="81"/>
  <c r="AH34" i="81" s="1"/>
  <c r="M51" i="81"/>
  <c r="AH51" i="81" s="1"/>
  <c r="M60" i="85"/>
  <c r="O49" i="86" s="1"/>
  <c r="M54" i="81"/>
  <c r="M37" i="81"/>
  <c r="M61" i="85"/>
  <c r="O50" i="86" s="1"/>
  <c r="M53" i="85"/>
  <c r="O42" i="86" s="1"/>
  <c r="M46" i="81"/>
  <c r="M43" i="81"/>
  <c r="J47" i="84"/>
  <c r="L106" i="86" s="1"/>
  <c r="J38" i="84"/>
  <c r="J40" i="76"/>
  <c r="L98" i="86" s="1"/>
  <c r="J37" i="76"/>
  <c r="J45" i="84"/>
  <c r="L103" i="86" s="1"/>
  <c r="J43" i="76"/>
  <c r="J43" i="84" s="1"/>
  <c r="L101" i="86" s="1"/>
  <c r="J44" i="84"/>
  <c r="L102" i="86" s="1"/>
  <c r="J39" i="76"/>
  <c r="J42" i="76"/>
  <c r="J42" i="84" s="1"/>
  <c r="L100" i="86" s="1"/>
  <c r="J33" i="76"/>
  <c r="J46" i="84"/>
  <c r="L104" i="86" s="1"/>
  <c r="J41" i="76"/>
  <c r="J41" i="84" s="1"/>
  <c r="L99" i="86" s="1"/>
  <c r="J7" i="82"/>
  <c r="I56" i="85"/>
  <c r="K45" i="86" s="1"/>
  <c r="I42" i="85"/>
  <c r="K29" i="86" s="1"/>
  <c r="I47" i="85"/>
  <c r="K36" i="86" s="1"/>
  <c r="I57" i="85"/>
  <c r="K46" i="86" s="1"/>
  <c r="I45" i="85"/>
  <c r="K33" i="86" s="1"/>
  <c r="I50" i="81"/>
  <c r="I38" i="81"/>
  <c r="I43" i="81"/>
  <c r="AD43" i="81" s="1"/>
  <c r="I51" i="81"/>
  <c r="I60" i="85"/>
  <c r="K49" i="86" s="1"/>
  <c r="I52" i="85"/>
  <c r="K41" i="86" s="1"/>
  <c r="I54" i="81"/>
  <c r="AD54" i="81" s="1"/>
  <c r="I36" i="81"/>
  <c r="I35" i="81"/>
  <c r="I58" i="85"/>
  <c r="K47" i="86" s="1"/>
  <c r="I53" i="85"/>
  <c r="K42" i="86" s="1"/>
  <c r="I48" i="81"/>
  <c r="I34" i="81"/>
  <c r="AD34" i="81" s="1"/>
  <c r="I31" i="81"/>
  <c r="I59" i="85"/>
  <c r="K48" i="86" s="1"/>
  <c r="I61" i="85"/>
  <c r="K50" i="86" s="1"/>
  <c r="I46" i="81"/>
  <c r="I49" i="81"/>
  <c r="I37" i="81"/>
  <c r="I40" i="85"/>
  <c r="K27" i="86" s="1"/>
  <c r="I41" i="85"/>
  <c r="K28" i="86" s="1"/>
  <c r="I44" i="81"/>
  <c r="I39" i="81"/>
  <c r="I23" i="81"/>
  <c r="AD23" i="81" s="1"/>
  <c r="N47" i="85"/>
  <c r="P36" i="86" s="1"/>
  <c r="N52" i="85"/>
  <c r="P41" i="86" s="1"/>
  <c r="N57" i="85"/>
  <c r="P46" i="86" s="1"/>
  <c r="N54" i="81"/>
  <c r="N46" i="81"/>
  <c r="N34" i="81"/>
  <c r="AI34" i="81" s="1"/>
  <c r="N44" i="81"/>
  <c r="N58" i="85"/>
  <c r="P47" i="86" s="1"/>
  <c r="N61" i="85"/>
  <c r="P50" i="86" s="1"/>
  <c r="N53" i="85"/>
  <c r="P42" i="86" s="1"/>
  <c r="N49" i="81"/>
  <c r="N39" i="81"/>
  <c r="N31" i="81"/>
  <c r="N37" i="81"/>
  <c r="N42" i="85"/>
  <c r="P29" i="86" s="1"/>
  <c r="N23" i="81"/>
  <c r="AI23" i="81" s="1"/>
  <c r="N35" i="81"/>
  <c r="N60" i="85"/>
  <c r="P49" i="86" s="1"/>
  <c r="N41" i="85"/>
  <c r="P28" i="86" s="1"/>
  <c r="N48" i="81"/>
  <c r="N51" i="81"/>
  <c r="N56" i="85"/>
  <c r="P45" i="86" s="1"/>
  <c r="N40" i="85"/>
  <c r="P27" i="86" s="1"/>
  <c r="N43" i="81"/>
  <c r="N50" i="81"/>
  <c r="N59" i="85"/>
  <c r="P48" i="86" s="1"/>
  <c r="N45" i="85"/>
  <c r="P33" i="86" s="1"/>
  <c r="N38" i="81"/>
  <c r="N36" i="81"/>
  <c r="K46" i="84"/>
  <c r="M104" i="86" s="1"/>
  <c r="K42" i="76"/>
  <c r="K42" i="84" s="1"/>
  <c r="M100" i="86" s="1"/>
  <c r="K39" i="76"/>
  <c r="K39" i="84" s="1"/>
  <c r="M97" i="86" s="1"/>
  <c r="K47" i="84"/>
  <c r="M106" i="86" s="1"/>
  <c r="K40" i="76"/>
  <c r="M98" i="86" s="1"/>
  <c r="K41" i="76"/>
  <c r="K45" i="84"/>
  <c r="M103" i="86" s="1"/>
  <c r="K33" i="76"/>
  <c r="K7" i="82"/>
  <c r="K44" i="84"/>
  <c r="M102" i="86" s="1"/>
  <c r="K43" i="76"/>
  <c r="K38" i="84"/>
  <c r="K37" i="76"/>
  <c r="G44" i="84"/>
  <c r="I102" i="86" s="1"/>
  <c r="G33" i="76"/>
  <c r="G41" i="76"/>
  <c r="G45" i="84"/>
  <c r="I103" i="86" s="1"/>
  <c r="G43" i="76"/>
  <c r="G43" i="84" s="1"/>
  <c r="I101" i="86" s="1"/>
  <c r="G38" i="84"/>
  <c r="I96" i="86" s="1"/>
  <c r="G39" i="76"/>
  <c r="G39" i="84" s="1"/>
  <c r="I97" i="86" s="1"/>
  <c r="G47" i="84"/>
  <c r="I106" i="86" s="1"/>
  <c r="G42" i="76"/>
  <c r="G37" i="76"/>
  <c r="G46" i="84"/>
  <c r="I104" i="86" s="1"/>
  <c r="G40" i="76"/>
  <c r="I98" i="86" s="1"/>
  <c r="G7" i="82"/>
  <c r="S7" i="82" s="1"/>
  <c r="J57" i="85"/>
  <c r="L46" i="86" s="1"/>
  <c r="J41" i="85"/>
  <c r="L28" i="86" s="1"/>
  <c r="J56" i="85"/>
  <c r="L45" i="86" s="1"/>
  <c r="J39" i="81"/>
  <c r="J31" i="81"/>
  <c r="J37" i="81"/>
  <c r="J49" i="81"/>
  <c r="J59" i="85"/>
  <c r="L48" i="86" s="1"/>
  <c r="J58" i="85"/>
  <c r="L47" i="86" s="1"/>
  <c r="J47" i="85"/>
  <c r="L36" i="86" s="1"/>
  <c r="J40" i="85"/>
  <c r="L27" i="86" s="1"/>
  <c r="J38" i="81"/>
  <c r="J51" i="81"/>
  <c r="J36" i="81"/>
  <c r="J48" i="81"/>
  <c r="J61" i="85"/>
  <c r="L50" i="86" s="1"/>
  <c r="J52" i="85"/>
  <c r="L41" i="86" s="1"/>
  <c r="J34" i="81"/>
  <c r="AE34" i="81" s="1"/>
  <c r="J43" i="81"/>
  <c r="J53" i="85"/>
  <c r="L42" i="86" s="1"/>
  <c r="J23" i="81"/>
  <c r="AE23" i="81" s="1"/>
  <c r="J50" i="81"/>
  <c r="J45" i="85"/>
  <c r="L33" i="86" s="1"/>
  <c r="J46" i="81"/>
  <c r="J44" i="81"/>
  <c r="J42" i="85"/>
  <c r="L29" i="86" s="1"/>
  <c r="J60" i="85"/>
  <c r="L49" i="86" s="1"/>
  <c r="J35" i="81"/>
  <c r="J54" i="81"/>
  <c r="D49" i="76"/>
  <c r="I47" i="84"/>
  <c r="K106" i="86" s="1"/>
  <c r="I38" i="84"/>
  <c r="I37" i="76"/>
  <c r="I7" i="82"/>
  <c r="I46" i="84"/>
  <c r="K104" i="86" s="1"/>
  <c r="I43" i="76"/>
  <c r="I43" i="84" s="1"/>
  <c r="K101" i="86" s="1"/>
  <c r="I33" i="76"/>
  <c r="I45" i="84"/>
  <c r="K103" i="86" s="1"/>
  <c r="I41" i="76"/>
  <c r="I41" i="84" s="1"/>
  <c r="K99" i="86" s="1"/>
  <c r="I42" i="76"/>
  <c r="I42" i="84" s="1"/>
  <c r="K100" i="86" s="1"/>
  <c r="I44" i="84"/>
  <c r="K102" i="86" s="1"/>
  <c r="I39" i="76"/>
  <c r="I40" i="76"/>
  <c r="K98" i="86" s="1"/>
  <c r="E42" i="85"/>
  <c r="E45" i="85"/>
  <c r="E40" i="85"/>
  <c r="E54" i="81"/>
  <c r="Z54" i="81" s="1"/>
  <c r="E44" i="81"/>
  <c r="Z44" i="81" s="1"/>
  <c r="E39" i="81"/>
  <c r="Z39" i="81" s="1"/>
  <c r="E37" i="81"/>
  <c r="Z37" i="81" s="1"/>
  <c r="E58" i="85"/>
  <c r="E47" i="85"/>
  <c r="E50" i="81"/>
  <c r="Z50" i="81" s="1"/>
  <c r="E36" i="81"/>
  <c r="Z36" i="81" s="1"/>
  <c r="E51" i="81"/>
  <c r="Z51" i="81" s="1"/>
  <c r="E53" i="85"/>
  <c r="E60" i="85"/>
  <c r="E48" i="81"/>
  <c r="Z48" i="81" s="1"/>
  <c r="E34" i="81"/>
  <c r="Z34" i="81" s="1"/>
  <c r="E23" i="81"/>
  <c r="Z23" i="81" s="1"/>
  <c r="E59" i="85"/>
  <c r="E41" i="85"/>
  <c r="E56" i="85"/>
  <c r="E46" i="81"/>
  <c r="Z46" i="81" s="1"/>
  <c r="E35" i="81"/>
  <c r="Z35" i="81" s="1"/>
  <c r="E43" i="81"/>
  <c r="Z43" i="81" s="1"/>
  <c r="E61" i="85"/>
  <c r="E31" i="81"/>
  <c r="Z31" i="81" s="1"/>
  <c r="E57" i="85"/>
  <c r="E49" i="81"/>
  <c r="Z49" i="81" s="1"/>
  <c r="E52" i="85"/>
  <c r="E38" i="81"/>
  <c r="Z38" i="81" s="1"/>
  <c r="P8" i="81"/>
  <c r="AB20" i="82"/>
  <c r="F47" i="84"/>
  <c r="H106" i="86" s="1"/>
  <c r="F38" i="84"/>
  <c r="F33" i="76"/>
  <c r="F41" i="76"/>
  <c r="F41" i="84" s="1"/>
  <c r="H99" i="86" s="1"/>
  <c r="F46" i="84"/>
  <c r="H104" i="86" s="1"/>
  <c r="F43" i="76"/>
  <c r="F43" i="84" s="1"/>
  <c r="H101" i="86" s="1"/>
  <c r="F37" i="76"/>
  <c r="F39" i="76"/>
  <c r="F45" i="84"/>
  <c r="H103" i="86" s="1"/>
  <c r="F7" i="82"/>
  <c r="F44" i="84"/>
  <c r="H102" i="86" s="1"/>
  <c r="F42" i="76"/>
  <c r="F40" i="76"/>
  <c r="H98" i="86" s="1"/>
  <c r="F55" i="76"/>
  <c r="AF20" i="82"/>
  <c r="B20" i="82"/>
  <c r="C16" i="82" s="1"/>
  <c r="Q20" i="82"/>
  <c r="R16" i="82" s="1"/>
  <c r="J54" i="86"/>
  <c r="N25" i="86"/>
  <c r="F98" i="86"/>
  <c r="L63" i="85"/>
  <c r="L64" i="85" s="1"/>
  <c r="N101" i="86"/>
  <c r="J97" i="86"/>
  <c r="F32" i="86"/>
  <c r="L48" i="84"/>
  <c r="L49" i="84" s="1"/>
  <c r="H49" i="76"/>
  <c r="D63" i="85"/>
  <c r="D64" i="85" s="1"/>
  <c r="F21" i="86"/>
  <c r="F54" i="86" s="1"/>
  <c r="F87" i="86" s="1"/>
  <c r="H17" i="83"/>
  <c r="H18" i="83" s="1"/>
  <c r="H64" i="81"/>
  <c r="J108" i="86"/>
  <c r="L17" i="83"/>
  <c r="L18" i="83" s="1"/>
  <c r="L64" i="81"/>
  <c r="N108" i="86"/>
  <c r="N21" i="86"/>
  <c r="N54" i="86" s="1"/>
  <c r="D17" i="83"/>
  <c r="D18" i="83" s="1"/>
  <c r="D64" i="81"/>
  <c r="H63" i="85"/>
  <c r="H64" i="85" s="1"/>
  <c r="D48" i="84"/>
  <c r="D49" i="84" s="1"/>
  <c r="D26" i="82" l="1"/>
  <c r="AH26" i="82" s="1"/>
  <c r="X43" i="81"/>
  <c r="J50" i="85"/>
  <c r="L39" i="86" s="1"/>
  <c r="AE50" i="81"/>
  <c r="J36" i="85"/>
  <c r="L23" i="86" s="1"/>
  <c r="AE36" i="81"/>
  <c r="J37" i="85"/>
  <c r="L24" i="86" s="1"/>
  <c r="AE37" i="81"/>
  <c r="N36" i="85"/>
  <c r="P23" i="86" s="1"/>
  <c r="AI36" i="81"/>
  <c r="N50" i="85"/>
  <c r="P39" i="86" s="1"/>
  <c r="AI50" i="81"/>
  <c r="N51" i="85"/>
  <c r="P40" i="86" s="1"/>
  <c r="AI51" i="81"/>
  <c r="N35" i="85"/>
  <c r="P22" i="86" s="1"/>
  <c r="AI35" i="81"/>
  <c r="P83" i="86"/>
  <c r="AI31" i="81"/>
  <c r="N46" i="85"/>
  <c r="P34" i="86" s="1"/>
  <c r="AI46" i="81"/>
  <c r="I46" i="85"/>
  <c r="K34" i="86" s="1"/>
  <c r="AD46" i="81"/>
  <c r="I35" i="85"/>
  <c r="K22" i="86" s="1"/>
  <c r="AD35" i="81"/>
  <c r="I50" i="85"/>
  <c r="K39" i="86" s="1"/>
  <c r="AD50" i="81"/>
  <c r="M46" i="85"/>
  <c r="O34" i="86" s="1"/>
  <c r="AH46" i="81"/>
  <c r="M54" i="85"/>
  <c r="O43" i="86" s="1"/>
  <c r="AH54" i="81"/>
  <c r="M36" i="85"/>
  <c r="O23" i="86" s="1"/>
  <c r="AH36" i="81"/>
  <c r="M50" i="85"/>
  <c r="O39" i="86" s="1"/>
  <c r="AH50" i="81"/>
  <c r="G49" i="85"/>
  <c r="I38" i="86" s="1"/>
  <c r="AB49" i="81"/>
  <c r="K37" i="85"/>
  <c r="M24" i="86" s="1"/>
  <c r="AF37" i="81"/>
  <c r="M83" i="86"/>
  <c r="AF31" i="81"/>
  <c r="K38" i="85"/>
  <c r="M25" i="86" s="1"/>
  <c r="AF38" i="81"/>
  <c r="O48" i="85"/>
  <c r="Q37" i="86" s="1"/>
  <c r="AJ48" i="81"/>
  <c r="O37" i="85"/>
  <c r="Q24" i="86" s="1"/>
  <c r="AJ37" i="81"/>
  <c r="O54" i="85"/>
  <c r="Q43" i="86" s="1"/>
  <c r="AJ54" i="81"/>
  <c r="O50" i="85"/>
  <c r="Q39" i="86" s="1"/>
  <c r="AJ50" i="81"/>
  <c r="X34" i="81"/>
  <c r="J54" i="85"/>
  <c r="L43" i="86" s="1"/>
  <c r="AE54" i="81"/>
  <c r="J44" i="85"/>
  <c r="L32" i="86" s="1"/>
  <c r="AE44" i="81"/>
  <c r="J51" i="85"/>
  <c r="L40" i="86" s="1"/>
  <c r="AE51" i="81"/>
  <c r="L83" i="86"/>
  <c r="AE31" i="81"/>
  <c r="N38" i="85"/>
  <c r="P25" i="86" s="1"/>
  <c r="AI38" i="81"/>
  <c r="N43" i="85"/>
  <c r="P31" i="86" s="1"/>
  <c r="AI43" i="81"/>
  <c r="N48" i="85"/>
  <c r="P37" i="86" s="1"/>
  <c r="AI48" i="81"/>
  <c r="N39" i="85"/>
  <c r="P26" i="86" s="1"/>
  <c r="AI39" i="81"/>
  <c r="N54" i="85"/>
  <c r="P43" i="86" s="1"/>
  <c r="AI54" i="81"/>
  <c r="I48" i="85"/>
  <c r="K37" i="86" s="1"/>
  <c r="AD48" i="81"/>
  <c r="I36" i="85"/>
  <c r="K23" i="86" s="1"/>
  <c r="AD36" i="81"/>
  <c r="I51" i="85"/>
  <c r="K40" i="86" s="1"/>
  <c r="AD51" i="81"/>
  <c r="M48" i="85"/>
  <c r="O37" i="86" s="1"/>
  <c r="AH48" i="81"/>
  <c r="M35" i="85"/>
  <c r="O22" i="86" s="1"/>
  <c r="AH35" i="81"/>
  <c r="G50" i="85"/>
  <c r="I39" i="86" s="1"/>
  <c r="AB50" i="81"/>
  <c r="I83" i="86"/>
  <c r="AB31" i="81"/>
  <c r="G48" i="85"/>
  <c r="I37" i="86" s="1"/>
  <c r="AB48" i="81"/>
  <c r="X48" i="81" s="1"/>
  <c r="K36" i="85"/>
  <c r="M23" i="86" s="1"/>
  <c r="AF36" i="81"/>
  <c r="K35" i="85"/>
  <c r="M22" i="86" s="1"/>
  <c r="AF35" i="81"/>
  <c r="O49" i="85"/>
  <c r="Q38" i="86" s="1"/>
  <c r="AJ49" i="81"/>
  <c r="O51" i="85"/>
  <c r="Q40" i="86" s="1"/>
  <c r="AJ51" i="81"/>
  <c r="O44" i="85"/>
  <c r="Q32" i="86" s="1"/>
  <c r="AJ44" i="81"/>
  <c r="O46" i="85"/>
  <c r="Q34" i="86" s="1"/>
  <c r="AJ46" i="81"/>
  <c r="F49" i="85"/>
  <c r="H38" i="86" s="1"/>
  <c r="AA49" i="81"/>
  <c r="F37" i="85"/>
  <c r="H24" i="86" s="1"/>
  <c r="AA37" i="81"/>
  <c r="X37" i="81" s="1"/>
  <c r="F38" i="85"/>
  <c r="H25" i="86" s="1"/>
  <c r="AA38" i="81"/>
  <c r="F36" i="85"/>
  <c r="H23" i="86" s="1"/>
  <c r="AA36" i="81"/>
  <c r="X36" i="81" s="1"/>
  <c r="X23" i="81"/>
  <c r="J35" i="85"/>
  <c r="L22" i="86" s="1"/>
  <c r="AE35" i="81"/>
  <c r="J46" i="85"/>
  <c r="L34" i="86" s="1"/>
  <c r="AE46" i="81"/>
  <c r="J38" i="85"/>
  <c r="L25" i="86" s="1"/>
  <c r="AE38" i="81"/>
  <c r="J39" i="85"/>
  <c r="L26" i="86" s="1"/>
  <c r="AE39" i="81"/>
  <c r="N49" i="85"/>
  <c r="P38" i="86" s="1"/>
  <c r="AI49" i="81"/>
  <c r="N44" i="85"/>
  <c r="P32" i="86" s="1"/>
  <c r="AI44" i="81"/>
  <c r="I39" i="85"/>
  <c r="K26" i="86" s="1"/>
  <c r="AD39" i="81"/>
  <c r="I37" i="85"/>
  <c r="K24" i="86" s="1"/>
  <c r="AD37" i="81"/>
  <c r="M39" i="85"/>
  <c r="O26" i="86" s="1"/>
  <c r="AH39" i="81"/>
  <c r="O83" i="86"/>
  <c r="AH31" i="81"/>
  <c r="G44" i="85"/>
  <c r="I32" i="86" s="1"/>
  <c r="AB44" i="81"/>
  <c r="G38" i="85"/>
  <c r="I25" i="86" s="1"/>
  <c r="AB38" i="81"/>
  <c r="G46" i="85"/>
  <c r="I34" i="86" s="1"/>
  <c r="AB46" i="81"/>
  <c r="X46" i="81" s="1"/>
  <c r="G37" i="85"/>
  <c r="I24" i="86" s="1"/>
  <c r="AB37" i="81"/>
  <c r="K54" i="85"/>
  <c r="M43" i="86" s="1"/>
  <c r="AF54" i="81"/>
  <c r="K51" i="85"/>
  <c r="M40" i="86" s="1"/>
  <c r="AF51" i="81"/>
  <c r="K44" i="85"/>
  <c r="M32" i="86" s="1"/>
  <c r="AF44" i="81"/>
  <c r="K50" i="85"/>
  <c r="M39" i="86" s="1"/>
  <c r="AF50" i="81"/>
  <c r="Q83" i="86"/>
  <c r="AJ31" i="81"/>
  <c r="O36" i="85"/>
  <c r="Q23" i="86" s="1"/>
  <c r="AJ36" i="81"/>
  <c r="O38" i="85"/>
  <c r="Q25" i="86" s="1"/>
  <c r="AJ38" i="81"/>
  <c r="O43" i="85"/>
  <c r="Q31" i="86" s="1"/>
  <c r="AJ43" i="81"/>
  <c r="F50" i="85"/>
  <c r="H39" i="86" s="1"/>
  <c r="AA50" i="81"/>
  <c r="F35" i="85"/>
  <c r="H22" i="86" s="1"/>
  <c r="AA35" i="81"/>
  <c r="F51" i="85"/>
  <c r="H40" i="86" s="1"/>
  <c r="AA51" i="81"/>
  <c r="X51" i="81" s="1"/>
  <c r="J43" i="85"/>
  <c r="L31" i="86" s="1"/>
  <c r="AE43" i="81"/>
  <c r="J48" i="85"/>
  <c r="L37" i="86" s="1"/>
  <c r="AE48" i="81"/>
  <c r="J49" i="85"/>
  <c r="L38" i="86" s="1"/>
  <c r="AE49" i="81"/>
  <c r="N37" i="85"/>
  <c r="P24" i="86" s="1"/>
  <c r="AI37" i="81"/>
  <c r="I44" i="85"/>
  <c r="K32" i="86" s="1"/>
  <c r="AD44" i="81"/>
  <c r="I49" i="85"/>
  <c r="K38" i="86" s="1"/>
  <c r="AD49" i="81"/>
  <c r="X49" i="81" s="1"/>
  <c r="K83" i="86"/>
  <c r="AD31" i="81"/>
  <c r="I38" i="85"/>
  <c r="K25" i="86" s="1"/>
  <c r="AD38" i="81"/>
  <c r="M43" i="85"/>
  <c r="O31" i="86" s="1"/>
  <c r="AH43" i="81"/>
  <c r="M37" i="85"/>
  <c r="O24" i="86" s="1"/>
  <c r="AH37" i="81"/>
  <c r="M44" i="85"/>
  <c r="O32" i="86" s="1"/>
  <c r="AH44" i="81"/>
  <c r="M38" i="85"/>
  <c r="O25" i="86" s="1"/>
  <c r="AH38" i="81"/>
  <c r="G36" i="85"/>
  <c r="I23" i="86" s="1"/>
  <c r="AB36" i="81"/>
  <c r="G39" i="85"/>
  <c r="I26" i="86" s="1"/>
  <c r="AB39" i="81"/>
  <c r="X39" i="81" s="1"/>
  <c r="G43" i="85"/>
  <c r="I31" i="86" s="1"/>
  <c r="AB43" i="81"/>
  <c r="G35" i="85"/>
  <c r="I22" i="86" s="1"/>
  <c r="AB35" i="81"/>
  <c r="X35" i="81" s="1"/>
  <c r="G51" i="85"/>
  <c r="I40" i="86" s="1"/>
  <c r="AB51" i="81"/>
  <c r="K46" i="85"/>
  <c r="M34" i="86" s="1"/>
  <c r="AF46" i="81"/>
  <c r="K49" i="85"/>
  <c r="M38" i="86" s="1"/>
  <c r="AF49" i="81"/>
  <c r="K39" i="85"/>
  <c r="M26" i="86" s="1"/>
  <c r="AF39" i="81"/>
  <c r="K43" i="85"/>
  <c r="M31" i="86" s="1"/>
  <c r="AF43" i="81"/>
  <c r="O39" i="85"/>
  <c r="Q26" i="86" s="1"/>
  <c r="AJ39" i="81"/>
  <c r="F54" i="85"/>
  <c r="H43" i="86" s="1"/>
  <c r="AA54" i="81"/>
  <c r="H83" i="86"/>
  <c r="AA31" i="81"/>
  <c r="X31" i="81" s="1"/>
  <c r="F44" i="85"/>
  <c r="H32" i="86" s="1"/>
  <c r="AA44" i="81"/>
  <c r="W7" i="82"/>
  <c r="E38" i="85"/>
  <c r="P38" i="81"/>
  <c r="G83" i="86"/>
  <c r="P31" i="81"/>
  <c r="G71" i="86"/>
  <c r="E32" i="81"/>
  <c r="P23" i="81"/>
  <c r="G36" i="86"/>
  <c r="R36" i="86" s="1"/>
  <c r="P47" i="85"/>
  <c r="E44" i="85"/>
  <c r="G32" i="86"/>
  <c r="P44" i="81"/>
  <c r="G29" i="86"/>
  <c r="R29" i="86" s="1"/>
  <c r="P42" i="85"/>
  <c r="I55" i="76"/>
  <c r="C20" i="82"/>
  <c r="C17" i="82"/>
  <c r="C18" i="82"/>
  <c r="F42" i="84"/>
  <c r="H100" i="86" s="1"/>
  <c r="F39" i="84"/>
  <c r="H97" i="86"/>
  <c r="E49" i="85"/>
  <c r="P49" i="81"/>
  <c r="G38" i="86"/>
  <c r="E43" i="85"/>
  <c r="P43" i="81"/>
  <c r="G28" i="86"/>
  <c r="R28" i="86" s="1"/>
  <c r="P41" i="85"/>
  <c r="E48" i="85"/>
  <c r="P48" i="81"/>
  <c r="E36" i="85"/>
  <c r="P36" i="81"/>
  <c r="E37" i="85"/>
  <c r="G24" i="86" s="1"/>
  <c r="P37" i="81"/>
  <c r="G27" i="86"/>
  <c r="R27" i="86" s="1"/>
  <c r="P40" i="85"/>
  <c r="I39" i="84"/>
  <c r="K97" i="86" s="1"/>
  <c r="J34" i="85"/>
  <c r="J63" i="81"/>
  <c r="G42" i="84"/>
  <c r="K55" i="76"/>
  <c r="K41" i="84"/>
  <c r="M99" i="86"/>
  <c r="I32" i="81"/>
  <c r="K71" i="86"/>
  <c r="K85" i="86" s="1"/>
  <c r="I25" i="82" s="1"/>
  <c r="Q96" i="86"/>
  <c r="O48" i="84"/>
  <c r="O49" i="84" s="1"/>
  <c r="G54" i="85"/>
  <c r="I43" i="86" s="1"/>
  <c r="G32" i="81"/>
  <c r="I71" i="86"/>
  <c r="I85" i="86" s="1"/>
  <c r="G25" i="82" s="1"/>
  <c r="P96" i="86"/>
  <c r="O96" i="86"/>
  <c r="O35" i="85"/>
  <c r="Q22" i="86" s="1"/>
  <c r="F34" i="85"/>
  <c r="H21" i="86" s="1"/>
  <c r="F63" i="81"/>
  <c r="F32" i="81"/>
  <c r="H71" i="86"/>
  <c r="F46" i="85"/>
  <c r="H34" i="86" s="1"/>
  <c r="F43" i="85"/>
  <c r="H31" i="86" s="1"/>
  <c r="E53" i="76"/>
  <c r="E54" i="76" s="1"/>
  <c r="E48" i="76"/>
  <c r="E16" i="83" s="1"/>
  <c r="G94" i="86"/>
  <c r="P37" i="76"/>
  <c r="G104" i="86"/>
  <c r="R104" i="86" s="1"/>
  <c r="P46" i="84"/>
  <c r="F53" i="76"/>
  <c r="F54" i="76" s="1"/>
  <c r="H94" i="86"/>
  <c r="F48" i="76"/>
  <c r="F16" i="83" s="1"/>
  <c r="H137" i="86"/>
  <c r="F34" i="76"/>
  <c r="G46" i="86"/>
  <c r="R46" i="86" s="1"/>
  <c r="P57" i="85"/>
  <c r="E35" i="85"/>
  <c r="P35" i="81"/>
  <c r="G48" i="86"/>
  <c r="R48" i="86" s="1"/>
  <c r="P59" i="85"/>
  <c r="G49" i="86"/>
  <c r="R49" i="86" s="1"/>
  <c r="P60" i="85"/>
  <c r="E50" i="85"/>
  <c r="P50" i="81"/>
  <c r="E39" i="85"/>
  <c r="P39" i="81"/>
  <c r="G33" i="86"/>
  <c r="R33" i="86" s="1"/>
  <c r="P45" i="85"/>
  <c r="I34" i="76"/>
  <c r="K137" i="86"/>
  <c r="J32" i="81"/>
  <c r="L71" i="86"/>
  <c r="M94" i="86"/>
  <c r="K48" i="76"/>
  <c r="K16" i="83" s="1"/>
  <c r="K53" i="76"/>
  <c r="K54" i="76" s="1"/>
  <c r="N63" i="81"/>
  <c r="N34" i="85"/>
  <c r="I54" i="85"/>
  <c r="K43" i="86" s="1"/>
  <c r="I43" i="85"/>
  <c r="K31" i="86" s="1"/>
  <c r="J55" i="76"/>
  <c r="L137" i="86"/>
  <c r="J34" i="76"/>
  <c r="L96" i="86"/>
  <c r="O39" i="84"/>
  <c r="Q97" i="86" s="1"/>
  <c r="Q108" i="86" s="1"/>
  <c r="Q137" i="86"/>
  <c r="O34" i="76"/>
  <c r="P137" i="86"/>
  <c r="N34" i="76"/>
  <c r="N49" i="76" s="1"/>
  <c r="P94" i="86"/>
  <c r="N53" i="76"/>
  <c r="N54" i="76" s="1"/>
  <c r="N48" i="76"/>
  <c r="N16" i="83" s="1"/>
  <c r="M43" i="84"/>
  <c r="O101" i="86" s="1"/>
  <c r="O137" i="86"/>
  <c r="M34" i="76"/>
  <c r="M49" i="76" s="1"/>
  <c r="G106" i="86"/>
  <c r="P47" i="84"/>
  <c r="G103" i="86"/>
  <c r="P45" i="84"/>
  <c r="G137" i="86"/>
  <c r="E34" i="76"/>
  <c r="P33" i="76"/>
  <c r="P34" i="76" s="1"/>
  <c r="H96" i="86"/>
  <c r="F48" i="84"/>
  <c r="F49" i="84" s="1"/>
  <c r="P46" i="81"/>
  <c r="E46" i="85"/>
  <c r="G42" i="86"/>
  <c r="R42" i="86" s="1"/>
  <c r="P53" i="85"/>
  <c r="I48" i="76"/>
  <c r="I16" i="83" s="1"/>
  <c r="K94" i="86"/>
  <c r="I53" i="76"/>
  <c r="I54" i="76" s="1"/>
  <c r="I99" i="86"/>
  <c r="G41" i="84"/>
  <c r="M96" i="86"/>
  <c r="K34" i="76"/>
  <c r="K49" i="76" s="1"/>
  <c r="M137" i="86"/>
  <c r="M51" i="85"/>
  <c r="O40" i="86" s="1"/>
  <c r="O71" i="86"/>
  <c r="M32" i="81"/>
  <c r="O48" i="76"/>
  <c r="O16" i="83" s="1"/>
  <c r="Q94" i="86"/>
  <c r="O53" i="76"/>
  <c r="O54" i="76" s="1"/>
  <c r="G34" i="85"/>
  <c r="G63" i="81"/>
  <c r="K34" i="85"/>
  <c r="M21" i="86" s="1"/>
  <c r="K63" i="81"/>
  <c r="N55" i="76"/>
  <c r="N41" i="84"/>
  <c r="P99" i="86" s="1"/>
  <c r="F48" i="85"/>
  <c r="H37" i="86" s="1"/>
  <c r="G98" i="86"/>
  <c r="P40" i="76"/>
  <c r="E42" i="84"/>
  <c r="P42" i="76"/>
  <c r="Q7" i="82"/>
  <c r="AF7" i="82"/>
  <c r="B7" i="82"/>
  <c r="E39" i="84"/>
  <c r="P39" i="76"/>
  <c r="R18" i="82"/>
  <c r="U20" i="82"/>
  <c r="R17" i="82"/>
  <c r="R20" i="82" s="1"/>
  <c r="G41" i="86"/>
  <c r="R41" i="86" s="1"/>
  <c r="P52" i="85"/>
  <c r="G50" i="86"/>
  <c r="R50" i="86" s="1"/>
  <c r="P61" i="85"/>
  <c r="G45" i="86"/>
  <c r="R45" i="86" s="1"/>
  <c r="P56" i="85"/>
  <c r="E34" i="85"/>
  <c r="E63" i="81"/>
  <c r="P34" i="81"/>
  <c r="E51" i="85"/>
  <c r="P51" i="81"/>
  <c r="G47" i="86"/>
  <c r="R47" i="86" s="1"/>
  <c r="P58" i="85"/>
  <c r="E54" i="85"/>
  <c r="P54" i="81"/>
  <c r="K96" i="86"/>
  <c r="G55" i="76"/>
  <c r="I94" i="86"/>
  <c r="G53" i="76"/>
  <c r="G54" i="76" s="1"/>
  <c r="G48" i="76"/>
  <c r="G16" i="83" s="1"/>
  <c r="I137" i="86"/>
  <c r="G34" i="76"/>
  <c r="M101" i="86"/>
  <c r="K43" i="84"/>
  <c r="K48" i="84" s="1"/>
  <c r="K49" i="84" s="1"/>
  <c r="N32" i="81"/>
  <c r="P71" i="86"/>
  <c r="U8" i="82"/>
  <c r="Y8" i="82" s="1"/>
  <c r="I34" i="85"/>
  <c r="K21" i="86" s="1"/>
  <c r="I63" i="81"/>
  <c r="J39" i="84"/>
  <c r="L97" i="86" s="1"/>
  <c r="J48" i="76"/>
  <c r="J16" i="83" s="1"/>
  <c r="J53" i="76"/>
  <c r="J54" i="76" s="1"/>
  <c r="L94" i="86"/>
  <c r="M34" i="85"/>
  <c r="M63" i="81"/>
  <c r="M49" i="85"/>
  <c r="O38" i="86" s="1"/>
  <c r="O55" i="76"/>
  <c r="Y16" i="82"/>
  <c r="K32" i="81"/>
  <c r="M71" i="86"/>
  <c r="K48" i="85"/>
  <c r="M37" i="86" s="1"/>
  <c r="N39" i="84"/>
  <c r="P97" i="86" s="1"/>
  <c r="AA7" i="82"/>
  <c r="M48" i="76"/>
  <c r="M16" i="83" s="1"/>
  <c r="O94" i="86"/>
  <c r="M53" i="76"/>
  <c r="M54" i="76" s="1"/>
  <c r="O63" i="81"/>
  <c r="O34" i="85"/>
  <c r="O32" i="81"/>
  <c r="Q71" i="86"/>
  <c r="F39" i="85"/>
  <c r="H26" i="86" s="1"/>
  <c r="E43" i="84"/>
  <c r="G101" i="86" s="1"/>
  <c r="P43" i="76"/>
  <c r="G96" i="86"/>
  <c r="P38" i="84"/>
  <c r="E48" i="84"/>
  <c r="E49" i="84" s="1"/>
  <c r="E55" i="76"/>
  <c r="E41" i="84"/>
  <c r="P41" i="84" s="1"/>
  <c r="P41" i="76"/>
  <c r="G99" i="86"/>
  <c r="G102" i="86"/>
  <c r="P44" i="84"/>
  <c r="L26" i="82"/>
  <c r="L24" i="82" s="1"/>
  <c r="N87" i="86"/>
  <c r="L22" i="83"/>
  <c r="L24" i="83" s="1"/>
  <c r="L26" i="83" s="1"/>
  <c r="L30" i="83"/>
  <c r="J87" i="86"/>
  <c r="H26" i="82"/>
  <c r="H24" i="82" s="1"/>
  <c r="D30" i="83"/>
  <c r="D22" i="83"/>
  <c r="D24" i="83" s="1"/>
  <c r="D26" i="83" s="1"/>
  <c r="H30" i="83"/>
  <c r="H22" i="83"/>
  <c r="H24" i="83" s="1"/>
  <c r="H26" i="83" s="1"/>
  <c r="F89" i="86"/>
  <c r="D24" i="82"/>
  <c r="AH24" i="82" s="1"/>
  <c r="L85" i="86" l="1"/>
  <c r="J25" i="82" s="1"/>
  <c r="R24" i="86"/>
  <c r="O63" i="85"/>
  <c r="O64" i="85" s="1"/>
  <c r="M85" i="86"/>
  <c r="K25" i="82" s="1"/>
  <c r="W25" i="82" s="1"/>
  <c r="X25" i="82" s="1"/>
  <c r="P38" i="85"/>
  <c r="Q85" i="86"/>
  <c r="O25" i="82" s="1"/>
  <c r="O85" i="86"/>
  <c r="M25" i="82" s="1"/>
  <c r="AA25" i="82" s="1"/>
  <c r="AB25" i="82" s="1"/>
  <c r="P36" i="85"/>
  <c r="R32" i="86"/>
  <c r="P32" i="81"/>
  <c r="R83" i="86"/>
  <c r="X50" i="81"/>
  <c r="M54" i="86"/>
  <c r="P35" i="85"/>
  <c r="H85" i="86"/>
  <c r="F25" i="82" s="1"/>
  <c r="P37" i="85"/>
  <c r="P44" i="85"/>
  <c r="X44" i="81"/>
  <c r="X54" i="81"/>
  <c r="X38" i="81"/>
  <c r="Q21" i="86"/>
  <c r="P85" i="86"/>
  <c r="N25" i="82" s="1"/>
  <c r="G23" i="86"/>
  <c r="R23" i="86" s="1"/>
  <c r="G25" i="86"/>
  <c r="R25" i="86" s="1"/>
  <c r="G48" i="84"/>
  <c r="G49" i="84" s="1"/>
  <c r="Q54" i="86"/>
  <c r="O26" i="82" s="1"/>
  <c r="O24" i="82" s="1"/>
  <c r="K26" i="82"/>
  <c r="K54" i="86"/>
  <c r="O17" i="83"/>
  <c r="O18" i="83" s="1"/>
  <c r="O64" i="81"/>
  <c r="M17" i="83"/>
  <c r="M18" i="83" s="1"/>
  <c r="M64" i="81"/>
  <c r="I17" i="83"/>
  <c r="I18" i="83" s="1"/>
  <c r="I64" i="81"/>
  <c r="G43" i="86"/>
  <c r="R43" i="86" s="1"/>
  <c r="P54" i="85"/>
  <c r="V18" i="82"/>
  <c r="Y20" i="82"/>
  <c r="V17" i="82"/>
  <c r="G100" i="86"/>
  <c r="P42" i="84"/>
  <c r="K64" i="81"/>
  <c r="K17" i="83"/>
  <c r="K18" i="83" s="1"/>
  <c r="O108" i="86"/>
  <c r="L108" i="86"/>
  <c r="P63" i="81"/>
  <c r="U7" i="82"/>
  <c r="Y7" i="82" s="1"/>
  <c r="AC7" i="82"/>
  <c r="G17" i="83"/>
  <c r="G18" i="83" s="1"/>
  <c r="G64" i="81"/>
  <c r="K108" i="86"/>
  <c r="G34" i="86"/>
  <c r="R34" i="86" s="1"/>
  <c r="P46" i="85"/>
  <c r="R150" i="86"/>
  <c r="P49" i="76"/>
  <c r="O49" i="76"/>
  <c r="J48" i="84"/>
  <c r="J49" i="84" s="1"/>
  <c r="G22" i="86"/>
  <c r="R22" i="86" s="1"/>
  <c r="H108" i="86"/>
  <c r="F64" i="81"/>
  <c r="F17" i="83"/>
  <c r="F18" i="83" s="1"/>
  <c r="M48" i="84"/>
  <c r="M49" i="84" s="1"/>
  <c r="S25" i="82"/>
  <c r="T25" i="82" s="1"/>
  <c r="M108" i="86"/>
  <c r="G85" i="86"/>
  <c r="E25" i="82" s="1"/>
  <c r="R71" i="86"/>
  <c r="V16" i="82"/>
  <c r="G49" i="76"/>
  <c r="E17" i="83"/>
  <c r="E64" i="81"/>
  <c r="G97" i="86"/>
  <c r="P39" i="84"/>
  <c r="I21" i="86"/>
  <c r="I54" i="86" s="1"/>
  <c r="G63" i="85"/>
  <c r="G64" i="85" s="1"/>
  <c r="E49" i="76"/>
  <c r="P108" i="86"/>
  <c r="P21" i="86"/>
  <c r="P54" i="86" s="1"/>
  <c r="N63" i="85"/>
  <c r="N64" i="85" s="1"/>
  <c r="I49" i="76"/>
  <c r="G26" i="86"/>
  <c r="R26" i="86" s="1"/>
  <c r="P39" i="85"/>
  <c r="F49" i="76"/>
  <c r="P48" i="76"/>
  <c r="F63" i="85"/>
  <c r="F64" i="85" s="1"/>
  <c r="J64" i="81"/>
  <c r="J17" i="83"/>
  <c r="J18" i="83" s="1"/>
  <c r="P49" i="85"/>
  <c r="G40" i="86"/>
  <c r="R40" i="86" s="1"/>
  <c r="P51" i="85"/>
  <c r="P34" i="85"/>
  <c r="E63" i="85"/>
  <c r="E64" i="85" s="1"/>
  <c r="R137" i="86"/>
  <c r="J49" i="76"/>
  <c r="N64" i="81"/>
  <c r="N17" i="83"/>
  <c r="N18" i="83" s="1"/>
  <c r="N48" i="84"/>
  <c r="N49" i="84" s="1"/>
  <c r="L21" i="86"/>
  <c r="L54" i="86" s="1"/>
  <c r="J63" i="85"/>
  <c r="J64" i="85" s="1"/>
  <c r="G37" i="86"/>
  <c r="R37" i="86" s="1"/>
  <c r="P48" i="85"/>
  <c r="G31" i="86"/>
  <c r="R31" i="86" s="1"/>
  <c r="P43" i="85"/>
  <c r="P43" i="84"/>
  <c r="O21" i="86"/>
  <c r="O54" i="86" s="1"/>
  <c r="M63" i="85"/>
  <c r="M64" i="85" s="1"/>
  <c r="I63" i="85"/>
  <c r="I64" i="85" s="1"/>
  <c r="I48" i="84"/>
  <c r="I49" i="84" s="1"/>
  <c r="G21" i="86"/>
  <c r="K63" i="85"/>
  <c r="K64" i="85" s="1"/>
  <c r="G39" i="86"/>
  <c r="R39" i="86" s="1"/>
  <c r="P50" i="85"/>
  <c r="P16" i="83"/>
  <c r="H54" i="86"/>
  <c r="I100" i="86"/>
  <c r="I108" i="86" s="1"/>
  <c r="G29" i="82" s="1"/>
  <c r="R38" i="86"/>
  <c r="M87" i="86" l="1"/>
  <c r="K24" i="82"/>
  <c r="Q87" i="86"/>
  <c r="R85" i="86"/>
  <c r="G108" i="86"/>
  <c r="I87" i="86"/>
  <c r="I89" i="86" s="1"/>
  <c r="G26" i="82"/>
  <c r="G54" i="86"/>
  <c r="R21" i="86"/>
  <c r="R54" i="86" s="1"/>
  <c r="O87" i="86"/>
  <c r="M26" i="82"/>
  <c r="P63" i="85"/>
  <c r="P64" i="85" s="1"/>
  <c r="V20" i="82"/>
  <c r="B25" i="82"/>
  <c r="C25" i="82" s="1"/>
  <c r="AF25" i="82"/>
  <c r="Q25" i="82"/>
  <c r="F22" i="83"/>
  <c r="F24" i="83" s="1"/>
  <c r="F26" i="83" s="1"/>
  <c r="F30" i="83"/>
  <c r="P64" i="81"/>
  <c r="K22" i="83"/>
  <c r="K24" i="83" s="1"/>
  <c r="K26" i="83" s="1"/>
  <c r="K30" i="83"/>
  <c r="M30" i="83"/>
  <c r="M22" i="83"/>
  <c r="M24" i="83" s="1"/>
  <c r="M26" i="83" s="1"/>
  <c r="G22" i="83"/>
  <c r="G24" i="83" s="1"/>
  <c r="G26" i="83" s="1"/>
  <c r="G30" i="83"/>
  <c r="AC20" i="82"/>
  <c r="Z18" i="82"/>
  <c r="Z17" i="82"/>
  <c r="Z16" i="82"/>
  <c r="K87" i="86"/>
  <c r="I26" i="82"/>
  <c r="I24" i="82" s="1"/>
  <c r="N22" i="83"/>
  <c r="N24" i="83" s="1"/>
  <c r="N26" i="83" s="1"/>
  <c r="N30" i="83"/>
  <c r="N26" i="82"/>
  <c r="N24" i="82" s="1"/>
  <c r="P87" i="86"/>
  <c r="E18" i="83"/>
  <c r="P17" i="83"/>
  <c r="P18" i="83" s="1"/>
  <c r="P22" i="83" s="1"/>
  <c r="P24" i="83" s="1"/>
  <c r="P26" i="83" s="1"/>
  <c r="I30" i="83"/>
  <c r="I22" i="83"/>
  <c r="I24" i="83" s="1"/>
  <c r="I26" i="83" s="1"/>
  <c r="H87" i="86"/>
  <c r="H89" i="86" s="1"/>
  <c r="F26" i="82"/>
  <c r="F24" i="82" s="1"/>
  <c r="J26" i="82"/>
  <c r="L87" i="86"/>
  <c r="J22" i="83"/>
  <c r="J24" i="83" s="1"/>
  <c r="J26" i="83" s="1"/>
  <c r="J30" i="83"/>
  <c r="P48" i="84"/>
  <c r="P49" i="84" s="1"/>
  <c r="O22" i="83"/>
  <c r="O24" i="83" s="1"/>
  <c r="O26" i="83" s="1"/>
  <c r="O30" i="83"/>
  <c r="J89" i="86"/>
  <c r="Q63" i="81" l="1"/>
  <c r="R87" i="86"/>
  <c r="W26" i="82"/>
  <c r="X26" i="82" s="1"/>
  <c r="J24" i="82"/>
  <c r="W24" i="82" s="1"/>
  <c r="X24" i="82" s="1"/>
  <c r="AD17" i="82"/>
  <c r="AD18" i="82"/>
  <c r="AD16" i="82"/>
  <c r="AD20" i="82" s="1"/>
  <c r="R25" i="82"/>
  <c r="AC25" i="82"/>
  <c r="AD25" i="82" s="1"/>
  <c r="U25" i="82"/>
  <c r="P51" i="76"/>
  <c r="Z20" i="82"/>
  <c r="E26" i="82"/>
  <c r="G87" i="86"/>
  <c r="G89" i="86" s="1"/>
  <c r="E30" i="83"/>
  <c r="P30" i="83" s="1"/>
  <c r="E22" i="83"/>
  <c r="E24" i="83" s="1"/>
  <c r="E26" i="83" s="1"/>
  <c r="AA26" i="82"/>
  <c r="AB26" i="82" s="1"/>
  <c r="M24" i="82"/>
  <c r="AA24" i="82" s="1"/>
  <c r="AB24" i="82" s="1"/>
  <c r="S26" i="82"/>
  <c r="T26" i="82" s="1"/>
  <c r="G24" i="82"/>
  <c r="S24" i="82" s="1"/>
  <c r="T24" i="82" s="1"/>
  <c r="H29" i="82"/>
  <c r="AF26" i="82" l="1"/>
  <c r="Q26" i="82"/>
  <c r="B26" i="82"/>
  <c r="E24" i="82"/>
  <c r="Y25" i="82"/>
  <c r="Z25" i="82" s="1"/>
  <c r="V25" i="82"/>
  <c r="O89" i="86"/>
  <c r="R26" i="82" l="1"/>
  <c r="AC26" i="82"/>
  <c r="AD26" i="82" s="1"/>
  <c r="U26" i="82"/>
  <c r="AF24" i="82"/>
  <c r="B24" i="82"/>
  <c r="C24" i="82" s="1"/>
  <c r="Q24" i="82"/>
  <c r="C26" i="82"/>
  <c r="S54" i="86"/>
  <c r="M29" i="82"/>
  <c r="P89" i="86"/>
  <c r="R106" i="86"/>
  <c r="Y26" i="82" l="1"/>
  <c r="Z26" i="82" s="1"/>
  <c r="V26" i="82"/>
  <c r="R24" i="82"/>
  <c r="AC24" i="82"/>
  <c r="AD24" i="82" s="1"/>
  <c r="U24" i="82"/>
  <c r="N29" i="82"/>
  <c r="R100" i="86"/>
  <c r="R99" i="86"/>
  <c r="R98" i="86"/>
  <c r="Y24" i="82" l="1"/>
  <c r="Z24" i="82" s="1"/>
  <c r="V24" i="82"/>
  <c r="R111" i="86"/>
  <c r="R112" i="86" l="1"/>
  <c r="K89" i="86" l="1"/>
  <c r="R13" i="86" l="1"/>
  <c r="R94" i="86"/>
  <c r="R97" i="86"/>
  <c r="I29" i="82" l="1"/>
  <c r="L89" i="86"/>
  <c r="R12" i="86"/>
  <c r="R89" i="86" s="1"/>
  <c r="M89" i="86"/>
  <c r="S29" i="82" l="1"/>
  <c r="T29" i="82" s="1"/>
  <c r="K29" i="82"/>
  <c r="Q89" i="86"/>
  <c r="N89" i="86"/>
  <c r="L29" i="82" l="1"/>
  <c r="O29" i="82"/>
  <c r="J29" i="82"/>
  <c r="R96" i="86"/>
  <c r="AA29" i="82" l="1"/>
  <c r="AB29" i="82" s="1"/>
  <c r="W29" i="82"/>
  <c r="X29" i="82" s="1"/>
  <c r="F143" i="86"/>
  <c r="D28" i="82" l="1"/>
  <c r="AH28" i="82" s="1"/>
  <c r="F108" i="86"/>
  <c r="G143" i="86"/>
  <c r="E28" i="82" l="1"/>
  <c r="F145" i="86"/>
  <c r="F147" i="86" s="1"/>
  <c r="D29" i="82"/>
  <c r="AH29" i="82" s="1"/>
  <c r="H143" i="86"/>
  <c r="F28" i="82" l="1"/>
  <c r="AF28" i="82"/>
  <c r="D27" i="82"/>
  <c r="G145" i="86"/>
  <c r="E29" i="82"/>
  <c r="R101" i="86"/>
  <c r="R102" i="86"/>
  <c r="R103" i="86"/>
  <c r="I143" i="86"/>
  <c r="Q28" i="82" l="1"/>
  <c r="R28" i="82" s="1"/>
  <c r="E27" i="82"/>
  <c r="E31" i="82" s="1"/>
  <c r="E33" i="82" s="1"/>
  <c r="G147" i="86"/>
  <c r="AF29" i="82"/>
  <c r="H145" i="86"/>
  <c r="F29" i="82"/>
  <c r="I145" i="86"/>
  <c r="G28" i="82"/>
  <c r="D31" i="82"/>
  <c r="R108" i="86"/>
  <c r="P52" i="76" s="1"/>
  <c r="J143" i="86"/>
  <c r="F27" i="82" l="1"/>
  <c r="AH27" i="82" s="1"/>
  <c r="H147" i="86"/>
  <c r="I147" i="86"/>
  <c r="B29" i="82"/>
  <c r="D33" i="82"/>
  <c r="G27" i="82"/>
  <c r="J145" i="86"/>
  <c r="H28" i="82"/>
  <c r="Q29" i="82"/>
  <c r="K143" i="86"/>
  <c r="F31" i="82" l="1"/>
  <c r="AF27" i="82"/>
  <c r="C29" i="82"/>
  <c r="S108" i="86"/>
  <c r="Q27" i="82"/>
  <c r="Q31" i="82" s="1"/>
  <c r="H27" i="82"/>
  <c r="H31" i="82" s="1"/>
  <c r="H33" i="82" s="1"/>
  <c r="J147" i="86"/>
  <c r="G31" i="82"/>
  <c r="K145" i="86"/>
  <c r="I28" i="82"/>
  <c r="R29" i="82"/>
  <c r="U29" i="82"/>
  <c r="AC29" i="82"/>
  <c r="AD29" i="82" s="1"/>
  <c r="L143" i="86"/>
  <c r="F33" i="82" l="1"/>
  <c r="AH31" i="82"/>
  <c r="AF31" i="82"/>
  <c r="R27" i="82"/>
  <c r="I27" i="82"/>
  <c r="I31" i="82" s="1"/>
  <c r="I33" i="82" s="1"/>
  <c r="K147" i="86"/>
  <c r="L145" i="86"/>
  <c r="J28" i="82"/>
  <c r="Q33" i="82"/>
  <c r="R33" i="82" s="1"/>
  <c r="R31" i="82"/>
  <c r="Y29" i="82"/>
  <c r="Z29" i="82" s="1"/>
  <c r="V29" i="82"/>
  <c r="S28" i="82"/>
  <c r="G33" i="82"/>
  <c r="M143" i="86"/>
  <c r="AH33" i="82" l="1"/>
  <c r="AF33" i="82"/>
  <c r="S27" i="82"/>
  <c r="S31" i="82" s="1"/>
  <c r="L147" i="86"/>
  <c r="M145" i="86"/>
  <c r="K28" i="82"/>
  <c r="T28" i="82"/>
  <c r="U28" i="82"/>
  <c r="J27" i="82"/>
  <c r="N143" i="86"/>
  <c r="U27" i="82" l="1"/>
  <c r="U31" i="82" s="1"/>
  <c r="T27" i="82"/>
  <c r="K27" i="82"/>
  <c r="K31" i="82" s="1"/>
  <c r="K33" i="82" s="1"/>
  <c r="M147" i="86"/>
  <c r="J31" i="82"/>
  <c r="S33" i="82"/>
  <c r="T33" i="82" s="1"/>
  <c r="T31" i="82"/>
  <c r="N145" i="86"/>
  <c r="L28" i="82"/>
  <c r="V28" i="82"/>
  <c r="O143" i="86"/>
  <c r="V27" i="82" l="1"/>
  <c r="N147" i="86"/>
  <c r="O145" i="86"/>
  <c r="M28" i="82"/>
  <c r="V31" i="82"/>
  <c r="U33" i="82"/>
  <c r="V33" i="82" s="1"/>
  <c r="L27" i="82"/>
  <c r="W28" i="82"/>
  <c r="J33" i="82"/>
  <c r="P143" i="86"/>
  <c r="O147" i="86" l="1"/>
  <c r="X28" i="82"/>
  <c r="Y28" i="82"/>
  <c r="Z28" i="82" s="1"/>
  <c r="M27" i="82"/>
  <c r="P145" i="86"/>
  <c r="N28" i="82"/>
  <c r="L31" i="82"/>
  <c r="W27" i="82"/>
  <c r="Q143" i="86"/>
  <c r="R113" i="86"/>
  <c r="R143" i="86" s="1"/>
  <c r="R145" i="86" l="1"/>
  <c r="R147" i="86" s="1"/>
  <c r="R152" i="86"/>
  <c r="N27" i="82"/>
  <c r="N31" i="82" s="1"/>
  <c r="N33" i="82" s="1"/>
  <c r="P147" i="86"/>
  <c r="Q145" i="86"/>
  <c r="O28" i="82"/>
  <c r="L33" i="82"/>
  <c r="X27" i="82"/>
  <c r="W31" i="82"/>
  <c r="Y27" i="82"/>
  <c r="M31" i="82"/>
  <c r="M33" i="82" s="1"/>
  <c r="Q147" i="86" l="1"/>
  <c r="Z27" i="82"/>
  <c r="Y31" i="82"/>
  <c r="X31" i="82"/>
  <c r="W33" i="82"/>
  <c r="X33" i="82" s="1"/>
  <c r="O27" i="82"/>
  <c r="B28" i="82"/>
  <c r="C28" i="82" s="1"/>
  <c r="AA28" i="82"/>
  <c r="AB28" i="82" l="1"/>
  <c r="AC28" i="82"/>
  <c r="AD28" i="82" s="1"/>
  <c r="O31" i="82"/>
  <c r="B27" i="82"/>
  <c r="C27" i="82" s="1"/>
  <c r="AA27" i="82"/>
  <c r="Z31" i="82"/>
  <c r="Y33" i="82"/>
  <c r="Z33" i="82" s="1"/>
  <c r="O33" i="82" l="1"/>
  <c r="B31" i="82"/>
  <c r="AB27" i="82"/>
  <c r="AA31" i="82"/>
  <c r="AC27" i="82"/>
  <c r="AB31" i="82" l="1"/>
  <c r="AA33" i="82"/>
  <c r="AB33" i="82" s="1"/>
  <c r="B33" i="82"/>
  <c r="C33" i="82" s="1"/>
  <c r="C31" i="82"/>
  <c r="AD27" i="82"/>
  <c r="AC31" i="82"/>
  <c r="AD31" i="82" l="1"/>
  <c r="AC33" i="82"/>
  <c r="AD33" i="82" s="1"/>
</calcChain>
</file>

<file path=xl/comments1.xml><?xml version="1.0" encoding="utf-8"?>
<comments xmlns="http://schemas.openxmlformats.org/spreadsheetml/2006/main">
  <authors>
    <author>Roberto Vives Vives</author>
  </authors>
  <commentList>
    <comment ref="D98" authorId="0">
      <text>
        <r>
          <rPr>
            <b/>
            <sz val="8"/>
            <color indexed="81"/>
            <rFont val="Tahoma"/>
            <family val="2"/>
          </rPr>
          <t>Estancia B</t>
        </r>
      </text>
    </comment>
    <comment ref="E98" authorId="0">
      <text>
        <r>
          <rPr>
            <b/>
            <sz val="8"/>
            <color indexed="81"/>
            <rFont val="Tahoma"/>
            <family val="2"/>
          </rPr>
          <t>Estancia A</t>
        </r>
      </text>
    </comment>
    <comment ref="E99" authorId="0">
      <text>
        <r>
          <rPr>
            <b/>
            <sz val="8"/>
            <color indexed="81"/>
            <rFont val="Tahoma"/>
            <family val="2"/>
          </rPr>
          <t>Maniobra</t>
        </r>
      </text>
    </comment>
  </commentList>
</comments>
</file>

<file path=xl/comments2.xml><?xml version="1.0" encoding="utf-8"?>
<comments xmlns="http://schemas.openxmlformats.org/spreadsheetml/2006/main">
  <authors>
    <author>Roberto Avila</author>
    <author>Ricardo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$3,085 cuota cindical por 41 operadores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Seguro de 45 tractores y 27 remolques TBK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$2800 por 41 personas entre Febrero y Marzo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Seguro de Vida para 8 personas de taller mas 15 administrativos (Dato según RH)</t>
        </r>
      </text>
    </comment>
    <comment ref="G21" authorId="1">
      <text>
        <r>
          <rPr>
            <b/>
            <sz val="9"/>
            <color indexed="81"/>
            <rFont val="Tahoma"/>
            <family val="2"/>
          </rPr>
          <t xml:space="preserve">Se adicionan $ 1300 por una noche de hospedaje y  alimentos
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 xml:space="preserve">Se adicionan $ 1300 por una noche de hospedaje y  alimentos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0">
      <text>
        <r>
          <rPr>
            <b/>
            <sz val="9"/>
            <color indexed="81"/>
            <rFont val="Tahoma"/>
            <family val="2"/>
          </rPr>
          <t>15 Becas de $1800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 xml:space="preserve">Servicio unidad nueva: cambio de filtro y aceite.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Lineas de vida $546, arneses $800 y fajas lumbares $120 para 31 Operadores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5 comidas diarias por 26 dias mes por $31 
Ene y Feb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5 comidas diarias por 26 dias mes por $31 
Ene y Feb mas Inflación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1">
      <text>
        <r>
          <rPr>
            <b/>
            <sz val="9"/>
            <color indexed="81"/>
            <rFont val="Tahoma"/>
            <family val="2"/>
          </rPr>
          <t xml:space="preserve">SE aplica incremento de precios inflacionario 3.57%
</t>
        </r>
      </text>
    </comment>
    <comment ref="F40" authorId="1">
      <text>
        <r>
          <rPr>
            <b/>
            <sz val="9"/>
            <color indexed="81"/>
            <rFont val="Tahoma"/>
            <family val="2"/>
          </rPr>
          <t>SE aplica incremento de precios inflacionario 3.57%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Roberto Avila</author>
    <author>Ricardo</author>
  </authors>
  <commentList>
    <comment ref="A14" authorId="0">
      <text>
        <r>
          <rPr>
            <b/>
            <sz val="9"/>
            <color indexed="81"/>
            <rFont val="Tahoma"/>
            <family val="2"/>
          </rPr>
          <t xml:space="preserve">Yadira
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mantto. Mayor Dakota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Mantenimiento mayor msas 4 Llantas Dakota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 xml:space="preserve">Yadira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2 Rescates por mes $1000 Combustible mas $600 Alimentos (dos personas) mas Inflación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un carro para mecanico cada dos meses, mas inflación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Yadira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$2800 por 23 personas entre Febrero y Marzo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Miriam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Yadira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20 comidas diarias por 26 dias mes por $31 
Ene y Feb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Taxi de mecánico auxilios carreteros nocturnos 2 veces por mes</t>
        </r>
      </text>
    </comment>
    <comment ref="C26" authorId="1">
      <text>
        <r>
          <rPr>
            <b/>
            <sz val="9"/>
            <color indexed="81"/>
            <rFont val="Tahoma"/>
            <family val="2"/>
          </rPr>
          <t xml:space="preserve">Yadira
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 xml:space="preserve">Subir planas 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Promedio gastado en Dolly por 4 cajas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Promedio gastado en Dolly por 9 planas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Promedio gastado en Dolly mas $8,000 de paileria por 6 volteos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Gasto de un filtro y una cruceta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Gasto de Pintura, plomeria y electricidad mas equipo de filtrado para agua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Gasto de Pintura, plomeria y electricidad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Gasto de Pintura, plomeria y electricidad mas construccion de cisterna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Silla encargado de llantas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>Mantto, generador aux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Calculado aprox. 2 undades $300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Calculado aprox. 2 undades $300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Una unidad por mes</t>
        </r>
      </text>
    </comment>
  </commentList>
</comments>
</file>

<file path=xl/comments4.xml><?xml version="1.0" encoding="utf-8"?>
<comments xmlns="http://schemas.openxmlformats.org/spreadsheetml/2006/main">
  <authors>
    <author>Ricardo</author>
    <author>Roberto Avila</author>
  </authors>
  <commentList>
    <comment ref="K21" authorId="0">
      <text>
        <r>
          <rPr>
            <b/>
            <sz val="9"/>
            <color indexed="81"/>
            <rFont val="Tahoma"/>
            <family val="2"/>
          </rPr>
          <t xml:space="preserve">Se adicionan $ 1300 por una noche de hospedaje y  alimentos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2" authorId="1">
      <text>
        <r>
          <rPr>
            <b/>
            <sz val="9"/>
            <color indexed="81"/>
            <rFont val="Tahoma"/>
            <family val="2"/>
          </rPr>
          <t>15 Becas de $1800</t>
        </r>
      </text>
    </comment>
    <comment ref="L23" authorId="0">
      <text>
        <r>
          <rPr>
            <b/>
            <sz val="9"/>
            <color indexed="81"/>
            <rFont val="Tahoma"/>
            <family val="2"/>
          </rPr>
          <t xml:space="preserve">Servicio unidad nueva: cambio de filtro y aceite.
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 xml:space="preserve">SE aplica incremento de precios inflacionario 3.57%
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SE aplica incremento de precios inflacionario 3.57%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Roberto Avila</author>
    <author>Ricardo</author>
  </authors>
  <commentList>
    <comment ref="A14" authorId="0">
      <text>
        <r>
          <rPr>
            <b/>
            <sz val="9"/>
            <color indexed="81"/>
            <rFont val="Tahoma"/>
            <family val="2"/>
          </rPr>
          <t xml:space="preserve">Yadira
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mantto. Mayor Dakota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Mantenimiento mayor msas 4 Llantas Dakota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 xml:space="preserve">Yadira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2 Rescates por mes $1000 Combustible mas $600 Alimentos (dos personas) mas Inflación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un carro para mecanico cada dos meses, mas inflación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Yadira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$2800 por 23 personas entre Febrero y Marzo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Miriam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Yadira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20 comidas diarias por 26 dias mes por $31 
Ene y Feb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Taxi de mecánico auxilios carreteros nocturnos 2 veces por mes</t>
        </r>
      </text>
    </comment>
    <comment ref="C26" authorId="1">
      <text>
        <r>
          <rPr>
            <b/>
            <sz val="9"/>
            <color indexed="81"/>
            <rFont val="Tahoma"/>
            <family val="2"/>
          </rPr>
          <t xml:space="preserve">Yadira
</t>
        </r>
      </text>
    </comment>
    <comment ref="K30" authorId="0">
      <text>
        <r>
          <rPr>
            <b/>
            <sz val="9"/>
            <color indexed="81"/>
            <rFont val="Tahoma"/>
            <family val="2"/>
          </rPr>
          <t xml:space="preserve">Subir planas </t>
        </r>
      </text>
    </comment>
  </commentList>
</comments>
</file>

<file path=xl/connections.xml><?xml version="1.0" encoding="utf-8"?>
<connections xmlns="http://schemas.openxmlformats.org/spreadsheetml/2006/main">
  <connection id="1" odcFile="C:\Users\Miriam\Documents\Mis archivos de origen de datos\sqldatos bonampakdb v_saldos_contabilidad.odc" keepAlive="1" name="sqldatos bonampakdb v_saldos_contabilidad" type="5" refreshedVersion="4">
    <dbPr connection="Provider=SQLOLEDB.1;Persist Security Info=True;User ID=ucontable;Initial Catalog=bonampakdb;Data Source=sqldatos;Use Procedure for Prepare=1;Auto Translate=True;Packet Size=4096;Workstation ID=DELFIN;Use Encryption for Data=False;Tag with column collation when possible=False" command="&quot;bonampakdb&quot;.&quot;dbo&quot;.&quot;v_saldos_contabilidad&quot;" commandType="3"/>
  </connection>
</connections>
</file>

<file path=xl/sharedStrings.xml><?xml version="1.0" encoding="utf-8"?>
<sst xmlns="http://schemas.openxmlformats.org/spreadsheetml/2006/main" count="3456" uniqueCount="787">
  <si>
    <t>TRANSPORTES BONAMPAK, S.A. DE C.V.</t>
  </si>
  <si>
    <t>suma</t>
  </si>
  <si>
    <t>Concepto</t>
  </si>
  <si>
    <t>Acumulado</t>
  </si>
  <si>
    <t>%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</si>
  <si>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</si>
  <si>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</si>
  <si>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</si>
  <si>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</si>
  <si>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</si>
  <si>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</si>
  <si>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</si>
  <si>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</si>
  <si>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</si>
  <si>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</si>
  <si>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</si>
  <si>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</si>
  <si>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</si>
  <si>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Presupuesto</t>
  </si>
  <si>
    <t>TOTAL</t>
  </si>
  <si>
    <t>Total</t>
  </si>
  <si>
    <t>enero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</si>
  <si>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</si>
  <si>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</si>
  <si>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</si>
  <si>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</si>
  <si>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</si>
  <si>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</si>
  <si>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</si>
  <si>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</si>
  <si>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</si>
  <si>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</si>
  <si>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</si>
  <si>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</si>
  <si>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</si>
  <si>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KMS</t>
  </si>
  <si>
    <t>Total general</t>
  </si>
  <si>
    <t>Tijuana</t>
  </si>
  <si>
    <t>Tlaquepaque</t>
  </si>
  <si>
    <t>La Paz</t>
  </si>
  <si>
    <t>Manzanillo</t>
  </si>
  <si>
    <t>Escobedo</t>
  </si>
  <si>
    <t>Cd. Juarez</t>
  </si>
  <si>
    <t>Culiacan</t>
  </si>
  <si>
    <t>Altamira</t>
  </si>
  <si>
    <t>Chihuahua</t>
  </si>
  <si>
    <t>Transportes Bonampak SA de CV</t>
  </si>
  <si>
    <t>Premisas para cálculo de presupuesto</t>
  </si>
  <si>
    <t>Ingresos por viaje</t>
  </si>
  <si>
    <t>TRANSPORTES BONAMPAK SA DE CV</t>
  </si>
  <si>
    <t xml:space="preserve">Transportes Bonampak SA de CV </t>
  </si>
  <si>
    <t xml:space="preserve">     1.- Información Macroeconómica</t>
  </si>
  <si>
    <t xml:space="preserve">     Bases del Presupuesto</t>
  </si>
  <si>
    <t>Observaciones</t>
  </si>
  <si>
    <t xml:space="preserve"> Inflación</t>
  </si>
  <si>
    <t>Tipo de Cambio  ( Promedio Anual )</t>
  </si>
  <si>
    <t>PIB Nacional</t>
  </si>
  <si>
    <t xml:space="preserve"> Tarifa de Fletes:</t>
  </si>
  <si>
    <t xml:space="preserve"> Gastos de Transportación:</t>
  </si>
  <si>
    <t xml:space="preserve"> Llantas</t>
  </si>
  <si>
    <t xml:space="preserve"> Diesel  y  Lubricantes</t>
  </si>
  <si>
    <t xml:space="preserve"> Casetas</t>
  </si>
  <si>
    <t xml:space="preserve"> Contrato Laboral</t>
  </si>
  <si>
    <t>Incremento a partir de Marzo</t>
  </si>
  <si>
    <t xml:space="preserve"> Placas y Tenencias</t>
  </si>
  <si>
    <t xml:space="preserve"> Seguros de Flotilla Vehicular</t>
  </si>
  <si>
    <t xml:space="preserve"> Gastos de Mantenimiento:</t>
  </si>
  <si>
    <t xml:space="preserve"> Refacciones en General</t>
  </si>
  <si>
    <t>Incremento de salarios en marzo</t>
  </si>
  <si>
    <t xml:space="preserve"> Gatos de Administración:</t>
  </si>
  <si>
    <t xml:space="preserve"> Sueldos y Prestaciones</t>
  </si>
  <si>
    <t>Incremento de Salarios en Marzo</t>
  </si>
  <si>
    <t xml:space="preserve"> Electricidad y Teléfonos</t>
  </si>
  <si>
    <t xml:space="preserve"> Seguro de Automóviles</t>
  </si>
  <si>
    <t xml:space="preserve"> Aviones y Hoteles</t>
  </si>
  <si>
    <t xml:space="preserve"> Otros</t>
  </si>
  <si>
    <t xml:space="preserve"> Gastos Financieros:</t>
  </si>
  <si>
    <t xml:space="preserve"> Tasa Activa</t>
  </si>
  <si>
    <t xml:space="preserve"> Tasa Pasiva</t>
  </si>
  <si>
    <t xml:space="preserve">     3.2- Presupuesto del Informe Administrativo / Personal y Kilometros Recorridos</t>
  </si>
  <si>
    <t xml:space="preserve">     Bases del Presupuesto Operativo</t>
  </si>
  <si>
    <t>2.- Personal a Fin de Mes</t>
  </si>
  <si>
    <t>2.1. Administración</t>
  </si>
  <si>
    <t>2.2. Choferes</t>
  </si>
  <si>
    <t xml:space="preserve">   2.2.1. Tolvas</t>
  </si>
  <si>
    <t xml:space="preserve">   2.2.2. Plataformas</t>
  </si>
  <si>
    <t xml:space="preserve">   2.2.3. Posturero</t>
  </si>
  <si>
    <t xml:space="preserve">   Total</t>
  </si>
  <si>
    <t>2.3. Otros (Taller-Mtto-Operación)</t>
  </si>
  <si>
    <t>3.- Producto de Operaciones</t>
  </si>
  <si>
    <t>3.1. Producto Neto Operaciones</t>
  </si>
  <si>
    <t xml:space="preserve">   3.1.1. Tolva</t>
  </si>
  <si>
    <t xml:space="preserve">   3.1.2. Plataforma</t>
  </si>
  <si>
    <t xml:space="preserve">   3.1.7. Otros Fletes</t>
  </si>
  <si>
    <t>4.- Klms. Recorridos</t>
  </si>
  <si>
    <t xml:space="preserve">   4.1.1. Kms. Recorridos Totales</t>
  </si>
  <si>
    <t xml:space="preserve">   4.1.2. Kms. Recorridos Promedio/Unidad</t>
  </si>
  <si>
    <t xml:space="preserve">   4.1.3. Kms. Recorridos Promedio/ Viaje (Ida)</t>
  </si>
  <si>
    <t>De Acuerdo Contrato</t>
  </si>
  <si>
    <t>Seguridad</t>
  </si>
  <si>
    <t>Orizaba</t>
  </si>
  <si>
    <t>Hermosillo</t>
  </si>
  <si>
    <t>Ramos Arizpe</t>
  </si>
  <si>
    <t xml:space="preserve"> San Luis Potosí</t>
  </si>
  <si>
    <t>Días Hábiles por mes</t>
  </si>
  <si>
    <t>Toneladas por mes</t>
  </si>
  <si>
    <t>Participación de Carga Por Base</t>
  </si>
  <si>
    <t>Total General</t>
  </si>
  <si>
    <t>TONELADAS GRANEL</t>
  </si>
  <si>
    <t>INGRESOS GRANEL</t>
  </si>
  <si>
    <t>% Participación Mes</t>
  </si>
  <si>
    <t>% de participación de Carga por Base</t>
  </si>
  <si>
    <t>Toneladas promedio diarias a transportar</t>
  </si>
  <si>
    <t>Porcentaje de participación por mes año anterior</t>
  </si>
  <si>
    <t>Ingresos por Base</t>
  </si>
  <si>
    <t>Viajes por mes</t>
  </si>
  <si>
    <t>Viajes por día Hábil</t>
  </si>
  <si>
    <t>VIAJES granel</t>
  </si>
  <si>
    <t>KILOMETROS granel</t>
  </si>
  <si>
    <t>Toneladas por viaje granel</t>
  </si>
  <si>
    <t>Kms X Viaje granel</t>
  </si>
  <si>
    <t>Rendimiento Km/lt Diesel  por Base Estimado</t>
  </si>
  <si>
    <t>Incremento Salarial operadores</t>
  </si>
  <si>
    <t>Primas de Seguro anual tractores</t>
  </si>
  <si>
    <t>Tenencias y Placas</t>
  </si>
  <si>
    <t>Incripción a CANACAR</t>
  </si>
  <si>
    <t>Inspecciones fisicomecánicas</t>
  </si>
  <si>
    <t>Incremento Sueldos</t>
  </si>
  <si>
    <t>RESUMEN DEPRECIACIÓN CONTABLE</t>
  </si>
  <si>
    <t>PRESUPUESTOS 2013  (ANTES DE ADQUISICIONES)</t>
  </si>
  <si>
    <t>EQUIPO DE TRANSPORTE</t>
  </si>
  <si>
    <t>EQUIPO DE CÓMPUTO</t>
  </si>
  <si>
    <t>MAQUINARIA Y EQUIPO</t>
  </si>
  <si>
    <t xml:space="preserve"> MOBILIARIO Y EQUIPO DE OFICINA</t>
  </si>
  <si>
    <t>EDIFICIOS ARRENDAMIENTOS FINAN.</t>
  </si>
  <si>
    <t>ORIGEN  DE DATOS</t>
  </si>
  <si>
    <t>Gtos Diversos Operación</t>
  </si>
  <si>
    <t>No deducibles</t>
  </si>
  <si>
    <t>Gasto en Telefonía Op</t>
  </si>
  <si>
    <t>Gastos de Accidente Mes</t>
  </si>
  <si>
    <t>Renta hosting Copiloto (USD)</t>
  </si>
  <si>
    <t>Gastos de Seguridad</t>
  </si>
  <si>
    <t>Maniobras</t>
  </si>
  <si>
    <t>Matto Sopladores Anual</t>
  </si>
  <si>
    <t>Mano de Obra talleres externos</t>
  </si>
  <si>
    <t>Otros Gastos Var de Matto (Diversos Conceptos)</t>
  </si>
  <si>
    <t>DEPRECIACIÓN DE INVERSIONES  NUEVAS</t>
  </si>
  <si>
    <t>TOTAL DE DEPRECIACION</t>
  </si>
  <si>
    <t>DEPRECIACION TOTAL</t>
  </si>
  <si>
    <t>EQUIPO DE TRANSPORTE (TRACTORES)</t>
  </si>
  <si>
    <t>MEJORAS A EDIFICIOS</t>
  </si>
  <si>
    <t>EQUIPO DE TRANSPORTE (REMOLQUES)</t>
  </si>
  <si>
    <t>Culiacán</t>
  </si>
  <si>
    <t>San Luis Potosí</t>
  </si>
  <si>
    <t>Cd. Juárez</t>
  </si>
  <si>
    <t>0000000-00-000000-000000</t>
  </si>
  <si>
    <t>0502010100</t>
  </si>
  <si>
    <t>0502030100</t>
  </si>
  <si>
    <t>0502040100</t>
  </si>
  <si>
    <t>0502020100</t>
  </si>
  <si>
    <t>0502060100</t>
  </si>
  <si>
    <t>Guadalajara</t>
  </si>
  <si>
    <t>Ingresos por tonelada 2013</t>
  </si>
  <si>
    <t>Ingresos por km 2013</t>
  </si>
  <si>
    <t>Total de kms envasado</t>
  </si>
  <si>
    <t>Total de kms otros</t>
  </si>
  <si>
    <t>Kms Totales  UN 2013</t>
  </si>
  <si>
    <t>Gasto Total Diesel 2013 UN</t>
  </si>
  <si>
    <t>Litros de Diesel X UN</t>
  </si>
  <si>
    <t>Culiancán</t>
  </si>
  <si>
    <t>Costo de Diesel X Mes 2013 UN</t>
  </si>
  <si>
    <t>Rendimiento X Kilómetro UN</t>
  </si>
  <si>
    <t>Días habiles del Mes 2013</t>
  </si>
  <si>
    <t>Promedio general</t>
  </si>
  <si>
    <t>VIAJES TOTALES 2013 UN</t>
  </si>
  <si>
    <t>ViAJES saco Y Otros UN</t>
  </si>
  <si>
    <t>VIAJES TOTALES 2013 UN /dia hábil</t>
  </si>
  <si>
    <t>Viajea GRANEL x DÍA Hábil</t>
  </si>
  <si>
    <t>% Participación</t>
  </si>
  <si>
    <t>Gasto anual  en Uniformes y Zapatos Operaciones</t>
  </si>
  <si>
    <t>Equipo disponible Granel</t>
  </si>
  <si>
    <t>Altamira FULL</t>
  </si>
  <si>
    <t>Altamira  SENCILLO</t>
  </si>
  <si>
    <t>Cd. Juarez SENCILLO</t>
  </si>
  <si>
    <t>Cd. Juarez FULL</t>
  </si>
  <si>
    <t>Chihuahua FULL</t>
  </si>
  <si>
    <t>Chihuahua SENCILLO</t>
  </si>
  <si>
    <t>Escobedo FULL</t>
  </si>
  <si>
    <t>Ramos Arizpe FULL</t>
  </si>
  <si>
    <t>Ramos Arizpe SENCILLO</t>
  </si>
  <si>
    <t>San Luis Potosí FULL</t>
  </si>
  <si>
    <t>San Luis Potosí Sencillo</t>
  </si>
  <si>
    <t>Capacidad de Carga Config</t>
  </si>
  <si>
    <t>Rotación promedio de Equipo Día hábil</t>
  </si>
  <si>
    <t>Capacidad de Carga por día hábil</t>
  </si>
  <si>
    <t>Capacidad de Carga por día por centro de carga</t>
  </si>
  <si>
    <t xml:space="preserve">Escobedo </t>
  </si>
  <si>
    <t>Días hábiles</t>
  </si>
  <si>
    <t>Inflación proyectada 2014</t>
  </si>
  <si>
    <t>Inflación mensual 2014</t>
  </si>
  <si>
    <t>Precio promedio del dólar 2014</t>
  </si>
  <si>
    <t>Inflación Anual 2013</t>
  </si>
  <si>
    <t>Incremento a la tarifa julio 2014</t>
  </si>
  <si>
    <t>Toneladas a transportar 2014</t>
  </si>
  <si>
    <t>Toneladas por base granel</t>
  </si>
  <si>
    <t>Tons</t>
  </si>
  <si>
    <t>Kilometros</t>
  </si>
  <si>
    <t>Kilometraje 2014</t>
  </si>
  <si>
    <t>Rotacion:</t>
  </si>
  <si>
    <t>Promedio KM X Viaje / # Unidades Promedio</t>
  </si>
  <si>
    <t xml:space="preserve">Sacar Equipo y Personal Requerido </t>
  </si>
  <si>
    <t xml:space="preserve">Capacidad de Carga Mensual </t>
  </si>
  <si>
    <t>Escobedo Sencillo</t>
  </si>
  <si>
    <t>Orizaba FULL</t>
  </si>
  <si>
    <t>Orizaba  SENCILLO</t>
  </si>
  <si>
    <t>Incremento a la tarifa Febrero 2014</t>
  </si>
  <si>
    <t>Precio de Diesel 2014 (antes de IVA)</t>
  </si>
  <si>
    <t>Costos de operación</t>
  </si>
  <si>
    <t>unidad de Negocio</t>
  </si>
  <si>
    <t>Código de la Unidad de Negocio</t>
  </si>
  <si>
    <t>Cuenta contable</t>
  </si>
  <si>
    <t>Nombre de cuenta</t>
  </si>
  <si>
    <t>Viajes</t>
  </si>
  <si>
    <t>Toneladas</t>
  </si>
  <si>
    <t>COSTO DE TRANSPORTACION</t>
  </si>
  <si>
    <t>Costo Fijo</t>
  </si>
  <si>
    <t>Sueldos y Prestaciones de Transportación</t>
  </si>
  <si>
    <t>Emplacamientos, Tenencias y Permisos SCT</t>
  </si>
  <si>
    <t>0501080700</t>
  </si>
  <si>
    <t>Cuotas Sindicales</t>
  </si>
  <si>
    <t>0501170300</t>
  </si>
  <si>
    <t>Seguro de las Unidades</t>
  </si>
  <si>
    <t>0501070300</t>
  </si>
  <si>
    <t>0501120100</t>
  </si>
  <si>
    <t>0501120200</t>
  </si>
  <si>
    <t>Uniformes y Equipo</t>
  </si>
  <si>
    <t>0501050200</t>
  </si>
  <si>
    <t>Seguro de Vida</t>
  </si>
  <si>
    <t>0501040400</t>
  </si>
  <si>
    <t>Capacitación</t>
  </si>
  <si>
    <t>0501050400</t>
  </si>
  <si>
    <t>Gastos de Viaje</t>
  </si>
  <si>
    <t>0501140100</t>
  </si>
  <si>
    <t>Becas y Fomento Deportivo</t>
  </si>
  <si>
    <t>0501040700</t>
  </si>
  <si>
    <t xml:space="preserve">       Gastos de Vehiculos</t>
  </si>
  <si>
    <t>0501151000</t>
  </si>
  <si>
    <t>0501170500</t>
  </si>
  <si>
    <t xml:space="preserve"> Papeleria</t>
  </si>
  <si>
    <t>0501130200</t>
  </si>
  <si>
    <t>Gastos de Teléfono</t>
  </si>
  <si>
    <t>0501090200</t>
  </si>
  <si>
    <t>Seguro de Gastos Médicos</t>
  </si>
  <si>
    <t>0501040500</t>
  </si>
  <si>
    <t>Arrendamiento Personas Físicas</t>
  </si>
  <si>
    <t>0501110400</t>
  </si>
  <si>
    <t>Vigilancia</t>
  </si>
  <si>
    <t>0501100100</t>
  </si>
  <si>
    <t>Servicios de Rastreo Satelital</t>
  </si>
  <si>
    <t>0501160900</t>
  </si>
  <si>
    <t>Arrendamiento Personas Morales</t>
  </si>
  <si>
    <t>Diversos</t>
  </si>
  <si>
    <t>0501040600</t>
  </si>
  <si>
    <t>0501140300</t>
  </si>
  <si>
    <t>0501160800</t>
  </si>
  <si>
    <t>0501050100</t>
  </si>
  <si>
    <t>0501050300</t>
  </si>
  <si>
    <t>0501080400</t>
  </si>
  <si>
    <t>0501160600</t>
  </si>
  <si>
    <t>0501179900</t>
  </si>
  <si>
    <t>Total Costo Fijo</t>
  </si>
  <si>
    <t>Costo Variable</t>
  </si>
  <si>
    <t xml:space="preserve">   Diesel </t>
  </si>
  <si>
    <t>0501160301</t>
  </si>
  <si>
    <t>0501160302</t>
  </si>
  <si>
    <t xml:space="preserve">   Sueldos y Prestaciones de Transportación</t>
  </si>
  <si>
    <t>0501010100</t>
  </si>
  <si>
    <t xml:space="preserve">   Llantas</t>
  </si>
  <si>
    <t>0501160200</t>
  </si>
  <si>
    <t>0501160100</t>
  </si>
  <si>
    <t xml:space="preserve">   Peajes</t>
  </si>
  <si>
    <t>0501160401</t>
  </si>
  <si>
    <t>0501160402</t>
  </si>
  <si>
    <t xml:space="preserve">   No Deducibles</t>
  </si>
  <si>
    <t>0501171000</t>
  </si>
  <si>
    <t xml:space="preserve">   Servicios , Enlonadas, Siniestros, Verif.</t>
  </si>
  <si>
    <t>0501080900</t>
  </si>
  <si>
    <t>0501080800</t>
  </si>
  <si>
    <t>0501161000</t>
  </si>
  <si>
    <t xml:space="preserve">   Facilidades / Administrativas</t>
  </si>
  <si>
    <t>0501160500</t>
  </si>
  <si>
    <t>0501170600</t>
  </si>
  <si>
    <t>Total Costo Variable</t>
  </si>
  <si>
    <t>Total Costo de Transportación</t>
  </si>
  <si>
    <t>Información de costos de Operación 2013 por unidad de Negocio</t>
  </si>
  <si>
    <t>Costo de Mantenimiento</t>
  </si>
  <si>
    <t xml:space="preserve">   Sueldos y Prestaciones de Mantenimiento.</t>
  </si>
  <si>
    <t>0501060400</t>
  </si>
  <si>
    <t xml:space="preserve">   Gasto de Vehículos de Mantenimiento</t>
  </si>
  <si>
    <t xml:space="preserve">   Erogaciones Mens. x Serv. y Papelería</t>
  </si>
  <si>
    <t xml:space="preserve">   Energía Eléctrica y Agua</t>
  </si>
  <si>
    <t xml:space="preserve">   Combustible y Mantto.  Arco de Lavado</t>
  </si>
  <si>
    <t xml:space="preserve">   Capacitación</t>
  </si>
  <si>
    <t xml:space="preserve">   Gastos de Viaje y Reunión y Atenciones Prov</t>
  </si>
  <si>
    <t xml:space="preserve">   Herramientas Menores</t>
  </si>
  <si>
    <t xml:space="preserve">   Uniformes y Eq. de Seguridad</t>
  </si>
  <si>
    <t xml:space="preserve">   Servicio de Teléfono</t>
  </si>
  <si>
    <t xml:space="preserve">   Diversos</t>
  </si>
  <si>
    <t>0501060100</t>
  </si>
  <si>
    <t xml:space="preserve">   Vigilancia</t>
  </si>
  <si>
    <t xml:space="preserve">   Gastos no Deducibles</t>
  </si>
  <si>
    <t xml:space="preserve">   Mano de Obra Talleres externos</t>
  </si>
  <si>
    <t>0501154000</t>
  </si>
  <si>
    <t xml:space="preserve">   Mantenimiento Preventivo Tractores</t>
  </si>
  <si>
    <t>0501150100</t>
  </si>
  <si>
    <t>0501150300</t>
  </si>
  <si>
    <t xml:space="preserve">   Mantenimiento Preventivo Remolques</t>
  </si>
  <si>
    <t>0501150400</t>
  </si>
  <si>
    <t>0501153800</t>
  </si>
  <si>
    <t>0501150800</t>
  </si>
  <si>
    <t xml:space="preserve">   Mantenimiento Correctivo Tractores</t>
  </si>
  <si>
    <t>0501100300</t>
  </si>
  <si>
    <t>0501151100</t>
  </si>
  <si>
    <t>0501152700</t>
  </si>
  <si>
    <t xml:space="preserve">   Mantenimiento Correctivo Remolques</t>
  </si>
  <si>
    <t>0501151200</t>
  </si>
  <si>
    <t>0501151300</t>
  </si>
  <si>
    <t>0501151500</t>
  </si>
  <si>
    <t>0501151600</t>
  </si>
  <si>
    <t xml:space="preserve">   Mantenimiento de Instalaciones</t>
  </si>
  <si>
    <t xml:space="preserve">   Mtto. Equipo de Oficina y Radio Comunicación</t>
  </si>
  <si>
    <t xml:space="preserve">   Varios y Materiales de Consumo</t>
  </si>
  <si>
    <t xml:space="preserve">   Sand Blasteo</t>
  </si>
  <si>
    <t>Total Costo de Mantenimiento</t>
  </si>
  <si>
    <t>TOTAL COSTO DE OPERACION</t>
  </si>
  <si>
    <t>SUELDOS Y SALARIOS</t>
  </si>
  <si>
    <t>0501010200</t>
  </si>
  <si>
    <t>ESTANCIAS (SUELDOS)</t>
  </si>
  <si>
    <t>0501010301</t>
  </si>
  <si>
    <t>GRATIFICACION ANUAL GRAVADA</t>
  </si>
  <si>
    <t>0501010302</t>
  </si>
  <si>
    <t>0501010303</t>
  </si>
  <si>
    <t>PROVISION GRATIFICACION ANUAL</t>
  </si>
  <si>
    <t>0501010400</t>
  </si>
  <si>
    <t>VACACIONES</t>
  </si>
  <si>
    <t>0501010501</t>
  </si>
  <si>
    <t>PRIMA VACACIONAL GRAVADA</t>
  </si>
  <si>
    <t>0501010502</t>
  </si>
  <si>
    <t>PRIMA VACACIONAL EXENTA</t>
  </si>
  <si>
    <t>0501010503</t>
  </si>
  <si>
    <t>PROVISION PRIMA VACACIONAL</t>
  </si>
  <si>
    <t>0501010600</t>
  </si>
  <si>
    <t>GRATIF. BONOS E INCENTIVOS</t>
  </si>
  <si>
    <t>0501010701</t>
  </si>
  <si>
    <t>TIEMPO EXTRA GRAVADO</t>
  </si>
  <si>
    <t>0501010702</t>
  </si>
  <si>
    <t>TIEMPO EXTRA EXENTO</t>
  </si>
  <si>
    <t>0501010800</t>
  </si>
  <si>
    <t>BONO DE AUTOS</t>
  </si>
  <si>
    <t>0501010901</t>
  </si>
  <si>
    <t>DIAS FESTIVOS GRAVADO</t>
  </si>
  <si>
    <t>0501010902</t>
  </si>
  <si>
    <t>DIAS FESTIVOS EXENTO</t>
  </si>
  <si>
    <t>0501011001</t>
  </si>
  <si>
    <t>PRIMA DOMINICAL GRAVADA</t>
  </si>
  <si>
    <t>0501011002</t>
  </si>
  <si>
    <t>PRIMA DOMINICAL EXENTA</t>
  </si>
  <si>
    <t>0501020100</t>
  </si>
  <si>
    <t>CUOTAS PATRONALES AL IMSS</t>
  </si>
  <si>
    <t>0501020200</t>
  </si>
  <si>
    <t>CESANTIA Y VEJEZ</t>
  </si>
  <si>
    <t>0501020300</t>
  </si>
  <si>
    <t>RETIRO</t>
  </si>
  <si>
    <t>0501020400</t>
  </si>
  <si>
    <t>5% INFONAVIT</t>
  </si>
  <si>
    <t>0501020500</t>
  </si>
  <si>
    <t>IMPUESTO ESTATAL DE NOMINAS</t>
  </si>
  <si>
    <t>0501030100</t>
  </si>
  <si>
    <t>PRIMA DE ANTIGUEDAD</t>
  </si>
  <si>
    <t>0501030101</t>
  </si>
  <si>
    <t>PRIMA DE ANTIGUEDAD GRAVADO</t>
  </si>
  <si>
    <t>0501030102</t>
  </si>
  <si>
    <t>PRIMA DE ANTIGUEDAD EXENTA</t>
  </si>
  <si>
    <t>0501030200</t>
  </si>
  <si>
    <t>INDEMNIZACION LEGAL</t>
  </si>
  <si>
    <t>0501030201</t>
  </si>
  <si>
    <t>INDEMNIZACION LEGAL GRAVADO</t>
  </si>
  <si>
    <t>0501030202</t>
  </si>
  <si>
    <t>INDEMNIZACION LEGAL EXENTA</t>
  </si>
  <si>
    <t>0501040100</t>
  </si>
  <si>
    <t>FONDO DE AHORRO</t>
  </si>
  <si>
    <t>0501040201</t>
  </si>
  <si>
    <t>VALES DE DESPENSA</t>
  </si>
  <si>
    <t>0501040202</t>
  </si>
  <si>
    <t>VALES DE DESP.REB.PROMEDIO</t>
  </si>
  <si>
    <t>0501040300</t>
  </si>
  <si>
    <t>PLAN DE PREVISION SOCIAL</t>
  </si>
  <si>
    <t>SEGURO DE VIDA</t>
  </si>
  <si>
    <t>SEGURO  GASTOS MEDICOS MAYORES</t>
  </si>
  <si>
    <t>GASTOS DE COMEDOR</t>
  </si>
  <si>
    <t>BECAS Y FOMENTO DEPORTIVO</t>
  </si>
  <si>
    <t>EXAMENES MEDICOS</t>
  </si>
  <si>
    <t>ZAPATOS, UNIFORMES Y EQUIPO</t>
  </si>
  <si>
    <t>GASTOS DE CONTRATACION</t>
  </si>
  <si>
    <t>GASTOS DE CAPACITACION</t>
  </si>
  <si>
    <t>MANTENIMIENTO DE EDIFICIOS</t>
  </si>
  <si>
    <t>0501060200</t>
  </si>
  <si>
    <t>MTTO. DE EQUIPO DE OFICINA</t>
  </si>
  <si>
    <t>0501060300</t>
  </si>
  <si>
    <t>MTTO. EQUIPO DE COMPUTO</t>
  </si>
  <si>
    <t>MTTO. DE VEHICULOS UTILITARIOS</t>
  </si>
  <si>
    <t>0501060500</t>
  </si>
  <si>
    <t>MTTO. ARCO DE LAVADO</t>
  </si>
  <si>
    <t>0501060600</t>
  </si>
  <si>
    <t>MTTO. EQUIPO RADIOCOMUNICACION</t>
  </si>
  <si>
    <t>0501060700</t>
  </si>
  <si>
    <t>MATERIALES Y CONS. DE LIMPIEZA</t>
  </si>
  <si>
    <t>0501060800</t>
  </si>
  <si>
    <t>MTTO. DE MAQUINARIA Y EQUIPO</t>
  </si>
  <si>
    <t>0501060900</t>
  </si>
  <si>
    <t>INSUMOS DE MANTENIMIENTO</t>
  </si>
  <si>
    <t>0501070100</t>
  </si>
  <si>
    <t>SEGURO MULTIPLE EMPRESARIAL</t>
  </si>
  <si>
    <t>0501070200</t>
  </si>
  <si>
    <t>SEGURO VEHICULOS UTILITARIOS</t>
  </si>
  <si>
    <t>SEGURO UNIDADES (FLOTILLA)</t>
  </si>
  <si>
    <t>0501070400</t>
  </si>
  <si>
    <t>SEGURO RESPONSABILIDAD CIVIL</t>
  </si>
  <si>
    <t>0501070500</t>
  </si>
  <si>
    <t>FIANZAS</t>
  </si>
  <si>
    <t>0501080100</t>
  </si>
  <si>
    <t>LUZ</t>
  </si>
  <si>
    <t>0501080200</t>
  </si>
  <si>
    <t>AGUA</t>
  </si>
  <si>
    <t>0501080300</t>
  </si>
  <si>
    <t>IMPUESTOS PREDIAL</t>
  </si>
  <si>
    <t>TENENCIAS DE CAMIONETAS</t>
  </si>
  <si>
    <t>0501080500</t>
  </si>
  <si>
    <t>TENENCIAS DE TRACTORES</t>
  </si>
  <si>
    <t>0501080600</t>
  </si>
  <si>
    <t>TENENCIAS DE REMOLQUES</t>
  </si>
  <si>
    <t>PERMISOS Y PLACAS</t>
  </si>
  <si>
    <t>VERIFICACIONES</t>
  </si>
  <si>
    <t>INSPECCIONES FISICO MECANICAS</t>
  </si>
  <si>
    <t>0501090100</t>
  </si>
  <si>
    <t>TELEFONIA FIJA</t>
  </si>
  <si>
    <t>TELEFONIA CELULAR</t>
  </si>
  <si>
    <t>0501090300</t>
  </si>
  <si>
    <t>SERVICIO DE INTERNET</t>
  </si>
  <si>
    <t>0501090400</t>
  </si>
  <si>
    <t>RED PRIVADA DE DATOS</t>
  </si>
  <si>
    <t>VIGILANCIA</t>
  </si>
  <si>
    <t>0501100200</t>
  </si>
  <si>
    <t>SERVICIO DE LIMPIEZA</t>
  </si>
  <si>
    <t>SERVICIO  OUTSORCING</t>
  </si>
  <si>
    <t>0501100400</t>
  </si>
  <si>
    <t>ASESORIA Y CONSULTORIA</t>
  </si>
  <si>
    <t>0501110100</t>
  </si>
  <si>
    <t>HONORARIOS PERSONAS FISICAS</t>
  </si>
  <si>
    <t>0501110200</t>
  </si>
  <si>
    <t>HONORARIOS PERSONAS MORALES</t>
  </si>
  <si>
    <t>0501110300</t>
  </si>
  <si>
    <t>RENTAS PERSONAS MORALES</t>
  </si>
  <si>
    <t>RENTAS PERSONAS FISICAS</t>
  </si>
  <si>
    <t>DEDUCIBLES SINIESTRO REMOLQUES</t>
  </si>
  <si>
    <t>DEDUCIBLES SINIESTRO TRACTORES</t>
  </si>
  <si>
    <t>0501120300</t>
  </si>
  <si>
    <t>DED. SINIESTRO VEHICULOS UTIL.</t>
  </si>
  <si>
    <t>0501130100</t>
  </si>
  <si>
    <t>PAQUETERÍA Y ENVIOS</t>
  </si>
  <si>
    <t>PAPELERÍA Y ARTICULOS DE ESC.</t>
  </si>
  <si>
    <t>0501130300</t>
  </si>
  <si>
    <t>CONSUMIBLES DE COMPUTO</t>
  </si>
  <si>
    <t>0501130400</t>
  </si>
  <si>
    <t>GASTOS DE MUEBLES Y ENSERES</t>
  </si>
  <si>
    <t>GTOS DE VIAJE(HOSP.TRANS.VIAT)</t>
  </si>
  <si>
    <t>0501140200</t>
  </si>
  <si>
    <t>GASTOS DE TRABAJO Y NEGOCIO</t>
  </si>
  <si>
    <t>COCHES, PASAJES Y TAXIS</t>
  </si>
  <si>
    <t>LAVADO LOCAL</t>
  </si>
  <si>
    <t>0501150200</t>
  </si>
  <si>
    <t>LAVADO FORANEO</t>
  </si>
  <si>
    <t>MTTO PREVENTIVO TRACTOR</t>
  </si>
  <si>
    <t>MTTO PREVENTIVO TOLVA</t>
  </si>
  <si>
    <t>0501150500</t>
  </si>
  <si>
    <t>MTTO PREVENTIVO CAJA VOLTEO</t>
  </si>
  <si>
    <t>0501150600</t>
  </si>
  <si>
    <t>MTTO PREVENTIVO CAJA SECA</t>
  </si>
  <si>
    <t>0501150700</t>
  </si>
  <si>
    <t>MTTO PREVENTIVO PLANA</t>
  </si>
  <si>
    <t>MTTO PREVENTIVO DOLLY</t>
  </si>
  <si>
    <t>0501150900</t>
  </si>
  <si>
    <t>MTTO PREV. COMPRESOR/SOPLADOR</t>
  </si>
  <si>
    <t>MTTO PREV.VEHÍCULO UTILITARIO</t>
  </si>
  <si>
    <t>MTTO CORRECTIVO TRACTOR</t>
  </si>
  <si>
    <t>MTTO CORRECTIVO TOLVA</t>
  </si>
  <si>
    <t>MTTO CORRECTIVO CAJA VOLTEO</t>
  </si>
  <si>
    <t>0501151400</t>
  </si>
  <si>
    <t>MTTO CORRECTIVO CAJA SECA</t>
  </si>
  <si>
    <t>MTTO CORRECTIVO PLANA</t>
  </si>
  <si>
    <t>MTTO CORRECTIVO DOLLY</t>
  </si>
  <si>
    <t>0501151700</t>
  </si>
  <si>
    <t>MTTO CORR. COMPRESOR/SOPLADOR</t>
  </si>
  <si>
    <t>0501151800</t>
  </si>
  <si>
    <t>MTTO CORR.VEHÍCULO UTILITARIO</t>
  </si>
  <si>
    <t>0501151900</t>
  </si>
  <si>
    <t>CAMPAÑA TRACTOR</t>
  </si>
  <si>
    <t>0501152000</t>
  </si>
  <si>
    <t>CAMPAÑA TOLVA</t>
  </si>
  <si>
    <t>0501152100</t>
  </si>
  <si>
    <t>CAMPAÑA CAJA VOLTEO</t>
  </si>
  <si>
    <t>0501152200</t>
  </si>
  <si>
    <t>CAMPAÑA CAJA SECA</t>
  </si>
  <si>
    <t>0501152300</t>
  </si>
  <si>
    <t>CAMPAÑA PLANA</t>
  </si>
  <si>
    <t>0501152400</t>
  </si>
  <si>
    <t>CAMPAÑA DOLLY</t>
  </si>
  <si>
    <t>0501152500</t>
  </si>
  <si>
    <t>CAMPAÑA COMPRESOR/SOPLADOR</t>
  </si>
  <si>
    <t>0501152600</t>
  </si>
  <si>
    <t>CAMPAÑA VEHÍCULO UTILITARIO</t>
  </si>
  <si>
    <t>AUXILIO CARRETERA TRACTOR</t>
  </si>
  <si>
    <t>0501152800</t>
  </si>
  <si>
    <t>AUXILIO CARRETERA TOLVA</t>
  </si>
  <si>
    <t>0501152900</t>
  </si>
  <si>
    <t>AUXILIO CARRETERA CAJA VOLTEO</t>
  </si>
  <si>
    <t>0501153000</t>
  </si>
  <si>
    <t>AUXILIO CARRETERA CAJA SECA</t>
  </si>
  <si>
    <t>0501153100</t>
  </si>
  <si>
    <t>AUXILIO CARRETERA PLANA</t>
  </si>
  <si>
    <t>0501153200</t>
  </si>
  <si>
    <t>AUXILIO CARRETERA DOLLY</t>
  </si>
  <si>
    <t>0501153300</t>
  </si>
  <si>
    <t>AUXILIO CARR COMPR./SOPLADOR</t>
  </si>
  <si>
    <t>0501153400</t>
  </si>
  <si>
    <t>FLETES PAGADOS POR COMPRAS</t>
  </si>
  <si>
    <t>0501153500</t>
  </si>
  <si>
    <t>MANIOBRAS DE ARRASTRE</t>
  </si>
  <si>
    <t>0501153600</t>
  </si>
  <si>
    <t>HERRAMIENTAS MENORES</t>
  </si>
  <si>
    <t>0501153700</t>
  </si>
  <si>
    <t>SANDBLASTEO</t>
  </si>
  <si>
    <t>MTTO. CUIDADO DE LA IMAGEN</t>
  </si>
  <si>
    <t>0501153900</t>
  </si>
  <si>
    <t>LONAS Y ACCESORIOS</t>
  </si>
  <si>
    <t>REPARACION TALLERES EXTERNOS</t>
  </si>
  <si>
    <t>LLANTAS RENOVADAS</t>
  </si>
  <si>
    <t>LLANTAS Y CAMARAS NUEVAS</t>
  </si>
  <si>
    <t>DIESEL Y COMBUSTIBLES CON IVA</t>
  </si>
  <si>
    <t>DIESEL Y COMBUSTIBLES SIN IVA</t>
  </si>
  <si>
    <t>CASETAS SUJETAS ESTIMULO</t>
  </si>
  <si>
    <t>CASETAS NO SUJETAS ESTIMULO</t>
  </si>
  <si>
    <t>TALACHAS</t>
  </si>
  <si>
    <t>ACEITES,LUBRICANTES,GRASAS</t>
  </si>
  <si>
    <t>0501160700</t>
  </si>
  <si>
    <t>I.E.P.S</t>
  </si>
  <si>
    <t>FLETES DIESEL</t>
  </si>
  <si>
    <t>SERVICIO LOCALIZADOR SATELITAL</t>
  </si>
  <si>
    <t>ENLONADAS</t>
  </si>
  <si>
    <t>0501170100</t>
  </si>
  <si>
    <t>CUOTAS , SUSCRIPCIONES, APORT.</t>
  </si>
  <si>
    <t>0501170200</t>
  </si>
  <si>
    <t>EVENTOS Y RECONOCIMIENTOS</t>
  </si>
  <si>
    <t>CUOTAS SINDICALES</t>
  </si>
  <si>
    <t>0501170400</t>
  </si>
  <si>
    <t>GASTOS LEGALES</t>
  </si>
  <si>
    <t>PROGRAMAS Y GASTOS  SEGURIDAD</t>
  </si>
  <si>
    <t>FACILIDADES ADMINISTRATIVAS</t>
  </si>
  <si>
    <t>0501170700</t>
  </si>
  <si>
    <t>DEDUCCION CIEGA</t>
  </si>
  <si>
    <t>0501170800</t>
  </si>
  <si>
    <t>16% DE DEDUCCION CIEGA</t>
  </si>
  <si>
    <t>0501170900</t>
  </si>
  <si>
    <t>RECARGOS</t>
  </si>
  <si>
    <t>GASTOS NO DEDUCIBLES</t>
  </si>
  <si>
    <t>0501171100</t>
  </si>
  <si>
    <t>PUBLICIDAD</t>
  </si>
  <si>
    <t>OTROS GASTOS</t>
  </si>
  <si>
    <t>DEP. TRACTOCAMIONES</t>
  </si>
  <si>
    <t>0502010200</t>
  </si>
  <si>
    <t>DEP. PLATAFORMAS</t>
  </si>
  <si>
    <t>0502010300</t>
  </si>
  <si>
    <t>DEP. TOLVAS</t>
  </si>
  <si>
    <t>0502010400</t>
  </si>
  <si>
    <t>DEP. DOLLYS</t>
  </si>
  <si>
    <t>0502010500</t>
  </si>
  <si>
    <t>DEP. CAJAS DE VOLTEO</t>
  </si>
  <si>
    <t>0502010600</t>
  </si>
  <si>
    <t>DEP. CAJAS SECAS</t>
  </si>
  <si>
    <t>0502010700</t>
  </si>
  <si>
    <t>DEP. TANQUE</t>
  </si>
  <si>
    <t>0502010800</t>
  </si>
  <si>
    <t>DEP. VEHICULO UTILITARIO</t>
  </si>
  <si>
    <t>0502010900</t>
  </si>
  <si>
    <t>DEP. COMPRESORES /SOPLADORES</t>
  </si>
  <si>
    <t>DEP. EQUIPO DE OFICINA</t>
  </si>
  <si>
    <t>0502020200</t>
  </si>
  <si>
    <t>DEP. EQUIPO DE RADIOCOM.</t>
  </si>
  <si>
    <t>DEP.  COMPUTADORAS</t>
  </si>
  <si>
    <t>0502030200</t>
  </si>
  <si>
    <t>DEP. EQUIPO GEOLOCALIZADORES</t>
  </si>
  <si>
    <t>0502030300</t>
  </si>
  <si>
    <t>DEP.  SOTFWARE</t>
  </si>
  <si>
    <t>DEP.  MAQUINARIAS Y EQUIPOS</t>
  </si>
  <si>
    <t>0502040200</t>
  </si>
  <si>
    <t>DEP.  HERRAMIENTAS</t>
  </si>
  <si>
    <t>0502040300</t>
  </si>
  <si>
    <t>DEP.  ARCO DE LAVADO</t>
  </si>
  <si>
    <t>0502040400</t>
  </si>
  <si>
    <t>DEP.  ESTACION DIESEL</t>
  </si>
  <si>
    <t>0502040500</t>
  </si>
  <si>
    <t>DEP.  EQUIPO SATELITAL GPRS</t>
  </si>
  <si>
    <t>0502050100</t>
  </si>
  <si>
    <t>AMORT. DE EDIFICIOS</t>
  </si>
  <si>
    <t>AMORT. EDIFICIOS ARREND. FIN.</t>
  </si>
  <si>
    <t>0502070100</t>
  </si>
  <si>
    <t>AMORT REMOD. INSTALACIONES</t>
  </si>
  <si>
    <t>0502080100</t>
  </si>
  <si>
    <t>DEP. EQUIPO ECOLOGICO</t>
  </si>
  <si>
    <t>0503010000</t>
  </si>
  <si>
    <t>SERVICIO DE COLABORACIÓN TEISA</t>
  </si>
  <si>
    <t>0503020000</t>
  </si>
  <si>
    <t>SERVICIO DE COLABORACIÓN ATM</t>
  </si>
  <si>
    <t>0503030000</t>
  </si>
  <si>
    <t>SERVICIO DE COLABORACION TBK</t>
  </si>
  <si>
    <t>0503040000</t>
  </si>
  <si>
    <t>DEPURACIÒN DE SALDOS</t>
  </si>
  <si>
    <t>0503050000</t>
  </si>
  <si>
    <t>PÉRDIDA X BAJA ACTIVOS OBSOLES</t>
  </si>
  <si>
    <t>0503060000</t>
  </si>
  <si>
    <t>SALDO PENDIENTE POR DEDUCIR</t>
  </si>
  <si>
    <t>0503070000</t>
  </si>
  <si>
    <t>DIFERENCIA DE INVENTARIOS</t>
  </si>
  <si>
    <t>0503990000</t>
  </si>
  <si>
    <t>0504010000</t>
  </si>
  <si>
    <t>COMISIONES BANCARIAS</t>
  </si>
  <si>
    <t>0504020000</t>
  </si>
  <si>
    <t>CUOTA USO DE SITEMAS BANCARIOS</t>
  </si>
  <si>
    <t>0504030000</t>
  </si>
  <si>
    <t>INTERESES</t>
  </si>
  <si>
    <t>0504030100</t>
  </si>
  <si>
    <t>INTERESES ARRENDAMIENTO FINAN</t>
  </si>
  <si>
    <t>0504030200</t>
  </si>
  <si>
    <t>INTERESES PRESTAMO</t>
  </si>
  <si>
    <t>0504040000</t>
  </si>
  <si>
    <t>PÉRDIDA CAMBIARIA</t>
  </si>
  <si>
    <t>0504040100</t>
  </si>
  <si>
    <t>PERDIDA CAMBIARIA FINANCIERA</t>
  </si>
  <si>
    <t>0504040200</t>
  </si>
  <si>
    <t>PERDIDA CAMB. ADQ.ACTIVO FIJO</t>
  </si>
  <si>
    <t>0504049900</t>
  </si>
  <si>
    <t>PERDIDA CAMBIARIA OTROS</t>
  </si>
  <si>
    <t>0505010000</t>
  </si>
  <si>
    <t>PROVISION IETU</t>
  </si>
  <si>
    <t>0505020000</t>
  </si>
  <si>
    <t>PROVISION ISR</t>
  </si>
  <si>
    <t>0506010000</t>
  </si>
  <si>
    <t>PROVISION PTU</t>
  </si>
  <si>
    <t>0507010000</t>
  </si>
  <si>
    <t>PROVISION IETU DIFERIDO</t>
  </si>
  <si>
    <t>0507020000</t>
  </si>
  <si>
    <t>PROVISION ISR DIFERIDO</t>
  </si>
  <si>
    <t>0507030000</t>
  </si>
  <si>
    <t>PROVISION PTU DIFERIDO</t>
  </si>
  <si>
    <t>3.4 ESTADO DE RESULTADOS     PRESUPUESTO 2012</t>
  </si>
  <si>
    <t>ESTADO DE RESULTADOS     PRESUPUESTO 2012</t>
  </si>
  <si>
    <t xml:space="preserve">             CONSOLIDADO</t>
  </si>
  <si>
    <t>Mes de proceso de acumulado</t>
  </si>
  <si>
    <t>1er.</t>
  </si>
  <si>
    <t>Acum.</t>
  </si>
  <si>
    <t>1o.trimestre</t>
  </si>
  <si>
    <t>2o.trimestre</t>
  </si>
  <si>
    <t>Semestre</t>
  </si>
  <si>
    <t>3o.trimestre</t>
  </si>
  <si>
    <t>1, 2 y 3 trim</t>
  </si>
  <si>
    <t>4o.trimestre</t>
  </si>
  <si>
    <t>anual</t>
  </si>
  <si>
    <t xml:space="preserve">Kilometros Recorridos </t>
  </si>
  <si>
    <t xml:space="preserve">Volumen Transportados Tons. </t>
  </si>
  <si>
    <t>1. PRODUCTO DE OPERACION</t>
  </si>
  <si>
    <t xml:space="preserve">   Ingreso por Fletes Cemento Granel</t>
  </si>
  <si>
    <t xml:space="preserve">   Ingreso por Fletes Cemento Saco</t>
  </si>
  <si>
    <t xml:space="preserve">   Ingreso por Fletes  otros</t>
  </si>
  <si>
    <t xml:space="preserve">   Ingreso por Fletes otros</t>
  </si>
  <si>
    <t>TOTAL PRODUCTO NETO</t>
  </si>
  <si>
    <t>2. COSTO DE OPERACION</t>
  </si>
  <si>
    <t xml:space="preserve">   Mantenimiento</t>
  </si>
  <si>
    <t xml:space="preserve">    Costos  Fijos</t>
  </si>
  <si>
    <t xml:space="preserve">    Costos  Variables</t>
  </si>
  <si>
    <t xml:space="preserve">   Transportación</t>
  </si>
  <si>
    <t xml:space="preserve">TOTAL COSTO </t>
  </si>
  <si>
    <t xml:space="preserve">UTILIDAD BRUTA </t>
  </si>
  <si>
    <t>Inflación mensual</t>
  </si>
  <si>
    <t>Inflación</t>
  </si>
  <si>
    <t>Unidades</t>
  </si>
  <si>
    <t>Rem 2 Ejes</t>
  </si>
  <si>
    <t>Rem 3 Ejes</t>
  </si>
  <si>
    <t>Kilometros Recorridos a Octubre</t>
  </si>
  <si>
    <t>UNIDAD DE NEGOCIO ORIZABA</t>
  </si>
  <si>
    <t>Ingresos</t>
  </si>
  <si>
    <t>Costo Varible de transportación</t>
  </si>
  <si>
    <t>Costo varible de Mantenimiento</t>
  </si>
  <si>
    <t>Margen de contribución</t>
  </si>
  <si>
    <t>Total del costo Variable otros</t>
  </si>
  <si>
    <t>% Margen de contribución</t>
  </si>
  <si>
    <t>Ingreso por kilómetro</t>
  </si>
  <si>
    <t>Kilometros Por recorrer Granel</t>
  </si>
  <si>
    <t>Volumen Transportado Tons.  Granel</t>
  </si>
  <si>
    <t>Número de Viajes granel</t>
  </si>
  <si>
    <t>Kilómetro por recorrer Otros</t>
  </si>
  <si>
    <t>Volumen Transportado Tons.  Otros</t>
  </si>
  <si>
    <t>Número de Viajes otros</t>
  </si>
  <si>
    <t>Costo Variable por km</t>
  </si>
  <si>
    <t>costo Total</t>
  </si>
  <si>
    <t>Costo fijo /Op</t>
  </si>
  <si>
    <t>Costos de operación otros Fletes</t>
  </si>
  <si>
    <t>Unidad de negocio</t>
  </si>
  <si>
    <t xml:space="preserve">     3.7.-Presupuesto de Costos de Operación</t>
  </si>
  <si>
    <t xml:space="preserve">     Bases del Presupuesto Financiero</t>
  </si>
  <si>
    <t xml:space="preserve">  Transportes Bonampak , SA de CV</t>
  </si>
  <si>
    <t>Kilometros Recorridos</t>
  </si>
  <si>
    <t>Toneladas Transportadas</t>
  </si>
  <si>
    <t>Estancias Turistica A</t>
  </si>
  <si>
    <t>Estancias Normal B</t>
  </si>
  <si>
    <t>1.- Costo de Mantenimiento</t>
  </si>
  <si>
    <t>Costo Variable de Mantenimiento</t>
  </si>
  <si>
    <t>Total Costo Variable de Mantenimiento</t>
  </si>
  <si>
    <t>Costo Fijo de Mantenimiento</t>
  </si>
  <si>
    <t>Total Costo Fijo de Mantenimiento</t>
  </si>
  <si>
    <t>2.- COSTO DE TRANSPORTACION</t>
  </si>
  <si>
    <t>Costo Variable de Transportación</t>
  </si>
  <si>
    <t>Total Costo Variable de Transportación</t>
  </si>
  <si>
    <t>Costo Fijo de Transportación</t>
  </si>
  <si>
    <t>Total Costo Fijo de Transportación</t>
  </si>
  <si>
    <t>Cuenta</t>
  </si>
  <si>
    <t>Nombre de la Cuenta</t>
  </si>
  <si>
    <t>SUELDOS Y PRESTACIONES DE TRANSPORTACIÓN</t>
  </si>
  <si>
    <t>3.1 Ingresos y volúmenes por base</t>
  </si>
  <si>
    <t xml:space="preserve">     Unidad de Negocio Orizaba</t>
  </si>
  <si>
    <t>=caratula!F[22]C</t>
  </si>
  <si>
    <t>PRESUPUESTO  2014</t>
  </si>
  <si>
    <t>Enero,  2014</t>
  </si>
  <si>
    <t>MTTO EDIFICIOS</t>
  </si>
  <si>
    <t>Constante</t>
  </si>
  <si>
    <t>Entidad</t>
  </si>
  <si>
    <t>Libro presupuesto</t>
  </si>
  <si>
    <t>Año fiscal</t>
  </si>
  <si>
    <t>Fch. Ultima revisión</t>
  </si>
  <si>
    <t>Monto anual</t>
  </si>
  <si>
    <t>Monto Enero</t>
  </si>
  <si>
    <t>Monto Febrero</t>
  </si>
  <si>
    <t>Monto Marzo</t>
  </si>
  <si>
    <t>Monto Abril</t>
  </si>
  <si>
    <t>Monto Mayo</t>
  </si>
  <si>
    <t>Monto Junio</t>
  </si>
  <si>
    <t>Monto Julio</t>
  </si>
  <si>
    <t>Monto Agosto</t>
  </si>
  <si>
    <t>Monto Septiempre</t>
  </si>
  <si>
    <t>Monto Octubre</t>
  </si>
  <si>
    <t>Monto Noviembre</t>
  </si>
  <si>
    <t>Monto Diciembre</t>
  </si>
  <si>
    <t>Metodo distribución</t>
  </si>
  <si>
    <t>Budget</t>
  </si>
  <si>
    <t>0101020100</t>
  </si>
  <si>
    <t>aga    -00-000000-000000</t>
  </si>
  <si>
    <t>PRESUP2013</t>
  </si>
  <si>
    <t>03/22/2013</t>
  </si>
  <si>
    <t>M</t>
  </si>
  <si>
    <t>0000000-AA-AF    -000000</t>
  </si>
  <si>
    <t>PRESUP2014</t>
  </si>
  <si>
    <t>01/31/2014</t>
  </si>
  <si>
    <t>Litros</t>
  </si>
  <si>
    <t>Kilómetros</t>
  </si>
  <si>
    <t>Rendimiento</t>
  </si>
  <si>
    <t>0000000-AA-AG    -000000</t>
  </si>
  <si>
    <t>0000000-AA-TT1000-TT1000</t>
  </si>
  <si>
    <t>0901010200</t>
  </si>
  <si>
    <t>0901010300</t>
  </si>
  <si>
    <t>0901010100</t>
  </si>
  <si>
    <t>0000000-AA-000000-000000</t>
  </si>
  <si>
    <t>0401010000</t>
  </si>
  <si>
    <t>0401980000</t>
  </si>
  <si>
    <t>0000000-AA-000000-TT1000</t>
  </si>
  <si>
    <t>8000000-AA-000000-000000</t>
  </si>
  <si>
    <t>8000000-AA-AF    -000000</t>
  </si>
  <si>
    <t>8000000-AA-TT1000-TT1000</t>
  </si>
  <si>
    <t>8000000-AA-AG    -000000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</si>
</sst>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0.0%"/>
    <numFmt numFmtId="168" formatCode="#,##0.0"/>
    <numFmt numFmtId="169" formatCode="#,##0_ ;\-#,##0\ "/>
    <numFmt numFmtId="170" formatCode="_-* #,##0_-;\-* #,##0_-;_-* &quot;-&quot;??_-;_-@_-"/>
    <numFmt numFmtId="171" formatCode="0.000"/>
    <numFmt numFmtId="172" formatCode="_(* #,##0_);_(* \(#,##0\);_(* &quot;-&quot;??_);_(@_)"/>
    <numFmt numFmtId="173" formatCode="#,##0.000"/>
    <numFmt numFmtId="174" formatCode="_-* #,##0.00_-;\-* #,##0.00_-;_-* \-??_-;_-@_-"/>
    <numFmt numFmtId="175" formatCode="0.0000%"/>
    <numFmt numFmtId="176" formatCode="0.000%"/>
    <numFmt numFmtId="177" formatCode="_(* #,##0.000_);_(* \(#,##0.000\);_(* &quot;-&quot;??_);_(@_)"/>
    <numFmt numFmtId="178" formatCode="#,##0.00000"/>
    <numFmt numFmtId="179" formatCode="ddd/dd/mm/yy"/>
    <numFmt numFmtId="180" formatCode="#,##0.0_ ;\-#,##0.0\ "/>
    <numFmt numFmtId="181" formatCode="#,##0.00_ ;\-#,##0.00\ "/>
    <numFmt numFmtId="182" formatCode="#,##0.000_ ;\-#,##0.000\ "/>
    <numFmt numFmtId="183" formatCode="0.0000"/>
    <numFmt numFmtId="184" formatCode="#,##0.0000"/>
    <numFmt numFmtId="185" formatCode="_(* #,##0.0000_);_(* \(#,##0.0000\);_(* &quot;-&quot;??_);_(@_)"/>
    <numFmt numFmtId="186" formatCode="_-* #,##0.0000_-;\-* #,##0.0000_-;_-* &quot;-&quot;????_-;_-@_-"/>
    <numFmt numFmtId="187" formatCode="_-* #,##0.0000_-;\-* #,##0.0000_-;_-* &quot;-&quot;??_-;_-@_-"/>
    <numFmt numFmtId="188" formatCode="#,##0.000;[Red]\-#,##0.000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u/>
      <sz val="10"/>
      <name val="MS Sans Serif"/>
      <family val="2"/>
    </font>
    <font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5"/>
      <color indexed="12"/>
      <name val="Arial"/>
      <family val="2"/>
    </font>
    <font>
      <sz val="20"/>
      <name val="Arial"/>
      <family val="2"/>
    </font>
    <font>
      <b/>
      <u/>
      <sz val="10"/>
      <name val="Arial"/>
      <family val="2"/>
    </font>
    <font>
      <b/>
      <sz val="10"/>
      <color indexed="9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</fills>
  <borders count="7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double">
        <color auto="1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9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/>
    <xf numFmtId="174" fontId="8" fillId="0" borderId="0" applyFill="0" applyBorder="0" applyAlignment="0" applyProtection="0"/>
    <xf numFmtId="0" fontId="6" fillId="0" borderId="0"/>
    <xf numFmtId="0" fontId="43" fillId="0" borderId="0">
      <alignment vertical="top"/>
    </xf>
    <xf numFmtId="0" fontId="5" fillId="0" borderId="0"/>
    <xf numFmtId="0" fontId="1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4" fontId="8" fillId="0" borderId="6" applyFont="0" applyFill="0" applyBorder="0" applyProtection="0">
      <alignment horizontal="center"/>
    </xf>
    <xf numFmtId="179" fontId="8" fillId="0" borderId="6" applyFont="0" applyFill="0" applyBorder="0" applyProtection="0">
      <alignment horizontal="center"/>
    </xf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>
      <alignment vertical="top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43" fillId="0" borderId="0">
      <alignment vertical="top"/>
    </xf>
    <xf numFmtId="0" fontId="43" fillId="0" borderId="0">
      <alignment vertical="top"/>
    </xf>
    <xf numFmtId="9" fontId="8" fillId="0" borderId="0" applyFont="0" applyFill="0" applyBorder="0" applyAlignment="0" applyProtection="0"/>
    <xf numFmtId="0" fontId="4" fillId="0" borderId="0"/>
    <xf numFmtId="0" fontId="3" fillId="0" borderId="0"/>
  </cellStyleXfs>
  <cellXfs count="593">
    <xf numFmtId="0" fontId="0" fillId="0" borderId="0" xfId="0"/>
    <xf numFmtId="0" fontId="0" fillId="0" borderId="5" xfId="0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15" xfId="0" applyBorder="1"/>
    <xf numFmtId="38" fontId="0" fillId="0" borderId="0" xfId="0" applyNumberFormat="1"/>
    <xf numFmtId="0" fontId="0" fillId="0" borderId="0" xfId="0" applyBorder="1"/>
    <xf numFmtId="0" fontId="0" fillId="0" borderId="11" xfId="0" applyBorder="1" applyAlignment="1">
      <alignment horizontal="center"/>
    </xf>
    <xf numFmtId="3" fontId="0" fillId="0" borderId="0" xfId="0" applyNumberFormat="1"/>
    <xf numFmtId="0" fontId="20" fillId="0" borderId="0" xfId="0" applyFont="1"/>
    <xf numFmtId="0" fontId="15" fillId="0" borderId="0" xfId="0" applyFont="1"/>
    <xf numFmtId="0" fontId="0" fillId="0" borderId="0" xfId="0" applyAlignment="1">
      <alignment horizontal="right"/>
    </xf>
    <xf numFmtId="0" fontId="25" fillId="0" borderId="0" xfId="0" applyFont="1"/>
    <xf numFmtId="0" fontId="26" fillId="0" borderId="0" xfId="0" applyFont="1" applyAlignment="1">
      <alignment horizontal="center"/>
    </xf>
    <xf numFmtId="10" fontId="0" fillId="0" borderId="0" xfId="0" applyNumberFormat="1"/>
    <xf numFmtId="43" fontId="0" fillId="0" borderId="0" xfId="0" applyNumberFormat="1"/>
    <xf numFmtId="0" fontId="8" fillId="0" borderId="0" xfId="0" applyFont="1"/>
    <xf numFmtId="4" fontId="0" fillId="0" borderId="0" xfId="0" applyNumberFormat="1" applyFont="1"/>
    <xf numFmtId="172" fontId="0" fillId="0" borderId="0" xfId="1" applyNumberFormat="1" applyFont="1"/>
    <xf numFmtId="10" fontId="0" fillId="0" borderId="0" xfId="3" applyNumberFormat="1" applyFont="1"/>
    <xf numFmtId="165" fontId="0" fillId="0" borderId="0" xfId="1" applyFont="1"/>
    <xf numFmtId="0" fontId="8" fillId="0" borderId="5" xfId="0" applyFont="1" applyBorder="1"/>
    <xf numFmtId="0" fontId="17" fillId="0" borderId="0" xfId="0" applyFont="1" applyFill="1" applyBorder="1"/>
    <xf numFmtId="0" fontId="8" fillId="0" borderId="0" xfId="0" applyFont="1" applyFill="1"/>
    <xf numFmtId="0" fontId="8" fillId="0" borderId="0" xfId="0" applyFont="1" applyFill="1" applyBorder="1"/>
    <xf numFmtId="0" fontId="8" fillId="0" borderId="38" xfId="0" applyFont="1" applyFill="1" applyBorder="1"/>
    <xf numFmtId="0" fontId="17" fillId="0" borderId="21" xfId="0" applyFont="1" applyFill="1" applyBorder="1"/>
    <xf numFmtId="165" fontId="17" fillId="0" borderId="10" xfId="1" applyNumberFormat="1" applyFont="1" applyFill="1" applyBorder="1" applyAlignment="1">
      <alignment horizontal="center"/>
    </xf>
    <xf numFmtId="0" fontId="8" fillId="0" borderId="11" xfId="0" applyFont="1" applyFill="1" applyBorder="1"/>
    <xf numFmtId="0" fontId="17" fillId="0" borderId="0" xfId="0" applyFont="1" applyFill="1"/>
    <xf numFmtId="0" fontId="30" fillId="0" borderId="22" xfId="0" applyFont="1" applyFill="1" applyBorder="1"/>
    <xf numFmtId="165" fontId="17" fillId="0" borderId="0" xfId="1" applyNumberFormat="1" applyFont="1" applyFill="1" applyBorder="1" applyAlignment="1">
      <alignment horizontal="center"/>
    </xf>
    <xf numFmtId="0" fontId="17" fillId="0" borderId="38" xfId="0" applyFont="1" applyFill="1" applyBorder="1"/>
    <xf numFmtId="0" fontId="8" fillId="0" borderId="22" xfId="0" applyFont="1" applyFill="1" applyBorder="1"/>
    <xf numFmtId="3" fontId="9" fillId="0" borderId="22" xfId="0" applyNumberFormat="1" applyFont="1" applyFill="1" applyBorder="1"/>
    <xf numFmtId="165" fontId="8" fillId="0" borderId="0" xfId="1" applyNumberFormat="1" applyFont="1" applyFill="1" applyBorder="1" applyAlignment="1">
      <alignment horizontal="center"/>
    </xf>
    <xf numFmtId="0" fontId="9" fillId="0" borderId="22" xfId="0" applyFont="1" applyFill="1" applyBorder="1"/>
    <xf numFmtId="0" fontId="8" fillId="2" borderId="31" xfId="0" applyFont="1" applyFill="1" applyBorder="1"/>
    <xf numFmtId="165" fontId="24" fillId="2" borderId="39" xfId="1" applyNumberFormat="1" applyFont="1" applyFill="1" applyBorder="1" applyAlignment="1">
      <alignment horizontal="center"/>
    </xf>
    <xf numFmtId="0" fontId="20" fillId="2" borderId="40" xfId="0" applyFont="1" applyFill="1" applyBorder="1"/>
    <xf numFmtId="0" fontId="20" fillId="2" borderId="5" xfId="0" applyFont="1" applyFill="1" applyBorder="1" applyAlignment="1">
      <alignment horizontal="center"/>
    </xf>
    <xf numFmtId="165" fontId="24" fillId="2" borderId="41" xfId="1" applyNumberFormat="1" applyFont="1" applyFill="1" applyBorder="1" applyAlignment="1">
      <alignment horizontal="center"/>
    </xf>
    <xf numFmtId="0" fontId="20" fillId="2" borderId="42" xfId="0" applyFont="1" applyFill="1" applyBorder="1" applyAlignment="1">
      <alignment horizontal="center"/>
    </xf>
    <xf numFmtId="0" fontId="8" fillId="2" borderId="3" xfId="0" applyFont="1" applyFill="1" applyBorder="1"/>
    <xf numFmtId="1" fontId="24" fillId="2" borderId="43" xfId="1" applyNumberFormat="1" applyFont="1" applyFill="1" applyBorder="1" applyAlignment="1">
      <alignment horizontal="center"/>
    </xf>
    <xf numFmtId="0" fontId="20" fillId="2" borderId="44" xfId="0" applyFont="1" applyFill="1" applyBorder="1"/>
    <xf numFmtId="0" fontId="8" fillId="8" borderId="5" xfId="0" applyFont="1" applyFill="1" applyBorder="1"/>
    <xf numFmtId="1" fontId="24" fillId="8" borderId="41" xfId="1" applyNumberFormat="1" applyFont="1" applyFill="1" applyBorder="1" applyAlignment="1">
      <alignment horizontal="center"/>
    </xf>
    <xf numFmtId="0" fontId="20" fillId="8" borderId="42" xfId="0" applyFont="1" applyFill="1" applyBorder="1"/>
    <xf numFmtId="0" fontId="20" fillId="0" borderId="5" xfId="0" applyFont="1" applyBorder="1"/>
    <xf numFmtId="167" fontId="20" fillId="0" borderId="6" xfId="1" applyNumberFormat="1" applyFont="1" applyBorder="1" applyAlignment="1">
      <alignment horizontal="center"/>
    </xf>
    <xf numFmtId="0" fontId="20" fillId="8" borderId="5" xfId="0" applyFont="1" applyFill="1" applyBorder="1"/>
    <xf numFmtId="2" fontId="20" fillId="8" borderId="41" xfId="1" applyNumberFormat="1" applyFont="1" applyFill="1" applyBorder="1" applyAlignment="1">
      <alignment horizontal="center"/>
    </xf>
    <xf numFmtId="168" fontId="8" fillId="0" borderId="41" xfId="1" applyNumberFormat="1" applyFont="1" applyBorder="1" applyAlignment="1">
      <alignment horizontal="center"/>
    </xf>
    <xf numFmtId="0" fontId="8" fillId="0" borderId="42" xfId="0" applyFont="1" applyBorder="1"/>
    <xf numFmtId="167" fontId="20" fillId="0" borderId="6" xfId="3" applyNumberFormat="1" applyFont="1" applyBorder="1" applyAlignment="1">
      <alignment horizontal="center"/>
    </xf>
    <xf numFmtId="168" fontId="8" fillId="0" borderId="6" xfId="1" applyNumberFormat="1" applyFont="1" applyBorder="1" applyAlignment="1">
      <alignment horizontal="center"/>
    </xf>
    <xf numFmtId="0" fontId="31" fillId="0" borderId="5" xfId="0" applyFont="1" applyBorder="1"/>
    <xf numFmtId="9" fontId="32" fillId="0" borderId="6" xfId="3" applyFont="1" applyBorder="1" applyAlignment="1">
      <alignment horizontal="center"/>
    </xf>
    <xf numFmtId="168" fontId="20" fillId="0" borderId="41" xfId="1" applyNumberFormat="1" applyFont="1" applyBorder="1" applyAlignment="1">
      <alignment horizontal="center"/>
    </xf>
    <xf numFmtId="167" fontId="8" fillId="0" borderId="41" xfId="1" applyNumberFormat="1" applyFont="1" applyFill="1" applyBorder="1" applyAlignment="1">
      <alignment horizontal="center"/>
    </xf>
    <xf numFmtId="10" fontId="8" fillId="0" borderId="41" xfId="1" applyNumberFormat="1" applyFont="1" applyFill="1" applyBorder="1" applyAlignment="1">
      <alignment horizontal="center"/>
    </xf>
    <xf numFmtId="9" fontId="8" fillId="0" borderId="41" xfId="1" applyNumberFormat="1" applyFont="1" applyFill="1" applyBorder="1" applyAlignment="1">
      <alignment horizontal="center"/>
    </xf>
    <xf numFmtId="9" fontId="20" fillId="0" borderId="41" xfId="1" applyNumberFormat="1" applyFont="1" applyBorder="1" applyAlignment="1">
      <alignment horizontal="center"/>
    </xf>
    <xf numFmtId="167" fontId="8" fillId="0" borderId="41" xfId="1" applyNumberFormat="1" applyFont="1" applyBorder="1" applyAlignment="1">
      <alignment horizontal="center"/>
    </xf>
    <xf numFmtId="9" fontId="8" fillId="0" borderId="41" xfId="1" applyNumberFormat="1" applyFont="1" applyBorder="1" applyAlignment="1">
      <alignment horizontal="center"/>
    </xf>
    <xf numFmtId="9" fontId="8" fillId="0" borderId="6" xfId="1" applyNumberFormat="1" applyFont="1" applyBorder="1" applyAlignment="1">
      <alignment horizontal="center"/>
    </xf>
    <xf numFmtId="0" fontId="8" fillId="0" borderId="38" xfId="0" applyFont="1" applyBorder="1"/>
    <xf numFmtId="0" fontId="8" fillId="0" borderId="8" xfId="0" applyFont="1" applyBorder="1"/>
    <xf numFmtId="168" fontId="8" fillId="0" borderId="9" xfId="1" applyNumberFormat="1" applyFont="1" applyBorder="1" applyAlignment="1">
      <alignment horizontal="center"/>
    </xf>
    <xf numFmtId="0" fontId="8" fillId="0" borderId="16" xfId="0" applyFont="1" applyBorder="1"/>
    <xf numFmtId="165" fontId="8" fillId="0" borderId="0" xfId="1" applyNumberFormat="1" applyFont="1" applyFill="1" applyAlignment="1">
      <alignment horizontal="center"/>
    </xf>
    <xf numFmtId="0" fontId="9" fillId="0" borderId="0" xfId="0" applyFont="1" applyFill="1" applyBorder="1"/>
    <xf numFmtId="0" fontId="9" fillId="0" borderId="25" xfId="0" applyFont="1" applyFill="1" applyBorder="1"/>
    <xf numFmtId="0" fontId="8" fillId="0" borderId="25" xfId="0" applyFont="1" applyFill="1" applyBorder="1"/>
    <xf numFmtId="0" fontId="8" fillId="0" borderId="5" xfId="0" applyFont="1" applyFill="1" applyBorder="1"/>
    <xf numFmtId="0" fontId="8" fillId="0" borderId="3" xfId="0" applyFont="1" applyFill="1" applyBorder="1"/>
    <xf numFmtId="0" fontId="24" fillId="0" borderId="4" xfId="0" applyFont="1" applyFill="1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8" fillId="0" borderId="6" xfId="0" applyFont="1" applyFill="1" applyBorder="1"/>
    <xf numFmtId="3" fontId="8" fillId="0" borderId="0" xfId="0" applyNumberFormat="1" applyFont="1" applyFill="1"/>
    <xf numFmtId="0" fontId="20" fillId="0" borderId="5" xfId="0" applyFont="1" applyFill="1" applyBorder="1"/>
    <xf numFmtId="0" fontId="33" fillId="0" borderId="0" xfId="7" applyFont="1" applyFill="1" applyBorder="1" applyAlignment="1" applyProtection="1"/>
    <xf numFmtId="0" fontId="20" fillId="0" borderId="38" xfId="0" applyFont="1" applyFill="1" applyBorder="1"/>
    <xf numFmtId="0" fontId="21" fillId="0" borderId="5" xfId="0" applyFont="1" applyFill="1" applyBorder="1" applyAlignment="1">
      <alignment horizontal="center"/>
    </xf>
    <xf numFmtId="0" fontId="20" fillId="0" borderId="38" xfId="0" applyFont="1" applyFill="1" applyBorder="1" applyAlignment="1">
      <alignment horizontal="center"/>
    </xf>
    <xf numFmtId="0" fontId="9" fillId="0" borderId="5" xfId="0" applyFont="1" applyFill="1" applyBorder="1"/>
    <xf numFmtId="3" fontId="19" fillId="0" borderId="6" xfId="0" applyNumberFormat="1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0" fillId="0" borderId="32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3" fontId="20" fillId="0" borderId="7" xfId="0" applyNumberFormat="1" applyFont="1" applyFill="1" applyBorder="1"/>
    <xf numFmtId="1" fontId="20" fillId="0" borderId="26" xfId="0" applyNumberFormat="1" applyFont="1" applyFill="1" applyBorder="1"/>
    <xf numFmtId="41" fontId="8" fillId="0" borderId="6" xfId="0" applyNumberFormat="1" applyFont="1" applyFill="1" applyBorder="1"/>
    <xf numFmtId="41" fontId="20" fillId="0" borderId="38" xfId="0" applyNumberFormat="1" applyFont="1" applyFill="1" applyBorder="1"/>
    <xf numFmtId="41" fontId="20" fillId="0" borderId="7" xfId="0" applyNumberFormat="1" applyFont="1" applyFill="1" applyBorder="1"/>
    <xf numFmtId="41" fontId="20" fillId="0" borderId="26" xfId="0" applyNumberFormat="1" applyFont="1" applyFill="1" applyBorder="1"/>
    <xf numFmtId="41" fontId="20" fillId="0" borderId="0" xfId="0" applyNumberFormat="1" applyFont="1" applyFill="1" applyBorder="1"/>
    <xf numFmtId="41" fontId="9" fillId="0" borderId="7" xfId="0" applyNumberFormat="1" applyFont="1" applyFill="1" applyBorder="1"/>
    <xf numFmtId="41" fontId="9" fillId="0" borderId="26" xfId="0" applyNumberFormat="1" applyFont="1" applyFill="1" applyBorder="1"/>
    <xf numFmtId="41" fontId="8" fillId="0" borderId="6" xfId="1" applyNumberFormat="1" applyFont="1" applyFill="1" applyBorder="1"/>
    <xf numFmtId="41" fontId="20" fillId="0" borderId="38" xfId="1" applyNumberFormat="1" applyFont="1" applyFill="1" applyBorder="1"/>
    <xf numFmtId="41" fontId="20" fillId="0" borderId="7" xfId="1" applyNumberFormat="1" applyFont="1" applyFill="1" applyBorder="1"/>
    <xf numFmtId="41" fontId="20" fillId="0" borderId="26" xfId="1" applyNumberFormat="1" applyFont="1" applyFill="1" applyBorder="1"/>
    <xf numFmtId="0" fontId="8" fillId="0" borderId="8" xfId="0" applyFont="1" applyFill="1" applyBorder="1"/>
    <xf numFmtId="41" fontId="8" fillId="0" borderId="9" xfId="1" applyNumberFormat="1" applyFont="1" applyFill="1" applyBorder="1"/>
    <xf numFmtId="41" fontId="20" fillId="0" borderId="16" xfId="1" applyNumberFormat="1" applyFont="1" applyFill="1" applyBorder="1"/>
    <xf numFmtId="3" fontId="9" fillId="0" borderId="0" xfId="0" applyNumberFormat="1" applyFont="1" applyFill="1" applyBorder="1"/>
    <xf numFmtId="0" fontId="34" fillId="0" borderId="0" xfId="0" applyFont="1" applyFill="1" applyBorder="1"/>
    <xf numFmtId="0" fontId="8" fillId="0" borderId="0" xfId="8"/>
    <xf numFmtId="0" fontId="24" fillId="0" borderId="0" xfId="8" applyFont="1"/>
    <xf numFmtId="167" fontId="35" fillId="0" borderId="6" xfId="3" applyNumberFormat="1" applyFont="1" applyBorder="1" applyAlignment="1">
      <alignment horizontal="center"/>
    </xf>
    <xf numFmtId="0" fontId="8" fillId="0" borderId="0" xfId="0" applyFont="1" applyAlignment="1">
      <alignment wrapText="1"/>
    </xf>
    <xf numFmtId="175" fontId="0" fillId="0" borderId="0" xfId="0" applyNumberFormat="1"/>
    <xf numFmtId="175" fontId="0" fillId="0" borderId="0" xfId="3" applyNumberFormat="1" applyFont="1"/>
    <xf numFmtId="0" fontId="38" fillId="7" borderId="45" xfId="0" applyFont="1" applyFill="1" applyBorder="1"/>
    <xf numFmtId="0" fontId="38" fillId="0" borderId="0" xfId="0" applyFont="1" applyAlignment="1">
      <alignment horizontal="left" indent="1"/>
    </xf>
    <xf numFmtId="3" fontId="38" fillId="0" borderId="0" xfId="0" applyNumberFormat="1" applyFont="1" applyBorder="1"/>
    <xf numFmtId="0" fontId="38" fillId="7" borderId="37" xfId="0" applyFont="1" applyFill="1" applyBorder="1" applyAlignment="1">
      <alignment horizontal="left"/>
    </xf>
    <xf numFmtId="3" fontId="38" fillId="7" borderId="37" xfId="0" applyNumberFormat="1" applyFont="1" applyFill="1" applyBorder="1"/>
    <xf numFmtId="0" fontId="38" fillId="0" borderId="0" xfId="0" applyFont="1" applyBorder="1" applyAlignment="1">
      <alignment horizontal="left"/>
    </xf>
    <xf numFmtId="172" fontId="0" fillId="0" borderId="0" xfId="0" applyNumberFormat="1"/>
    <xf numFmtId="0" fontId="28" fillId="7" borderId="45" xfId="0" applyFont="1" applyFill="1" applyBorder="1"/>
    <xf numFmtId="0" fontId="28" fillId="7" borderId="37" xfId="0" applyFont="1" applyFill="1" applyBorder="1" applyAlignment="1">
      <alignment horizontal="left"/>
    </xf>
    <xf numFmtId="172" fontId="38" fillId="7" borderId="37" xfId="1" applyNumberFormat="1" applyFont="1" applyFill="1" applyBorder="1"/>
    <xf numFmtId="0" fontId="39" fillId="0" borderId="45" xfId="0" applyFont="1" applyBorder="1" applyAlignment="1">
      <alignment horizontal="left"/>
    </xf>
    <xf numFmtId="3" fontId="39" fillId="0" borderId="45" xfId="0" applyNumberFormat="1" applyFont="1" applyBorder="1"/>
    <xf numFmtId="0" fontId="39" fillId="0" borderId="0" xfId="0" applyFont="1" applyAlignment="1">
      <alignment horizontal="left"/>
    </xf>
    <xf numFmtId="3" fontId="39" fillId="0" borderId="0" xfId="0" applyNumberFormat="1" applyFont="1"/>
    <xf numFmtId="172" fontId="28" fillId="7" borderId="37" xfId="1" applyNumberFormat="1" applyFont="1" applyFill="1" applyBorder="1" applyAlignment="1">
      <alignment horizontal="left"/>
    </xf>
    <xf numFmtId="176" fontId="0" fillId="0" borderId="0" xfId="3" applyNumberFormat="1" applyFont="1"/>
    <xf numFmtId="0" fontId="8" fillId="9" borderId="0" xfId="0" applyFont="1" applyFill="1" applyAlignment="1">
      <alignment wrapText="1"/>
    </xf>
    <xf numFmtId="0" fontId="0" fillId="9" borderId="0" xfId="0" applyFill="1"/>
    <xf numFmtId="172" fontId="25" fillId="0" borderId="0" xfId="1" applyNumberFormat="1" applyFont="1"/>
    <xf numFmtId="0" fontId="20" fillId="9" borderId="0" xfId="0" applyFont="1" applyFill="1"/>
    <xf numFmtId="0" fontId="28" fillId="7" borderId="45" xfId="0" applyFont="1" applyFill="1" applyBorder="1" applyAlignment="1">
      <alignment horizontal="center"/>
    </xf>
    <xf numFmtId="172" fontId="24" fillId="9" borderId="0" xfId="0" applyNumberFormat="1" applyFont="1" applyFill="1"/>
    <xf numFmtId="172" fontId="20" fillId="9" borderId="0" xfId="0" applyNumberFormat="1" applyFont="1" applyFill="1"/>
    <xf numFmtId="0" fontId="28" fillId="10" borderId="45" xfId="0" applyFont="1" applyFill="1" applyBorder="1" applyAlignment="1">
      <alignment horizontal="center"/>
    </xf>
    <xf numFmtId="43" fontId="25" fillId="0" borderId="0" xfId="1" applyNumberFormat="1" applyFont="1"/>
    <xf numFmtId="0" fontId="28" fillId="0" borderId="45" xfId="0" applyFont="1" applyFill="1" applyBorder="1" applyAlignment="1">
      <alignment horizontal="center"/>
    </xf>
    <xf numFmtId="172" fontId="20" fillId="0" borderId="0" xfId="0" applyNumberFormat="1" applyFont="1" applyFill="1"/>
    <xf numFmtId="0" fontId="0" fillId="0" borderId="0" xfId="0" applyFill="1"/>
    <xf numFmtId="0" fontId="25" fillId="0" borderId="0" xfId="0" applyFont="1" applyFill="1"/>
    <xf numFmtId="0" fontId="28" fillId="7" borderId="45" xfId="0" applyFont="1" applyFill="1" applyBorder="1" applyAlignment="1">
      <alignment horizontal="center" wrapText="1"/>
    </xf>
    <xf numFmtId="170" fontId="25" fillId="0" borderId="0" xfId="1" applyNumberFormat="1" applyFont="1"/>
    <xf numFmtId="172" fontId="38" fillId="7" borderId="37" xfId="1" applyNumberFormat="1" applyFont="1" applyFill="1" applyBorder="1" applyAlignment="1">
      <alignment horizontal="left"/>
    </xf>
    <xf numFmtId="3" fontId="0" fillId="0" borderId="0" xfId="0" applyNumberFormat="1" applyFont="1"/>
    <xf numFmtId="173" fontId="0" fillId="0" borderId="0" xfId="0" applyNumberFormat="1" applyFont="1"/>
    <xf numFmtId="177" fontId="28" fillId="7" borderId="37" xfId="1" applyNumberFormat="1" applyFont="1" applyFill="1" applyBorder="1" applyAlignment="1">
      <alignment horizontal="left"/>
    </xf>
    <xf numFmtId="178" fontId="0" fillId="0" borderId="0" xfId="0" applyNumberFormat="1"/>
    <xf numFmtId="170" fontId="0" fillId="0" borderId="0" xfId="1" applyNumberFormat="1" applyFont="1"/>
    <xf numFmtId="0" fontId="28" fillId="0" borderId="0" xfId="0" applyFont="1" applyBorder="1" applyAlignment="1">
      <alignment horizontal="left"/>
    </xf>
    <xf numFmtId="4" fontId="0" fillId="0" borderId="33" xfId="0" applyNumberFormat="1" applyBorder="1"/>
    <xf numFmtId="0" fontId="28" fillId="5" borderId="0" xfId="0" applyFont="1" applyFill="1" applyAlignment="1">
      <alignment horizontal="left" indent="1"/>
    </xf>
    <xf numFmtId="0" fontId="0" fillId="5" borderId="0" xfId="0" applyFill="1"/>
    <xf numFmtId="0" fontId="8" fillId="3" borderId="0" xfId="0" applyFont="1" applyFill="1" applyAlignment="1">
      <alignment wrapText="1"/>
    </xf>
    <xf numFmtId="175" fontId="0" fillId="3" borderId="0" xfId="3" applyNumberFormat="1" applyFont="1" applyFill="1"/>
    <xf numFmtId="0" fontId="27" fillId="0" borderId="0" xfId="0" applyFont="1"/>
    <xf numFmtId="0" fontId="26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4" fontId="26" fillId="0" borderId="36" xfId="2" applyNumberFormat="1" applyFont="1" applyBorder="1"/>
    <xf numFmtId="0" fontId="41" fillId="0" borderId="0" xfId="0" applyFont="1" applyAlignment="1">
      <alignment horizontal="left"/>
    </xf>
    <xf numFmtId="0" fontId="26" fillId="11" borderId="0" xfId="0" applyFont="1" applyFill="1" applyAlignment="1">
      <alignment horizontal="left"/>
    </xf>
    <xf numFmtId="0" fontId="40" fillId="11" borderId="0" xfId="0" applyFont="1" applyFill="1" applyAlignment="1">
      <alignment horizontal="center"/>
    </xf>
    <xf numFmtId="0" fontId="40" fillId="11" borderId="0" xfId="0" applyFont="1" applyFill="1" applyAlignment="1">
      <alignment horizontal="left"/>
    </xf>
    <xf numFmtId="170" fontId="42" fillId="11" borderId="0" xfId="1" applyNumberFormat="1" applyFont="1" applyFill="1"/>
    <xf numFmtId="0" fontId="42" fillId="11" borderId="0" xfId="0" applyFont="1" applyFill="1" applyAlignment="1">
      <alignment horizontal="left"/>
    </xf>
    <xf numFmtId="164" fontId="40" fillId="11" borderId="36" xfId="2" applyFont="1" applyFill="1" applyBorder="1"/>
    <xf numFmtId="0" fontId="42" fillId="11" borderId="0" xfId="0" applyFont="1" applyFill="1"/>
    <xf numFmtId="49" fontId="0" fillId="0" borderId="0" xfId="0" applyNumberFormat="1"/>
    <xf numFmtId="165" fontId="0" fillId="12" borderId="0" xfId="1" applyFont="1" applyFill="1"/>
    <xf numFmtId="4" fontId="39" fillId="0" borderId="0" xfId="0" applyNumberFormat="1" applyFont="1"/>
    <xf numFmtId="44" fontId="0" fillId="0" borderId="0" xfId="0" applyNumberFormat="1"/>
    <xf numFmtId="43" fontId="25" fillId="0" borderId="0" xfId="0" applyNumberFormat="1" applyFont="1"/>
    <xf numFmtId="0" fontId="25" fillId="0" borderId="0" xfId="0" applyFont="1" applyAlignment="1">
      <alignment wrapText="1"/>
    </xf>
    <xf numFmtId="0" fontId="28" fillId="13" borderId="45" xfId="0" applyFont="1" applyFill="1" applyBorder="1"/>
    <xf numFmtId="0" fontId="38" fillId="0" borderId="0" xfId="0" applyFont="1" applyBorder="1" applyAlignment="1">
      <alignment horizontal="left" indent="1"/>
    </xf>
    <xf numFmtId="0" fontId="28" fillId="14" borderId="45" xfId="0" applyFont="1" applyFill="1" applyBorder="1"/>
    <xf numFmtId="0" fontId="38" fillId="7" borderId="0" xfId="0" applyFont="1" applyFill="1" applyBorder="1"/>
    <xf numFmtId="172" fontId="38" fillId="7" borderId="0" xfId="1" applyNumberFormat="1" applyFont="1" applyFill="1" applyBorder="1" applyAlignment="1">
      <alignment horizontal="left"/>
    </xf>
    <xf numFmtId="0" fontId="38" fillId="13" borderId="45" xfId="0" applyFont="1" applyFill="1" applyBorder="1"/>
    <xf numFmtId="172" fontId="43" fillId="0" borderId="0" xfId="1" applyNumberFormat="1" applyFont="1" applyBorder="1" applyAlignment="1">
      <alignment vertical="top"/>
    </xf>
    <xf numFmtId="0" fontId="28" fillId="7" borderId="45" xfId="0" applyFont="1" applyFill="1" applyBorder="1" applyAlignment="1">
      <alignment horizontal="center" vertical="center" wrapText="1"/>
    </xf>
    <xf numFmtId="172" fontId="38" fillId="0" borderId="37" xfId="1" applyNumberFormat="1" applyFont="1" applyFill="1" applyBorder="1" applyAlignment="1">
      <alignment horizontal="left"/>
    </xf>
    <xf numFmtId="0" fontId="8" fillId="5" borderId="0" xfId="0" applyFont="1" applyFill="1"/>
    <xf numFmtId="0" fontId="38" fillId="0" borderId="0" xfId="0" applyFont="1" applyFill="1" applyBorder="1" applyAlignment="1">
      <alignment horizontal="left"/>
    </xf>
    <xf numFmtId="177" fontId="28" fillId="0" borderId="0" xfId="1" applyNumberFormat="1" applyFont="1" applyFill="1" applyBorder="1" applyAlignment="1">
      <alignment horizontal="left"/>
    </xf>
    <xf numFmtId="1" fontId="28" fillId="7" borderId="37" xfId="1" applyNumberFormat="1" applyFont="1" applyFill="1" applyBorder="1" applyAlignment="1">
      <alignment horizontal="right"/>
    </xf>
    <xf numFmtId="0" fontId="28" fillId="7" borderId="0" xfId="0" applyFont="1" applyFill="1" applyBorder="1"/>
    <xf numFmtId="172" fontId="0" fillId="3" borderId="0" xfId="1" applyNumberFormat="1" applyFont="1" applyFill="1"/>
    <xf numFmtId="43" fontId="0" fillId="3" borderId="0" xfId="1" applyNumberFormat="1" applyFont="1" applyFill="1"/>
    <xf numFmtId="0" fontId="0" fillId="3" borderId="0" xfId="0" applyFill="1"/>
    <xf numFmtId="176" fontId="0" fillId="3" borderId="0" xfId="3" applyNumberFormat="1" applyFont="1" applyFill="1"/>
    <xf numFmtId="3" fontId="38" fillId="3" borderId="0" xfId="0" applyNumberFormat="1" applyFont="1" applyFill="1" applyBorder="1"/>
    <xf numFmtId="3" fontId="0" fillId="3" borderId="0" xfId="0" applyNumberFormat="1" applyFont="1" applyFill="1"/>
    <xf numFmtId="173" fontId="0" fillId="3" borderId="0" xfId="0" applyNumberFormat="1" applyFont="1" applyFill="1"/>
    <xf numFmtId="0" fontId="38" fillId="9" borderId="0" xfId="0" applyFont="1" applyFill="1" applyAlignment="1">
      <alignment horizontal="left" indent="1"/>
    </xf>
    <xf numFmtId="0" fontId="28" fillId="7" borderId="46" xfId="0" applyFont="1" applyFill="1" applyBorder="1" applyAlignment="1">
      <alignment horizontal="center" wrapText="1"/>
    </xf>
    <xf numFmtId="0" fontId="28" fillId="7" borderId="47" xfId="0" applyFont="1" applyFill="1" applyBorder="1" applyAlignment="1">
      <alignment horizontal="center"/>
    </xf>
    <xf numFmtId="0" fontId="28" fillId="7" borderId="48" xfId="0" applyFont="1" applyFill="1" applyBorder="1" applyAlignment="1">
      <alignment horizontal="center"/>
    </xf>
    <xf numFmtId="0" fontId="0" fillId="9" borderId="23" xfId="0" applyFill="1" applyBorder="1"/>
    <xf numFmtId="43" fontId="25" fillId="0" borderId="0" xfId="1" applyNumberFormat="1" applyFont="1" applyBorder="1"/>
    <xf numFmtId="0" fontId="0" fillId="9" borderId="24" xfId="0" applyFill="1" applyBorder="1"/>
    <xf numFmtId="0" fontId="25" fillId="9" borderId="0" xfId="0" applyFont="1" applyFill="1"/>
    <xf numFmtId="170" fontId="25" fillId="3" borderId="0" xfId="1" applyNumberFormat="1" applyFont="1" applyFill="1"/>
    <xf numFmtId="43" fontId="25" fillId="15" borderId="0" xfId="1" applyNumberFormat="1" applyFont="1" applyFill="1" applyBorder="1" applyProtection="1">
      <protection locked="0"/>
    </xf>
    <xf numFmtId="43" fontId="25" fillId="15" borderId="6" xfId="1" applyNumberFormat="1" applyFont="1" applyFill="1" applyBorder="1" applyProtection="1">
      <protection locked="0"/>
    </xf>
    <xf numFmtId="43" fontId="25" fillId="15" borderId="18" xfId="1" applyNumberFormat="1" applyFont="1" applyFill="1" applyBorder="1" applyProtection="1">
      <protection locked="0"/>
    </xf>
    <xf numFmtId="43" fontId="25" fillId="15" borderId="4" xfId="1" applyNumberFormat="1" applyFont="1" applyFill="1" applyBorder="1" applyProtection="1">
      <protection locked="0"/>
    </xf>
    <xf numFmtId="0" fontId="39" fillId="16" borderId="0" xfId="0" applyFont="1" applyFill="1" applyAlignment="1">
      <alignment horizontal="left"/>
    </xf>
    <xf numFmtId="3" fontId="39" fillId="16" borderId="0" xfId="0" applyNumberFormat="1" applyFont="1" applyFill="1"/>
    <xf numFmtId="172" fontId="0" fillId="16" borderId="0" xfId="1" applyNumberFormat="1" applyFont="1" applyFill="1"/>
    <xf numFmtId="3" fontId="38" fillId="16" borderId="0" xfId="0" applyNumberFormat="1" applyFont="1" applyFill="1" applyBorder="1"/>
    <xf numFmtId="0" fontId="0" fillId="16" borderId="0" xfId="0" applyFill="1"/>
    <xf numFmtId="43" fontId="0" fillId="16" borderId="0" xfId="1" applyNumberFormat="1" applyFont="1" applyFill="1"/>
    <xf numFmtId="0" fontId="38" fillId="16" borderId="0" xfId="0" applyFont="1" applyFill="1" applyAlignment="1">
      <alignment horizontal="left" indent="1"/>
    </xf>
    <xf numFmtId="3" fontId="28" fillId="16" borderId="0" xfId="0" applyNumberFormat="1" applyFont="1" applyFill="1" applyBorder="1"/>
    <xf numFmtId="172" fontId="25" fillId="0" borderId="0" xfId="1" applyNumberFormat="1" applyFont="1" applyFill="1"/>
    <xf numFmtId="172" fontId="25" fillId="6" borderId="0" xfId="1" applyNumberFormat="1" applyFont="1" applyFill="1"/>
    <xf numFmtId="0" fontId="0" fillId="0" borderId="0" xfId="0" applyFill="1" applyBorder="1"/>
    <xf numFmtId="43" fontId="25" fillId="0" borderId="0" xfId="1" applyNumberFormat="1" applyFont="1" applyProtection="1">
      <protection locked="0"/>
    </xf>
    <xf numFmtId="172" fontId="25" fillId="0" borderId="0" xfId="1" applyNumberFormat="1" applyFont="1" applyFill="1" applyProtection="1"/>
    <xf numFmtId="170" fontId="25" fillId="0" borderId="0" xfId="1" applyNumberFormat="1" applyFont="1" applyFill="1"/>
    <xf numFmtId="43" fontId="25" fillId="0" borderId="0" xfId="1" applyNumberFormat="1" applyFont="1" applyFill="1"/>
    <xf numFmtId="170" fontId="25" fillId="15" borderId="0" xfId="1" applyNumberFormat="1" applyFont="1" applyFill="1"/>
    <xf numFmtId="0" fontId="38" fillId="9" borderId="0" xfId="0" applyFont="1" applyFill="1" applyBorder="1" applyAlignment="1">
      <alignment horizontal="left" indent="1"/>
    </xf>
    <xf numFmtId="43" fontId="25" fillId="15" borderId="0" xfId="1" applyNumberFormat="1" applyFont="1" applyFill="1" applyProtection="1">
      <protection locked="0"/>
    </xf>
    <xf numFmtId="172" fontId="25" fillId="0" borderId="0" xfId="0" applyNumberFormat="1" applyFont="1"/>
    <xf numFmtId="170" fontId="25" fillId="0" borderId="0" xfId="0" applyNumberFormat="1" applyFont="1"/>
    <xf numFmtId="0" fontId="8" fillId="9" borderId="0" xfId="0" applyFont="1" applyFill="1"/>
    <xf numFmtId="0" fontId="25" fillId="0" borderId="0" xfId="8" applyFont="1"/>
    <xf numFmtId="0" fontId="9" fillId="0" borderId="0" xfId="8" applyFont="1" applyFill="1" applyBorder="1"/>
    <xf numFmtId="0" fontId="8" fillId="0" borderId="0" xfId="8" applyFont="1"/>
    <xf numFmtId="3" fontId="23" fillId="0" borderId="1" xfId="8" applyNumberFormat="1" applyFont="1" applyFill="1" applyBorder="1" applyAlignment="1">
      <alignment horizontal="center" vertical="center"/>
    </xf>
    <xf numFmtId="3" fontId="8" fillId="0" borderId="49" xfId="8" applyNumberFormat="1" applyFont="1" applyFill="1" applyBorder="1" applyAlignment="1">
      <alignment horizontal="center" vertical="center" wrapText="1"/>
    </xf>
    <xf numFmtId="3" fontId="20" fillId="0" borderId="13" xfId="8" applyNumberFormat="1" applyFont="1" applyFill="1" applyBorder="1" applyAlignment="1">
      <alignment horizontal="center" vertical="center"/>
    </xf>
    <xf numFmtId="173" fontId="24" fillId="0" borderId="7" xfId="8" applyNumberFormat="1" applyFont="1" applyFill="1" applyBorder="1" applyAlignment="1">
      <alignment horizontal="center" vertical="center"/>
    </xf>
    <xf numFmtId="173" fontId="24" fillId="0" borderId="26" xfId="8" applyNumberFormat="1" applyFont="1" applyFill="1" applyBorder="1" applyAlignment="1">
      <alignment horizontal="center" vertical="center"/>
    </xf>
    <xf numFmtId="3" fontId="23" fillId="0" borderId="0" xfId="8" applyNumberFormat="1" applyFont="1" applyFill="1" applyBorder="1" applyAlignment="1">
      <alignment horizontal="center" vertical="center"/>
    </xf>
    <xf numFmtId="3" fontId="8" fillId="0" borderId="17" xfId="8" applyNumberFormat="1" applyFont="1" applyFill="1" applyBorder="1" applyAlignment="1">
      <alignment horizontal="center" vertical="center" wrapText="1"/>
    </xf>
    <xf numFmtId="3" fontId="20" fillId="0" borderId="14" xfId="8" applyNumberFormat="1" applyFont="1" applyFill="1" applyBorder="1" applyAlignment="1">
      <alignment horizontal="center" vertical="center"/>
    </xf>
    <xf numFmtId="173" fontId="24" fillId="0" borderId="17" xfId="8" applyNumberFormat="1" applyFont="1" applyFill="1" applyBorder="1" applyAlignment="1">
      <alignment horizontal="center" vertical="center"/>
    </xf>
    <xf numFmtId="173" fontId="24" fillId="0" borderId="14" xfId="8" applyNumberFormat="1" applyFont="1" applyFill="1" applyBorder="1" applyAlignment="1">
      <alignment horizontal="center" vertical="center"/>
    </xf>
    <xf numFmtId="3" fontId="13" fillId="0" borderId="0" xfId="8" applyNumberFormat="1" applyFont="1" applyFill="1" applyBorder="1" applyAlignment="1">
      <alignment horizontal="left" vertical="center" indent="3"/>
    </xf>
    <xf numFmtId="3" fontId="8" fillId="0" borderId="0" xfId="8" applyNumberFormat="1" applyFont="1" applyFill="1" applyBorder="1" applyAlignment="1">
      <alignment horizontal="center" vertical="center" wrapText="1"/>
    </xf>
    <xf numFmtId="3" fontId="20" fillId="0" borderId="6" xfId="8" applyNumberFormat="1" applyFont="1" applyFill="1" applyBorder="1" applyAlignment="1">
      <alignment horizontal="center" vertical="center"/>
    </xf>
    <xf numFmtId="172" fontId="24" fillId="0" borderId="0" xfId="1" applyNumberFormat="1" applyFont="1" applyFill="1" applyBorder="1" applyAlignment="1">
      <alignment horizontal="right" vertical="center"/>
    </xf>
    <xf numFmtId="172" fontId="24" fillId="0" borderId="6" xfId="1" applyNumberFormat="1" applyFont="1" applyFill="1" applyBorder="1" applyAlignment="1">
      <alignment horizontal="right" vertical="center"/>
    </xf>
    <xf numFmtId="3" fontId="24" fillId="0" borderId="0" xfId="8" applyNumberFormat="1" applyFont="1" applyFill="1" applyBorder="1" applyAlignment="1">
      <alignment horizontal="right" vertical="center"/>
    </xf>
    <xf numFmtId="3" fontId="24" fillId="0" borderId="6" xfId="8" applyNumberFormat="1" applyFont="1" applyFill="1" applyBorder="1" applyAlignment="1">
      <alignment horizontal="right" vertical="center"/>
    </xf>
    <xf numFmtId="3" fontId="13" fillId="0" borderId="0" xfId="8" applyNumberFormat="1" applyFont="1" applyFill="1" applyBorder="1" applyAlignment="1">
      <alignment horizontal="center" vertical="center"/>
    </xf>
    <xf numFmtId="173" fontId="24" fillId="0" borderId="0" xfId="8" applyNumberFormat="1" applyFont="1" applyFill="1" applyBorder="1" applyAlignment="1">
      <alignment horizontal="center" vertical="center"/>
    </xf>
    <xf numFmtId="173" fontId="24" fillId="0" borderId="4" xfId="8" applyNumberFormat="1" applyFont="1" applyFill="1" applyBorder="1" applyAlignment="1">
      <alignment horizontal="center" vertical="center"/>
    </xf>
    <xf numFmtId="0" fontId="26" fillId="0" borderId="50" xfId="12" applyFont="1" applyFill="1" applyBorder="1"/>
    <xf numFmtId="0" fontId="8" fillId="0" borderId="17" xfId="8" applyBorder="1"/>
    <xf numFmtId="3" fontId="20" fillId="0" borderId="14" xfId="8" applyNumberFormat="1" applyFont="1" applyFill="1" applyBorder="1" applyAlignment="1">
      <alignment horizontal="right"/>
    </xf>
    <xf numFmtId="173" fontId="24" fillId="0" borderId="17" xfId="8" applyNumberFormat="1" applyFont="1" applyFill="1" applyBorder="1" applyAlignment="1">
      <alignment horizontal="center"/>
    </xf>
    <xf numFmtId="173" fontId="24" fillId="0" borderId="14" xfId="8" applyNumberFormat="1" applyFont="1" applyFill="1" applyBorder="1" applyAlignment="1">
      <alignment horizontal="center"/>
    </xf>
    <xf numFmtId="0" fontId="26" fillId="0" borderId="51" xfId="12" applyFont="1" applyFill="1" applyBorder="1" applyAlignment="1">
      <alignment horizontal="left" indent="1"/>
    </xf>
    <xf numFmtId="0" fontId="8" fillId="0" borderId="6" xfId="8" applyBorder="1"/>
    <xf numFmtId="3" fontId="8" fillId="0" borderId="0" xfId="8" applyNumberFormat="1" applyFont="1" applyFill="1" applyAlignment="1">
      <alignment horizontal="center"/>
    </xf>
    <xf numFmtId="0" fontId="5" fillId="17" borderId="51" xfId="12" applyFill="1" applyBorder="1" applyAlignment="1">
      <alignment horizontal="left" indent="3"/>
    </xf>
    <xf numFmtId="49" fontId="8" fillId="17" borderId="0" xfId="8" applyNumberFormat="1" applyFill="1"/>
    <xf numFmtId="0" fontId="8" fillId="17" borderId="6" xfId="8" applyFill="1" applyBorder="1"/>
    <xf numFmtId="0" fontId="5" fillId="0" borderId="51" xfId="12" applyFill="1" applyBorder="1" applyAlignment="1">
      <alignment horizontal="left" indent="3"/>
    </xf>
    <xf numFmtId="49" fontId="8" fillId="0" borderId="0" xfId="8" quotePrefix="1" applyNumberFormat="1"/>
    <xf numFmtId="0" fontId="43" fillId="0" borderId="6" xfId="11" applyFont="1" applyBorder="1">
      <alignment vertical="top"/>
    </xf>
    <xf numFmtId="49" fontId="8" fillId="17" borderId="0" xfId="8" quotePrefix="1" applyNumberFormat="1" applyFill="1"/>
    <xf numFmtId="49" fontId="43" fillId="0" borderId="0" xfId="11" applyNumberFormat="1" applyFont="1">
      <alignment vertical="top"/>
    </xf>
    <xf numFmtId="49" fontId="43" fillId="0" borderId="0" xfId="11" quotePrefix="1" applyNumberFormat="1" applyFont="1">
      <alignment vertical="top"/>
    </xf>
    <xf numFmtId="3" fontId="8" fillId="0" borderId="22" xfId="12" applyNumberFormat="1" applyFont="1" applyFill="1" applyBorder="1"/>
    <xf numFmtId="49" fontId="8" fillId="0" borderId="0" xfId="8" applyNumberFormat="1" applyBorder="1"/>
    <xf numFmtId="49" fontId="43" fillId="17" borderId="0" xfId="11" applyNumberFormat="1" applyFont="1" applyFill="1">
      <alignment vertical="top"/>
    </xf>
    <xf numFmtId="0" fontId="43" fillId="17" borderId="6" xfId="11" applyFont="1" applyFill="1" applyBorder="1">
      <alignment vertical="top"/>
    </xf>
    <xf numFmtId="49" fontId="8" fillId="0" borderId="0" xfId="8" applyNumberFormat="1"/>
    <xf numFmtId="49" fontId="43" fillId="17" borderId="0" xfId="11" quotePrefix="1" applyNumberFormat="1" applyFont="1" applyFill="1">
      <alignment vertical="top"/>
    </xf>
    <xf numFmtId="0" fontId="26" fillId="0" borderId="52" xfId="12" applyFont="1" applyFill="1" applyBorder="1" applyAlignment="1">
      <alignment horizontal="left" indent="1"/>
    </xf>
    <xf numFmtId="49" fontId="8" fillId="0" borderId="53" xfId="8" applyNumberFormat="1" applyBorder="1"/>
    <xf numFmtId="0" fontId="8" fillId="0" borderId="54" xfId="8" applyBorder="1"/>
    <xf numFmtId="165" fontId="0" fillId="0" borderId="53" xfId="1" applyFont="1" applyBorder="1"/>
    <xf numFmtId="0" fontId="8" fillId="0" borderId="55" xfId="8" applyBorder="1"/>
    <xf numFmtId="0" fontId="8" fillId="0" borderId="0" xfId="8" applyBorder="1"/>
    <xf numFmtId="49" fontId="43" fillId="17" borderId="0" xfId="11" applyNumberFormat="1" applyFont="1" applyFill="1" applyBorder="1">
      <alignment vertical="top"/>
    </xf>
    <xf numFmtId="49" fontId="43" fillId="17" borderId="0" xfId="11" quotePrefix="1" applyNumberFormat="1" applyFont="1" applyFill="1" applyBorder="1">
      <alignment vertical="top"/>
    </xf>
    <xf numFmtId="49" fontId="43" fillId="0" borderId="0" xfId="11" applyNumberFormat="1" applyFont="1" applyBorder="1">
      <alignment vertical="top"/>
    </xf>
    <xf numFmtId="0" fontId="43" fillId="17" borderId="4" xfId="11" applyFont="1" applyFill="1" applyBorder="1">
      <alignment vertical="top"/>
    </xf>
    <xf numFmtId="0" fontId="26" fillId="0" borderId="58" xfId="12" applyFont="1" applyFill="1" applyBorder="1" applyAlignment="1">
      <alignment horizontal="left" indent="1"/>
    </xf>
    <xf numFmtId="49" fontId="8" fillId="0" borderId="30" xfId="8" applyNumberFormat="1" applyBorder="1"/>
    <xf numFmtId="0" fontId="8" fillId="0" borderId="7" xfId="8" applyBorder="1"/>
    <xf numFmtId="0" fontId="8" fillId="0" borderId="29" xfId="8" applyBorder="1"/>
    <xf numFmtId="0" fontId="26" fillId="0" borderId="60" xfId="12" applyFont="1" applyFill="1" applyBorder="1"/>
    <xf numFmtId="49" fontId="8" fillId="0" borderId="61" xfId="8" applyNumberFormat="1" applyBorder="1"/>
    <xf numFmtId="0" fontId="8" fillId="0" borderId="62" xfId="8" applyBorder="1"/>
    <xf numFmtId="0" fontId="18" fillId="0" borderId="0" xfId="8" applyFont="1"/>
    <xf numFmtId="49" fontId="8" fillId="0" borderId="49" xfId="8" applyNumberFormat="1" applyFont="1" applyFill="1" applyBorder="1" applyAlignment="1">
      <alignment horizontal="center" vertical="center" wrapText="1"/>
    </xf>
    <xf numFmtId="172" fontId="0" fillId="0" borderId="6" xfId="1" applyNumberFormat="1" applyFont="1" applyBorder="1"/>
    <xf numFmtId="4" fontId="8" fillId="0" borderId="0" xfId="8" applyNumberFormat="1" applyBorder="1" applyAlignment="1">
      <alignment vertical="top"/>
    </xf>
    <xf numFmtId="3" fontId="8" fillId="0" borderId="6" xfId="8" applyNumberFormat="1" applyBorder="1"/>
    <xf numFmtId="4" fontId="8" fillId="17" borderId="0" xfId="8" applyNumberFormat="1" applyFill="1" applyBorder="1" applyAlignment="1">
      <alignment vertical="top"/>
    </xf>
    <xf numFmtId="4" fontId="8" fillId="0" borderId="53" xfId="8" applyNumberFormat="1" applyBorder="1" applyAlignment="1">
      <alignment vertical="top"/>
    </xf>
    <xf numFmtId="4" fontId="8" fillId="0" borderId="35" xfId="8" applyNumberFormat="1" applyBorder="1" applyAlignment="1">
      <alignment vertical="top"/>
    </xf>
    <xf numFmtId="3" fontId="8" fillId="17" borderId="0" xfId="8" applyNumberFormat="1" applyFill="1" applyBorder="1" applyAlignment="1">
      <alignment vertical="top"/>
    </xf>
    <xf numFmtId="3" fontId="8" fillId="17" borderId="6" xfId="8" applyNumberFormat="1" applyFill="1" applyBorder="1"/>
    <xf numFmtId="3" fontId="8" fillId="0" borderId="30" xfId="8" applyNumberFormat="1" applyBorder="1" applyAlignment="1">
      <alignment vertical="top"/>
    </xf>
    <xf numFmtId="3" fontId="8" fillId="0" borderId="29" xfId="8" applyNumberFormat="1" applyBorder="1" applyAlignment="1">
      <alignment vertical="top"/>
    </xf>
    <xf numFmtId="3" fontId="8" fillId="0" borderId="7" xfId="8" applyNumberFormat="1" applyBorder="1" applyAlignment="1">
      <alignment vertical="top"/>
    </xf>
    <xf numFmtId="3" fontId="8" fillId="0" borderId="0" xfId="8" applyNumberFormat="1" applyBorder="1" applyAlignment="1">
      <alignment vertical="top"/>
    </xf>
    <xf numFmtId="49" fontId="8" fillId="0" borderId="0" xfId="8" applyNumberFormat="1" applyFont="1"/>
    <xf numFmtId="0" fontId="43" fillId="0" borderId="0" xfId="11" applyFont="1">
      <alignment vertical="top"/>
    </xf>
    <xf numFmtId="49" fontId="43" fillId="0" borderId="0" xfId="8" applyNumberFormat="1" applyFont="1" applyAlignment="1">
      <alignment vertical="top"/>
    </xf>
    <xf numFmtId="172" fontId="8" fillId="17" borderId="0" xfId="1" applyNumberFormat="1" applyFill="1"/>
    <xf numFmtId="172" fontId="8" fillId="17" borderId="6" xfId="1" applyNumberFormat="1" applyFill="1" applyBorder="1"/>
    <xf numFmtId="172" fontId="8" fillId="0" borderId="0" xfId="1" applyNumberFormat="1"/>
    <xf numFmtId="172" fontId="8" fillId="0" borderId="0" xfId="1" applyNumberFormat="1" applyBorder="1" applyAlignment="1">
      <alignment vertical="top"/>
    </xf>
    <xf numFmtId="172" fontId="8" fillId="0" borderId="6" xfId="1" applyNumberFormat="1" applyBorder="1"/>
    <xf numFmtId="172" fontId="8" fillId="17" borderId="0" xfId="1" applyNumberFormat="1" applyFill="1" applyBorder="1" applyAlignment="1">
      <alignment vertical="top"/>
    </xf>
    <xf numFmtId="172" fontId="8" fillId="17" borderId="6" xfId="1" applyNumberFormat="1" applyFill="1" applyBorder="1" applyAlignment="1">
      <alignment vertical="top"/>
    </xf>
    <xf numFmtId="172" fontId="8" fillId="0" borderId="6" xfId="1" applyNumberFormat="1" applyBorder="1" applyAlignment="1">
      <alignment vertical="top"/>
    </xf>
    <xf numFmtId="172" fontId="8" fillId="0" borderId="65" xfId="1" applyNumberFormat="1" applyBorder="1"/>
    <xf numFmtId="0" fontId="26" fillId="0" borderId="51" xfId="27" applyFont="1" applyFill="1" applyBorder="1" applyAlignment="1">
      <alignment horizontal="left" indent="1"/>
    </xf>
    <xf numFmtId="0" fontId="4" fillId="17" borderId="51" xfId="27" applyFill="1" applyBorder="1" applyAlignment="1">
      <alignment horizontal="left" indent="3"/>
    </xf>
    <xf numFmtId="0" fontId="4" fillId="0" borderId="51" xfId="27" applyFill="1" applyBorder="1" applyAlignment="1">
      <alignment horizontal="left" indent="3"/>
    </xf>
    <xf numFmtId="3" fontId="8" fillId="0" borderId="0" xfId="8" applyNumberFormat="1"/>
    <xf numFmtId="3" fontId="8" fillId="0" borderId="22" xfId="27" applyNumberFormat="1" applyFont="1" applyFill="1" applyBorder="1"/>
    <xf numFmtId="0" fontId="26" fillId="0" borderId="52" xfId="27" applyFont="1" applyFill="1" applyBorder="1" applyAlignment="1">
      <alignment horizontal="left" indent="1"/>
    </xf>
    <xf numFmtId="0" fontId="26" fillId="0" borderId="58" xfId="27" applyFont="1" applyFill="1" applyBorder="1" applyAlignment="1">
      <alignment horizontal="left" indent="1"/>
    </xf>
    <xf numFmtId="0" fontId="26" fillId="0" borderId="58" xfId="27" applyFont="1" applyFill="1" applyBorder="1"/>
    <xf numFmtId="0" fontId="4" fillId="0" borderId="58" xfId="27" applyFill="1" applyBorder="1"/>
    <xf numFmtId="0" fontId="26" fillId="0" borderId="51" xfId="27" applyFont="1" applyFill="1" applyBorder="1"/>
    <xf numFmtId="0" fontId="4" fillId="9" borderId="51" xfId="27" applyFill="1" applyBorder="1" applyAlignment="1">
      <alignment horizontal="left" indent="3"/>
    </xf>
    <xf numFmtId="49" fontId="8" fillId="9" borderId="0" xfId="8" applyNumberFormat="1" applyFill="1"/>
    <xf numFmtId="0" fontId="43" fillId="9" borderId="0" xfId="11" applyFont="1" applyFill="1">
      <alignment vertical="top"/>
    </xf>
    <xf numFmtId="4" fontId="8" fillId="9" borderId="0" xfId="8" applyNumberFormat="1" applyFill="1" applyBorder="1" applyAlignment="1">
      <alignment vertical="top"/>
    </xf>
    <xf numFmtId="49" fontId="43" fillId="9" borderId="0" xfId="8" applyNumberFormat="1" applyFont="1" applyFill="1" applyAlignment="1">
      <alignment vertical="top"/>
    </xf>
    <xf numFmtId="4" fontId="8" fillId="0" borderId="29" xfId="8" applyNumberFormat="1" applyBorder="1" applyAlignment="1">
      <alignment vertical="top"/>
    </xf>
    <xf numFmtId="4" fontId="8" fillId="0" borderId="7" xfId="8" applyNumberFormat="1" applyBorder="1" applyAlignment="1">
      <alignment vertical="top"/>
    </xf>
    <xf numFmtId="0" fontId="26" fillId="0" borderId="60" xfId="27" applyFont="1" applyFill="1" applyBorder="1" applyAlignment="1">
      <alignment horizontal="left" indent="1"/>
    </xf>
    <xf numFmtId="49" fontId="8" fillId="0" borderId="36" xfId="8" applyNumberFormat="1" applyBorder="1"/>
    <xf numFmtId="0" fontId="8" fillId="0" borderId="36" xfId="8" applyBorder="1"/>
    <xf numFmtId="4" fontId="8" fillId="0" borderId="36" xfId="8" applyNumberFormat="1" applyBorder="1"/>
    <xf numFmtId="4" fontId="8" fillId="0" borderId="66" xfId="8" applyNumberFormat="1" applyBorder="1"/>
    <xf numFmtId="0" fontId="4" fillId="0" borderId="51" xfId="27" applyFill="1" applyBorder="1"/>
    <xf numFmtId="0" fontId="4" fillId="0" borderId="67" xfId="27" applyFill="1" applyBorder="1"/>
    <xf numFmtId="0" fontId="8" fillId="0" borderId="53" xfId="8" applyBorder="1"/>
    <xf numFmtId="0" fontId="0" fillId="0" borderId="0" xfId="0" applyAlignment="1">
      <alignment horizontal="center"/>
    </xf>
    <xf numFmtId="0" fontId="26" fillId="0" borderId="51" xfId="28" applyFont="1" applyFill="1" applyBorder="1" applyAlignment="1">
      <alignment horizontal="left" indent="1"/>
    </xf>
    <xf numFmtId="0" fontId="3" fillId="0" borderId="51" xfId="28" applyFill="1" applyBorder="1" applyAlignment="1">
      <alignment horizontal="left" indent="3"/>
    </xf>
    <xf numFmtId="0" fontId="26" fillId="0" borderId="58" xfId="28" applyFont="1" applyFill="1" applyBorder="1" applyAlignment="1">
      <alignment horizontal="left" indent="1"/>
    </xf>
    <xf numFmtId="49" fontId="8" fillId="0" borderId="0" xfId="8" applyNumberFormat="1" applyFont="1" applyFill="1" applyBorder="1" applyAlignment="1">
      <alignment horizontal="center" vertical="center" wrapText="1"/>
    </xf>
    <xf numFmtId="3" fontId="20" fillId="0" borderId="0" xfId="8" applyNumberFormat="1" applyFont="1" applyFill="1" applyBorder="1" applyAlignment="1">
      <alignment horizontal="center" vertical="center"/>
    </xf>
    <xf numFmtId="3" fontId="34" fillId="0" borderId="0" xfId="8" applyNumberFormat="1" applyFont="1" applyFill="1" applyBorder="1" applyAlignment="1">
      <alignment horizontal="left" vertical="center" indent="1"/>
    </xf>
    <xf numFmtId="0" fontId="3" fillId="9" borderId="51" xfId="28" applyFill="1" applyBorder="1" applyAlignment="1">
      <alignment horizontal="left" indent="3"/>
    </xf>
    <xf numFmtId="0" fontId="26" fillId="0" borderId="60" xfId="28" applyFont="1" applyFill="1" applyBorder="1" applyAlignment="1">
      <alignment horizontal="left" indent="1"/>
    </xf>
    <xf numFmtId="3" fontId="8" fillId="0" borderId="36" xfId="8" applyNumberFormat="1" applyBorder="1"/>
    <xf numFmtId="3" fontId="8" fillId="0" borderId="66" xfId="8" applyNumberFormat="1" applyBorder="1"/>
    <xf numFmtId="0" fontId="9" fillId="0" borderId="0" xfId="0" applyFont="1"/>
    <xf numFmtId="0" fontId="0" fillId="4" borderId="0" xfId="0" applyFill="1"/>
    <xf numFmtId="0" fontId="20" fillId="4" borderId="0" xfId="0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38" fontId="11" fillId="0" borderId="2" xfId="1" applyNumberFormat="1" applyFont="1" applyBorder="1" applyAlignment="1">
      <alignment horizontal="center"/>
    </xf>
    <xf numFmtId="166" fontId="11" fillId="0" borderId="2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11" fillId="0" borderId="3" xfId="0" applyFont="1" applyBorder="1" applyAlignment="1">
      <alignment horizontal="center"/>
    </xf>
    <xf numFmtId="38" fontId="11" fillId="0" borderId="4" xfId="1" applyNumberFormat="1" applyFont="1" applyBorder="1" applyAlignment="1">
      <alignment horizontal="center"/>
    </xf>
    <xf numFmtId="166" fontId="11" fillId="0" borderId="4" xfId="0" applyNumberFormat="1" applyFont="1" applyBorder="1" applyAlignment="1">
      <alignment horizontal="center"/>
    </xf>
    <xf numFmtId="169" fontId="8" fillId="0" borderId="18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38" fontId="10" fillId="0" borderId="4" xfId="1" applyNumberFormat="1" applyFont="1" applyBorder="1" applyAlignment="1">
      <alignment horizontal="center"/>
    </xf>
    <xf numFmtId="38" fontId="10" fillId="0" borderId="6" xfId="1" applyNumberFormat="1" applyFont="1" applyBorder="1"/>
    <xf numFmtId="166" fontId="0" fillId="0" borderId="6" xfId="0" applyNumberFormat="1" applyBorder="1"/>
    <xf numFmtId="169" fontId="11" fillId="0" borderId="0" xfId="1" applyNumberFormat="1" applyFont="1" applyBorder="1"/>
    <xf numFmtId="0" fontId="0" fillId="0" borderId="38" xfId="0" applyBorder="1"/>
    <xf numFmtId="0" fontId="10" fillId="0" borderId="5" xfId="0" applyFont="1" applyFill="1" applyBorder="1"/>
    <xf numFmtId="38" fontId="11" fillId="0" borderId="6" xfId="1" applyNumberFormat="1" applyFont="1" applyFill="1" applyBorder="1"/>
    <xf numFmtId="166" fontId="0" fillId="0" borderId="6" xfId="0" applyNumberFormat="1" applyFill="1" applyBorder="1"/>
    <xf numFmtId="169" fontId="10" fillId="0" borderId="0" xfId="1" applyNumberFormat="1" applyFont="1" applyFill="1" applyBorder="1"/>
    <xf numFmtId="0" fontId="10" fillId="0" borderId="6" xfId="0" applyFont="1" applyBorder="1"/>
    <xf numFmtId="169" fontId="0" fillId="0" borderId="6" xfId="0" applyNumberFormat="1" applyBorder="1"/>
    <xf numFmtId="169" fontId="0" fillId="0" borderId="15" xfId="0" applyNumberFormat="1" applyBorder="1"/>
    <xf numFmtId="169" fontId="0" fillId="0" borderId="38" xfId="0" applyNumberFormat="1" applyBorder="1"/>
    <xf numFmtId="169" fontId="0" fillId="4" borderId="0" xfId="0" applyNumberFormat="1" applyFill="1"/>
    <xf numFmtId="0" fontId="11" fillId="0" borderId="5" xfId="0" applyFont="1" applyFill="1" applyBorder="1"/>
    <xf numFmtId="169" fontId="11" fillId="0" borderId="0" xfId="1" applyNumberFormat="1" applyFont="1" applyFill="1" applyBorder="1"/>
    <xf numFmtId="0" fontId="11" fillId="0" borderId="6" xfId="0" applyFont="1" applyBorder="1"/>
    <xf numFmtId="180" fontId="0" fillId="0" borderId="6" xfId="0" applyNumberFormat="1" applyBorder="1"/>
    <xf numFmtId="180" fontId="0" fillId="0" borderId="15" xfId="0" applyNumberFormat="1" applyBorder="1"/>
    <xf numFmtId="180" fontId="0" fillId="0" borderId="20" xfId="0" applyNumberFormat="1" applyBorder="1"/>
    <xf numFmtId="38" fontId="11" fillId="0" borderId="7" xfId="1" applyNumberFormat="1" applyFont="1" applyFill="1" applyBorder="1"/>
    <xf numFmtId="166" fontId="11" fillId="0" borderId="7" xfId="1" applyNumberFormat="1" applyFont="1" applyFill="1" applyBorder="1"/>
    <xf numFmtId="169" fontId="10" fillId="0" borderId="29" xfId="1" applyNumberFormat="1" applyFont="1" applyFill="1" applyBorder="1"/>
    <xf numFmtId="169" fontId="0" fillId="0" borderId="13" xfId="0" applyNumberFormat="1" applyBorder="1"/>
    <xf numFmtId="180" fontId="0" fillId="0" borderId="7" xfId="0" applyNumberFormat="1" applyBorder="1"/>
    <xf numFmtId="169" fontId="0" fillId="0" borderId="7" xfId="0" applyNumberFormat="1" applyBorder="1"/>
    <xf numFmtId="180" fontId="0" fillId="0" borderId="13" xfId="0" applyNumberFormat="1" applyBorder="1"/>
    <xf numFmtId="180" fontId="0" fillId="0" borderId="27" xfId="0" applyNumberFormat="1" applyBorder="1"/>
    <xf numFmtId="0" fontId="20" fillId="0" borderId="5" xfId="0" applyFont="1" applyBorder="1" applyAlignment="1">
      <alignment horizontal="right"/>
    </xf>
    <xf numFmtId="38" fontId="11" fillId="0" borderId="6" xfId="1" applyNumberFormat="1" applyFont="1" applyBorder="1"/>
    <xf numFmtId="0" fontId="11" fillId="0" borderId="5" xfId="0" applyFont="1" applyBorder="1"/>
    <xf numFmtId="181" fontId="11" fillId="0" borderId="0" xfId="1" applyNumberFormat="1" applyFont="1" applyBorder="1"/>
    <xf numFmtId="182" fontId="11" fillId="0" borderId="0" xfId="1" applyNumberFormat="1" applyFont="1" applyBorder="1"/>
    <xf numFmtId="0" fontId="16" fillId="0" borderId="5" xfId="0" applyFont="1" applyBorder="1"/>
    <xf numFmtId="38" fontId="11" fillId="0" borderId="7" xfId="1" applyNumberFormat="1" applyFont="1" applyBorder="1"/>
    <xf numFmtId="169" fontId="10" fillId="0" borderId="29" xfId="1" applyNumberFormat="1" applyFont="1" applyBorder="1"/>
    <xf numFmtId="0" fontId="16" fillId="0" borderId="6" xfId="0" applyFont="1" applyBorder="1"/>
    <xf numFmtId="0" fontId="10" fillId="0" borderId="6" xfId="0" applyFont="1" applyFill="1" applyBorder="1"/>
    <xf numFmtId="169" fontId="0" fillId="0" borderId="6" xfId="0" applyNumberFormat="1" applyFill="1" applyBorder="1"/>
    <xf numFmtId="180" fontId="0" fillId="0" borderId="6" xfId="0" applyNumberFormat="1" applyFill="1" applyBorder="1"/>
    <xf numFmtId="180" fontId="0" fillId="0" borderId="15" xfId="0" applyNumberFormat="1" applyFill="1" applyBorder="1"/>
    <xf numFmtId="180" fontId="0" fillId="0" borderId="20" xfId="0" applyNumberFormat="1" applyFill="1" applyBorder="1"/>
    <xf numFmtId="38" fontId="0" fillId="0" borderId="0" xfId="0" applyNumberFormat="1" applyFill="1"/>
    <xf numFmtId="169" fontId="0" fillId="0" borderId="0" xfId="0" applyNumberFormat="1" applyFill="1"/>
    <xf numFmtId="0" fontId="16" fillId="0" borderId="5" xfId="0" applyFont="1" applyFill="1" applyBorder="1"/>
    <xf numFmtId="0" fontId="16" fillId="0" borderId="6" xfId="0" applyFont="1" applyFill="1" applyBorder="1"/>
    <xf numFmtId="169" fontId="0" fillId="0" borderId="13" xfId="0" applyNumberFormat="1" applyFill="1" applyBorder="1"/>
    <xf numFmtId="180" fontId="0" fillId="0" borderId="13" xfId="0" applyNumberFormat="1" applyFill="1" applyBorder="1"/>
    <xf numFmtId="169" fontId="0" fillId="0" borderId="7" xfId="0" applyNumberFormat="1" applyFill="1" applyBorder="1"/>
    <xf numFmtId="180" fontId="0" fillId="0" borderId="27" xfId="0" applyNumberFormat="1" applyFill="1" applyBorder="1"/>
    <xf numFmtId="166" fontId="11" fillId="0" borderId="7" xfId="1" applyNumberFormat="1" applyFont="1" applyBorder="1"/>
    <xf numFmtId="166" fontId="11" fillId="0" borderId="13" xfId="0" applyNumberFormat="1" applyFont="1" applyBorder="1"/>
    <xf numFmtId="166" fontId="11" fillId="0" borderId="14" xfId="1" applyNumberFormat="1" applyFont="1" applyBorder="1"/>
    <xf numFmtId="172" fontId="11" fillId="0" borderId="7" xfId="1" applyNumberFormat="1" applyFont="1" applyBorder="1"/>
    <xf numFmtId="172" fontId="10" fillId="0" borderId="29" xfId="1" applyNumberFormat="1" applyFont="1" applyBorder="1"/>
    <xf numFmtId="172" fontId="11" fillId="0" borderId="6" xfId="1" applyNumberFormat="1" applyFont="1" applyBorder="1"/>
    <xf numFmtId="172" fontId="10" fillId="0" borderId="0" xfId="1" applyNumberFormat="1" applyFont="1" applyBorder="1"/>
    <xf numFmtId="172" fontId="11" fillId="0" borderId="6" xfId="1" applyNumberFormat="1" applyFont="1" applyFill="1" applyBorder="1"/>
    <xf numFmtId="172" fontId="10" fillId="0" borderId="0" xfId="1" applyNumberFormat="1" applyFont="1" applyFill="1" applyBorder="1"/>
    <xf numFmtId="172" fontId="11" fillId="0" borderId="7" xfId="1" applyNumberFormat="1" applyFont="1" applyFill="1" applyBorder="1"/>
    <xf numFmtId="172" fontId="10" fillId="0" borderId="29" xfId="1" applyNumberFormat="1" applyFont="1" applyFill="1" applyBorder="1"/>
    <xf numFmtId="169" fontId="11" fillId="0" borderId="29" xfId="1" applyNumberFormat="1" applyFont="1" applyBorder="1"/>
    <xf numFmtId="166" fontId="0" fillId="0" borderId="6" xfId="1" applyNumberFormat="1" applyFont="1" applyFill="1" applyBorder="1"/>
    <xf numFmtId="166" fontId="0" fillId="0" borderId="6" xfId="1" applyNumberFormat="1" applyFont="1" applyBorder="1"/>
    <xf numFmtId="0" fontId="8" fillId="0" borderId="0" xfId="0" applyFont="1" applyAlignment="1">
      <alignment horizontal="right"/>
    </xf>
    <xf numFmtId="183" fontId="25" fillId="0" borderId="0" xfId="3" applyNumberFormat="1" applyFont="1"/>
    <xf numFmtId="0" fontId="25" fillId="0" borderId="0" xfId="8" applyFont="1" applyAlignment="1">
      <alignment horizontal="right"/>
    </xf>
    <xf numFmtId="0" fontId="8" fillId="0" borderId="0" xfId="8" applyAlignment="1">
      <alignment horizontal="right"/>
    </xf>
    <xf numFmtId="1" fontId="8" fillId="0" borderId="0" xfId="8" applyNumberFormat="1"/>
    <xf numFmtId="170" fontId="8" fillId="0" borderId="0" xfId="1" applyNumberFormat="1"/>
    <xf numFmtId="172" fontId="8" fillId="0" borderId="0" xfId="1" applyNumberFormat="1" applyBorder="1"/>
    <xf numFmtId="170" fontId="8" fillId="0" borderId="0" xfId="1" applyNumberFormat="1" applyBorder="1"/>
    <xf numFmtId="172" fontId="8" fillId="0" borderId="30" xfId="1" applyNumberFormat="1" applyBorder="1"/>
    <xf numFmtId="172" fontId="8" fillId="0" borderId="29" xfId="1" applyNumberFormat="1" applyBorder="1"/>
    <xf numFmtId="172" fontId="8" fillId="0" borderId="59" xfId="1" applyNumberFormat="1" applyBorder="1"/>
    <xf numFmtId="172" fontId="8" fillId="0" borderId="63" xfId="1" applyNumberFormat="1" applyBorder="1"/>
    <xf numFmtId="172" fontId="8" fillId="0" borderId="64" xfId="1" applyNumberFormat="1" applyBorder="1"/>
    <xf numFmtId="3" fontId="8" fillId="0" borderId="0" xfId="1" applyNumberFormat="1" applyBorder="1" applyAlignment="1">
      <alignment vertical="top"/>
    </xf>
    <xf numFmtId="172" fontId="8" fillId="9" borderId="0" xfId="1" applyNumberFormat="1" applyFill="1" applyBorder="1" applyAlignment="1">
      <alignment vertical="top"/>
    </xf>
    <xf numFmtId="170" fontId="8" fillId="0" borderId="0" xfId="1" applyNumberFormat="1" applyBorder="1" applyAlignment="1">
      <alignment vertical="top"/>
    </xf>
    <xf numFmtId="3" fontId="8" fillId="9" borderId="0" xfId="8" applyNumberFormat="1" applyFill="1" applyBorder="1" applyAlignment="1">
      <alignment vertical="top"/>
    </xf>
    <xf numFmtId="3" fontId="8" fillId="9" borderId="0" xfId="1" applyNumberFormat="1" applyFill="1" applyBorder="1" applyAlignment="1">
      <alignment vertical="top"/>
    </xf>
    <xf numFmtId="3" fontId="8" fillId="0" borderId="0" xfId="8" applyNumberFormat="1" applyFill="1" applyBorder="1" applyAlignment="1">
      <alignment vertical="top"/>
    </xf>
    <xf numFmtId="3" fontId="25" fillId="0" borderId="0" xfId="8" applyNumberFormat="1" applyFont="1" applyFill="1" applyBorder="1" applyAlignment="1">
      <alignment horizontal="right" vertical="center" indent="3"/>
    </xf>
    <xf numFmtId="170" fontId="0" fillId="3" borderId="0" xfId="1" applyNumberFormat="1" applyFont="1" applyFill="1"/>
    <xf numFmtId="0" fontId="43" fillId="18" borderId="6" xfId="11" applyFont="1" applyFill="1" applyBorder="1">
      <alignment vertical="top"/>
    </xf>
    <xf numFmtId="3" fontId="24" fillId="0" borderId="14" xfId="8" applyNumberFormat="1" applyFont="1" applyFill="1" applyBorder="1" applyAlignment="1">
      <alignment horizontal="center"/>
    </xf>
    <xf numFmtId="0" fontId="2" fillId="0" borderId="45" xfId="8" applyFont="1" applyBorder="1" applyAlignment="1">
      <alignment horizontal="left"/>
    </xf>
    <xf numFmtId="172" fontId="2" fillId="0" borderId="67" xfId="1" applyNumberFormat="1" applyFont="1" applyFill="1" applyBorder="1"/>
    <xf numFmtId="172" fontId="2" fillId="0" borderId="34" xfId="1" applyNumberFormat="1" applyFont="1" applyFill="1" applyBorder="1"/>
    <xf numFmtId="0" fontId="44" fillId="0" borderId="0" xfId="0" applyFont="1"/>
    <xf numFmtId="9" fontId="0" fillId="0" borderId="0" xfId="3" applyFont="1"/>
    <xf numFmtId="165" fontId="8" fillId="0" borderId="0" xfId="1"/>
    <xf numFmtId="172" fontId="0" fillId="0" borderId="35" xfId="1" applyNumberFormat="1" applyFont="1" applyBorder="1"/>
    <xf numFmtId="172" fontId="8" fillId="0" borderId="56" xfId="1" applyNumberFormat="1" applyBorder="1"/>
    <xf numFmtId="172" fontId="8" fillId="0" borderId="57" xfId="1" applyNumberFormat="1" applyBorder="1"/>
    <xf numFmtId="172" fontId="0" fillId="0" borderId="57" xfId="1" applyNumberFormat="1" applyFont="1" applyBorder="1"/>
    <xf numFmtId="0" fontId="1" fillId="0" borderId="45" xfId="0" applyFont="1" applyBorder="1" applyAlignment="1">
      <alignment horizontal="left"/>
    </xf>
    <xf numFmtId="3" fontId="0" fillId="0" borderId="0" xfId="0" applyNumberFormat="1" applyFill="1" applyBorder="1"/>
    <xf numFmtId="0" fontId="0" fillId="0" borderId="22" xfId="0" applyBorder="1"/>
    <xf numFmtId="0" fontId="11" fillId="0" borderId="22" xfId="0" applyFont="1" applyBorder="1"/>
    <xf numFmtId="38" fontId="11" fillId="0" borderId="17" xfId="1" applyNumberFormat="1" applyFont="1" applyBorder="1"/>
    <xf numFmtId="38" fontId="11" fillId="0" borderId="0" xfId="1" applyNumberFormat="1" applyFont="1" applyBorder="1"/>
    <xf numFmtId="9" fontId="0" fillId="0" borderId="0" xfId="3" applyFont="1" applyBorder="1"/>
    <xf numFmtId="3" fontId="20" fillId="0" borderId="0" xfId="8" applyNumberFormat="1" applyFont="1"/>
    <xf numFmtId="3" fontId="20" fillId="0" borderId="0" xfId="0" applyNumberFormat="1" applyFont="1"/>
    <xf numFmtId="172" fontId="20" fillId="0" borderId="0" xfId="1" applyNumberFormat="1" applyFont="1"/>
    <xf numFmtId="172" fontId="20" fillId="0" borderId="0" xfId="0" applyNumberFormat="1" applyFont="1"/>
    <xf numFmtId="170" fontId="20" fillId="0" borderId="0" xfId="0" applyNumberFormat="1" applyFont="1"/>
    <xf numFmtId="172" fontId="0" fillId="0" borderId="18" xfId="1" applyNumberFormat="1" applyFont="1" applyBorder="1"/>
    <xf numFmtId="172" fontId="20" fillId="0" borderId="18" xfId="1" applyNumberFormat="1" applyFont="1" applyBorder="1"/>
    <xf numFmtId="0" fontId="45" fillId="0" borderId="0" xfId="7" applyFont="1" applyFill="1" applyBorder="1" applyAlignment="1" applyProtection="1"/>
    <xf numFmtId="165" fontId="0" fillId="0" borderId="0" xfId="1" applyFont="1" applyProtection="1">
      <protection locked="0"/>
    </xf>
    <xf numFmtId="43" fontId="8" fillId="0" borderId="0" xfId="1" applyNumberFormat="1" applyBorder="1"/>
    <xf numFmtId="172" fontId="8" fillId="0" borderId="0" xfId="1" applyNumberFormat="1" applyFill="1" applyBorder="1"/>
    <xf numFmtId="172" fontId="8" fillId="0" borderId="0" xfId="8" applyNumberFormat="1"/>
    <xf numFmtId="0" fontId="20" fillId="0" borderId="0" xfId="8" applyFont="1"/>
    <xf numFmtId="3" fontId="8" fillId="0" borderId="0" xfId="0" applyNumberFormat="1" applyFont="1" applyFill="1" applyBorder="1"/>
    <xf numFmtId="3" fontId="30" fillId="0" borderId="0" xfId="7" applyNumberFormat="1" applyFont="1" applyFill="1" applyBorder="1" applyAlignment="1" applyProtection="1"/>
    <xf numFmtId="3" fontId="17" fillId="0" borderId="0" xfId="0" applyNumberFormat="1" applyFont="1" applyFill="1" applyBorder="1"/>
    <xf numFmtId="3" fontId="8" fillId="0" borderId="1" xfId="0" applyNumberFormat="1" applyFont="1" applyFill="1" applyBorder="1"/>
    <xf numFmtId="3" fontId="8" fillId="0" borderId="2" xfId="0" applyNumberFormat="1" applyFont="1" applyFill="1" applyBorder="1"/>
    <xf numFmtId="3" fontId="24" fillId="0" borderId="2" xfId="0" applyNumberFormat="1" applyFont="1" applyFill="1" applyBorder="1" applyAlignment="1">
      <alignment horizontal="center"/>
    </xf>
    <xf numFmtId="3" fontId="20" fillId="0" borderId="11" xfId="0" applyNumberFormat="1" applyFont="1" applyFill="1" applyBorder="1" applyAlignment="1">
      <alignment horizontal="center"/>
    </xf>
    <xf numFmtId="3" fontId="18" fillId="0" borderId="3" xfId="0" applyNumberFormat="1" applyFont="1" applyFill="1" applyBorder="1" applyAlignment="1">
      <alignment horizontal="center"/>
    </xf>
    <xf numFmtId="3" fontId="21" fillId="0" borderId="4" xfId="0" applyNumberFormat="1" applyFont="1" applyFill="1" applyBorder="1" applyAlignment="1">
      <alignment horizontal="center"/>
    </xf>
    <xf numFmtId="3" fontId="20" fillId="0" borderId="4" xfId="0" applyNumberFormat="1" applyFont="1" applyFill="1" applyBorder="1" applyAlignment="1">
      <alignment horizontal="center"/>
    </xf>
    <xf numFmtId="1" fontId="20" fillId="0" borderId="12" xfId="0" applyNumberFormat="1" applyFont="1" applyFill="1" applyBorder="1" applyAlignment="1">
      <alignment horizontal="center"/>
    </xf>
    <xf numFmtId="3" fontId="20" fillId="0" borderId="3" xfId="0" applyNumberFormat="1" applyFont="1" applyFill="1" applyBorder="1" applyAlignment="1">
      <alignment horizontal="right"/>
    </xf>
    <xf numFmtId="3" fontId="20" fillId="0" borderId="4" xfId="0" applyNumberFormat="1" applyFont="1" applyFill="1" applyBorder="1" applyAlignment="1">
      <alignment horizontal="right"/>
    </xf>
    <xf numFmtId="3" fontId="20" fillId="0" borderId="4" xfId="0" applyNumberFormat="1" applyFont="1" applyFill="1" applyBorder="1"/>
    <xf numFmtId="173" fontId="24" fillId="0" borderId="4" xfId="0" applyNumberFormat="1" applyFont="1" applyFill="1" applyBorder="1" applyAlignment="1">
      <alignment horizontal="center"/>
    </xf>
    <xf numFmtId="173" fontId="24" fillId="0" borderId="12" xfId="0" applyNumberFormat="1" applyFont="1" applyFill="1" applyBorder="1" applyAlignment="1">
      <alignment horizontal="center"/>
    </xf>
    <xf numFmtId="3" fontId="20" fillId="0" borderId="5" xfId="0" applyNumberFormat="1" applyFont="1" applyFill="1" applyBorder="1" applyAlignment="1">
      <alignment horizontal="right"/>
    </xf>
    <xf numFmtId="3" fontId="20" fillId="0" borderId="6" xfId="0" applyNumberFormat="1" applyFont="1" applyFill="1" applyBorder="1" applyAlignment="1">
      <alignment horizontal="right"/>
    </xf>
    <xf numFmtId="3" fontId="20" fillId="0" borderId="6" xfId="0" applyNumberFormat="1" applyFont="1" applyFill="1" applyBorder="1"/>
    <xf numFmtId="3" fontId="24" fillId="0" borderId="6" xfId="0" applyNumberFormat="1" applyFont="1" applyFill="1" applyBorder="1" applyAlignment="1">
      <alignment horizontal="center"/>
    </xf>
    <xf numFmtId="173" fontId="24" fillId="0" borderId="38" xfId="0" applyNumberFormat="1" applyFont="1" applyFill="1" applyBorder="1" applyAlignment="1">
      <alignment horizontal="center"/>
    </xf>
    <xf numFmtId="3" fontId="19" fillId="0" borderId="5" xfId="0" applyNumberFormat="1" applyFont="1" applyFill="1" applyBorder="1" applyAlignment="1">
      <alignment horizontal="right"/>
    </xf>
    <xf numFmtId="3" fontId="19" fillId="0" borderId="6" xfId="0" applyNumberFormat="1" applyFont="1" applyFill="1" applyBorder="1" applyAlignment="1">
      <alignment horizontal="right"/>
    </xf>
    <xf numFmtId="3" fontId="19" fillId="0" borderId="6" xfId="0" applyNumberFormat="1" applyFont="1" applyFill="1" applyBorder="1"/>
    <xf numFmtId="41" fontId="19" fillId="0" borderId="6" xfId="0" applyNumberFormat="1" applyFont="1" applyFill="1" applyBorder="1"/>
    <xf numFmtId="41" fontId="19" fillId="0" borderId="38" xfId="0" applyNumberFormat="1" applyFont="1" applyFill="1" applyBorder="1"/>
    <xf numFmtId="3" fontId="19" fillId="19" borderId="5" xfId="0" applyNumberFormat="1" applyFont="1" applyFill="1" applyBorder="1" applyAlignment="1">
      <alignment horizontal="right"/>
    </xf>
    <xf numFmtId="3" fontId="9" fillId="0" borderId="5" xfId="0" applyNumberFormat="1" applyFont="1" applyFill="1" applyBorder="1"/>
    <xf numFmtId="3" fontId="9" fillId="0" borderId="6" xfId="0" applyNumberFormat="1" applyFont="1" applyFill="1" applyBorder="1"/>
    <xf numFmtId="3" fontId="19" fillId="0" borderId="38" xfId="0" applyNumberFormat="1" applyFont="1" applyFill="1" applyBorder="1"/>
    <xf numFmtId="9" fontId="9" fillId="0" borderId="6" xfId="0" applyNumberFormat="1" applyFont="1" applyFill="1" applyBorder="1"/>
    <xf numFmtId="3" fontId="19" fillId="0" borderId="5" xfId="0" applyNumberFormat="1" applyFont="1" applyFill="1" applyBorder="1"/>
    <xf numFmtId="4" fontId="19" fillId="0" borderId="6" xfId="0" applyNumberFormat="1" applyFont="1" applyFill="1" applyBorder="1"/>
    <xf numFmtId="41" fontId="9" fillId="0" borderId="38" xfId="0" applyNumberFormat="1" applyFont="1" applyFill="1" applyBorder="1"/>
    <xf numFmtId="9" fontId="9" fillId="0" borderId="6" xfId="3" applyNumberFormat="1" applyFont="1" applyFill="1" applyBorder="1"/>
    <xf numFmtId="41" fontId="22" fillId="0" borderId="38" xfId="0" applyNumberFormat="1" applyFont="1" applyFill="1" applyBorder="1"/>
    <xf numFmtId="3" fontId="9" fillId="0" borderId="5" xfId="0" applyNumberFormat="1" applyFont="1" applyFill="1" applyBorder="1" applyAlignment="1">
      <alignment horizontal="left"/>
    </xf>
    <xf numFmtId="3" fontId="9" fillId="0" borderId="6" xfId="0" applyNumberFormat="1" applyFont="1" applyFill="1" applyBorder="1" applyAlignment="1">
      <alignment horizontal="left"/>
    </xf>
    <xf numFmtId="178" fontId="19" fillId="0" borderId="6" xfId="0" applyNumberFormat="1" applyFont="1" applyFill="1" applyBorder="1"/>
    <xf numFmtId="184" fontId="19" fillId="0" borderId="6" xfId="0" applyNumberFormat="1" applyFont="1" applyFill="1" applyBorder="1"/>
    <xf numFmtId="4" fontId="9" fillId="0" borderId="6" xfId="0" applyNumberFormat="1" applyFont="1" applyFill="1" applyBorder="1"/>
    <xf numFmtId="4" fontId="9" fillId="0" borderId="38" xfId="0" applyNumberFormat="1" applyFont="1" applyFill="1" applyBorder="1"/>
    <xf numFmtId="4" fontId="19" fillId="0" borderId="20" xfId="0" applyNumberFormat="1" applyFont="1" applyFill="1" applyBorder="1"/>
    <xf numFmtId="3" fontId="19" fillId="0" borderId="20" xfId="0" applyNumberFormat="1" applyFont="1" applyFill="1" applyBorder="1"/>
    <xf numFmtId="173" fontId="9" fillId="0" borderId="6" xfId="0" applyNumberFormat="1" applyFont="1" applyFill="1" applyBorder="1"/>
    <xf numFmtId="171" fontId="19" fillId="0" borderId="6" xfId="3" applyNumberFormat="1" applyFont="1" applyFill="1" applyBorder="1"/>
    <xf numFmtId="10" fontId="19" fillId="0" borderId="38" xfId="3" applyNumberFormat="1" applyFont="1" applyFill="1" applyBorder="1"/>
    <xf numFmtId="10" fontId="19" fillId="0" borderId="6" xfId="3" applyNumberFormat="1" applyFont="1" applyFill="1" applyBorder="1"/>
    <xf numFmtId="3" fontId="9" fillId="0" borderId="38" xfId="0" applyNumberFormat="1" applyFont="1" applyFill="1" applyBorder="1"/>
    <xf numFmtId="185" fontId="19" fillId="0" borderId="6" xfId="1" applyNumberFormat="1" applyFont="1" applyFill="1" applyBorder="1"/>
    <xf numFmtId="177" fontId="19" fillId="0" borderId="6" xfId="1" applyNumberFormat="1" applyFont="1" applyFill="1" applyBorder="1"/>
    <xf numFmtId="165" fontId="19" fillId="0" borderId="6" xfId="1" applyFont="1" applyFill="1" applyBorder="1"/>
    <xf numFmtId="183" fontId="19" fillId="0" borderId="6" xfId="1" applyNumberFormat="1" applyFont="1" applyFill="1" applyBorder="1"/>
    <xf numFmtId="175" fontId="19" fillId="0" borderId="6" xfId="0" applyNumberFormat="1" applyFont="1" applyFill="1" applyBorder="1"/>
    <xf numFmtId="3" fontId="9" fillId="0" borderId="7" xfId="0" applyNumberFormat="1" applyFont="1" applyFill="1" applyBorder="1"/>
    <xf numFmtId="3" fontId="9" fillId="0" borderId="26" xfId="0" applyNumberFormat="1" applyFont="1" applyFill="1" applyBorder="1"/>
    <xf numFmtId="4" fontId="19" fillId="0" borderId="38" xfId="0" applyNumberFormat="1" applyFont="1" applyFill="1" applyBorder="1"/>
    <xf numFmtId="3" fontId="9" fillId="0" borderId="8" xfId="0" applyNumberFormat="1" applyFont="1" applyFill="1" applyBorder="1"/>
    <xf numFmtId="3" fontId="9" fillId="0" borderId="9" xfId="0" applyNumberFormat="1" applyFont="1" applyFill="1" applyBorder="1"/>
    <xf numFmtId="3" fontId="9" fillId="0" borderId="19" xfId="0" applyNumberFormat="1" applyFont="1" applyFill="1" applyBorder="1"/>
    <xf numFmtId="3" fontId="9" fillId="0" borderId="28" xfId="0" applyNumberFormat="1" applyFont="1" applyFill="1" applyBorder="1"/>
    <xf numFmtId="3" fontId="8" fillId="0" borderId="0" xfId="0" applyNumberFormat="1" applyFont="1" applyFill="1" applyAlignment="1">
      <alignment horizontal="center"/>
    </xf>
    <xf numFmtId="0" fontId="43" fillId="0" borderId="6" xfId="11" applyFont="1" applyFill="1" applyBorder="1">
      <alignment vertical="top"/>
    </xf>
    <xf numFmtId="3" fontId="19" fillId="0" borderId="22" xfId="0" applyNumberFormat="1" applyFont="1" applyFill="1" applyBorder="1"/>
    <xf numFmtId="3" fontId="9" fillId="0" borderId="68" xfId="0" applyNumberFormat="1" applyFont="1" applyFill="1" applyBorder="1"/>
    <xf numFmtId="49" fontId="43" fillId="0" borderId="68" xfId="11" applyNumberFormat="1" applyFont="1" applyFill="1" applyBorder="1">
      <alignment vertical="top"/>
    </xf>
    <xf numFmtId="49" fontId="43" fillId="0" borderId="68" xfId="8" applyNumberFormat="1" applyFont="1" applyFill="1" applyBorder="1" applyAlignment="1">
      <alignment vertical="top"/>
    </xf>
    <xf numFmtId="49" fontId="8" fillId="0" borderId="68" xfId="8" applyNumberFormat="1" applyFill="1" applyBorder="1"/>
    <xf numFmtId="0" fontId="1" fillId="0" borderId="69" xfId="0" applyFont="1" applyFill="1" applyBorder="1" applyAlignment="1">
      <alignment horizontal="left"/>
    </xf>
    <xf numFmtId="3" fontId="19" fillId="0" borderId="68" xfId="0" applyNumberFormat="1" applyFont="1" applyFill="1" applyBorder="1"/>
    <xf numFmtId="0" fontId="43" fillId="0" borderId="6" xfId="11" applyFont="1" applyFill="1" applyBorder="1" applyAlignment="1">
      <alignment vertical="top" wrapText="1"/>
    </xf>
    <xf numFmtId="0" fontId="3" fillId="0" borderId="5" xfId="28" applyFill="1" applyBorder="1" applyAlignment="1">
      <alignment horizontal="left" indent="3"/>
    </xf>
    <xf numFmtId="3" fontId="19" fillId="0" borderId="5" xfId="8" applyNumberFormat="1" applyFont="1" applyFill="1" applyBorder="1"/>
    <xf numFmtId="3" fontId="19" fillId="0" borderId="6" xfId="8" applyNumberFormat="1" applyFont="1" applyFill="1" applyBorder="1"/>
    <xf numFmtId="41" fontId="0" fillId="0" borderId="0" xfId="0" applyNumberFormat="1"/>
    <xf numFmtId="169" fontId="8" fillId="0" borderId="12" xfId="0" applyNumberFormat="1" applyFont="1" applyBorder="1" applyAlignment="1">
      <alignment horizontal="center"/>
    </xf>
    <xf numFmtId="169" fontId="11" fillId="0" borderId="38" xfId="1" applyNumberFormat="1" applyFont="1" applyBorder="1"/>
    <xf numFmtId="169" fontId="10" fillId="0" borderId="38" xfId="1" applyNumberFormat="1" applyFont="1" applyFill="1" applyBorder="1"/>
    <xf numFmtId="169" fontId="11" fillId="0" borderId="38" xfId="1" applyNumberFormat="1" applyFont="1" applyFill="1" applyBorder="1"/>
    <xf numFmtId="169" fontId="10" fillId="0" borderId="26" xfId="1" applyNumberFormat="1" applyFont="1" applyFill="1" applyBorder="1"/>
    <xf numFmtId="172" fontId="10" fillId="0" borderId="26" xfId="1" applyNumberFormat="1" applyFont="1" applyBorder="1"/>
    <xf numFmtId="172" fontId="10" fillId="0" borderId="38" xfId="1" applyNumberFormat="1" applyFont="1" applyBorder="1"/>
    <xf numFmtId="172" fontId="10" fillId="0" borderId="38" xfId="1" applyNumberFormat="1" applyFont="1" applyFill="1" applyBorder="1"/>
    <xf numFmtId="172" fontId="10" fillId="0" borderId="26" xfId="1" applyNumberFormat="1" applyFont="1" applyFill="1" applyBorder="1"/>
    <xf numFmtId="169" fontId="10" fillId="0" borderId="26" xfId="1" applyNumberFormat="1" applyFont="1" applyBorder="1"/>
    <xf numFmtId="169" fontId="11" fillId="0" borderId="26" xfId="1" applyNumberFormat="1" applyFont="1" applyBorder="1"/>
    <xf numFmtId="186" fontId="20" fillId="0" borderId="13" xfId="0" applyNumberFormat="1" applyFont="1" applyFill="1" applyBorder="1" applyAlignment="1">
      <alignment horizontal="left"/>
    </xf>
    <xf numFmtId="9" fontId="8" fillId="0" borderId="0" xfId="8" applyNumberFormat="1"/>
    <xf numFmtId="185" fontId="8" fillId="0" borderId="0" xfId="1" applyNumberFormat="1"/>
    <xf numFmtId="187" fontId="8" fillId="0" borderId="0" xfId="8" applyNumberFormat="1"/>
    <xf numFmtId="185" fontId="0" fillId="0" borderId="0" xfId="1" applyNumberFormat="1" applyFont="1"/>
    <xf numFmtId="0" fontId="0" fillId="17" borderId="70" xfId="0" applyFill="1" applyBorder="1" applyAlignment="1">
      <alignment horizontal="center" wrapText="1"/>
    </xf>
    <xf numFmtId="0" fontId="0" fillId="17" borderId="50" xfId="0" applyFill="1" applyBorder="1" applyAlignment="1">
      <alignment horizontal="center" wrapText="1"/>
    </xf>
    <xf numFmtId="0" fontId="0" fillId="3" borderId="71" xfId="0" applyFill="1" applyBorder="1" applyAlignment="1">
      <alignment horizontal="center"/>
    </xf>
    <xf numFmtId="49" fontId="0" fillId="3" borderId="71" xfId="0" applyNumberFormat="1" applyFill="1" applyBorder="1" applyAlignment="1">
      <alignment horizontal="center"/>
    </xf>
    <xf numFmtId="0" fontId="0" fillId="3" borderId="7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Protection="1">
      <protection hidden="1"/>
    </xf>
    <xf numFmtId="172" fontId="0" fillId="4" borderId="0" xfId="1" applyNumberFormat="1" applyFont="1" applyFill="1"/>
    <xf numFmtId="172" fontId="0" fillId="4" borderId="0" xfId="1" applyNumberFormat="1" applyFont="1" applyFill="1" applyAlignment="1">
      <alignment horizontal="center"/>
    </xf>
    <xf numFmtId="1" fontId="0" fillId="0" borderId="0" xfId="0" applyNumberFormat="1"/>
    <xf numFmtId="188" fontId="0" fillId="0" borderId="0" xfId="0" applyNumberFormat="1"/>
    <xf numFmtId="0" fontId="18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</cellXfs>
  <cellStyles count="29">
    <cellStyle name="=C:\WINNT\SYSTEM32\COMMAND.COM" xfId="13"/>
    <cellStyle name="=C:\WINNT\SYSTEM32\COMMAND.COM 2" xfId="14"/>
    <cellStyle name="Date" xfId="15"/>
    <cellStyle name="Day" xfId="16"/>
    <cellStyle name="Hipervínculo" xfId="7" builtinId="8"/>
    <cellStyle name="Millares" xfId="1" builtinId="3"/>
    <cellStyle name="Millares 2" xfId="4"/>
    <cellStyle name="Millares 2 2" xfId="17"/>
    <cellStyle name="Millares 3" xfId="9"/>
    <cellStyle name="Millares 4" xfId="18"/>
    <cellStyle name="Millares 5" xfId="19"/>
    <cellStyle name="Moneda" xfId="2" builtinId="4"/>
    <cellStyle name="Moneda 2" xfId="6"/>
    <cellStyle name="Normal" xfId="0" builtinId="0"/>
    <cellStyle name="Normal 2" xfId="5"/>
    <cellStyle name="Normal 2 2" xfId="20"/>
    <cellStyle name="Normal 3" xfId="8"/>
    <cellStyle name="Normal 3 2" xfId="21"/>
    <cellStyle name="Normal 4" xfId="10"/>
    <cellStyle name="Normal 4 2" xfId="22"/>
    <cellStyle name="Normal 5" xfId="11"/>
    <cellStyle name="Normal 5 2" xfId="23"/>
    <cellStyle name="Normal 6" xfId="12"/>
    <cellStyle name="Normal 6 2" xfId="27"/>
    <cellStyle name="Normal 6 3" xfId="28"/>
    <cellStyle name="Normal 8" xfId="24"/>
    <cellStyle name="Normal 8 2" xfId="25"/>
    <cellStyle name="Porcentaje" xfId="3" builtinId="5"/>
    <cellStyle name="Porcentaje 2" xf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12700</xdr:rowOff>
    </xdr:from>
    <xdr:to>
      <xdr:col>5</xdr:col>
      <xdr:colOff>504825</xdr:colOff>
      <xdr:row>23</xdr:row>
      <xdr:rowOff>12700</xdr:rowOff>
    </xdr:to>
    <xdr:pic>
      <xdr:nvPicPr>
        <xdr:cNvPr id="2" name="Imagen 1" descr="Descripción: Descripción: Descripción: Descripción: tbknewno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064000"/>
          <a:ext cx="1266825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ermo%20Rodr&#237;guez/Documents/presupuesto/Definitivo%209_Dic_2008/Ppto_2009_Opci&#243;n_GG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ermo%20Rodr&#237;guez/Dropbox/Presupuesto%202014/Pres-2014-V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ermo%20Rodr&#237;guez/Dropbox/Presupuesto%202014/C&#233;dulas/Pres-2014-V%200%20(TBK%20RAMOS%20%20V%201.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lermo/Dropbox/Financieros/2014/Mayo/Edo%20de%20Resultados%20Por%20UN%20Mayo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Contenido"/>
      <sheetName val="Resumen Ejecutivo"/>
      <sheetName val="Información Macroeconomica"/>
      <sheetName val="Cifras Sobresalientes"/>
      <sheetName val="Comparativo de Resultados"/>
      <sheetName val="Comparativo de Resultados Reex"/>
      <sheetName val="Balance y Razones Financieras"/>
      <sheetName val="Volumenes y Unidades"/>
      <sheetName val="No. de Personas y Klms."/>
      <sheetName val="No. de Personas Calendarizado"/>
      <sheetName val="Inversiones"/>
      <sheetName val="Estado de Resultados"/>
      <sheetName val="Estado de Resultados Ajustes"/>
      <sheetName val="Estado de Resultados Reexpresad"/>
      <sheetName val="Balance Presupuestado"/>
      <sheetName val="Presup. de Flujo de Caja"/>
      <sheetName val="Costo de Operación"/>
      <sheetName val="Gastos de Administración"/>
      <sheetName val="Gastos y Productos Ordinarios"/>
      <sheetName val="Gastos y Productos Financieros"/>
      <sheetName val="Efectivo2008"/>
      <sheetName val="Créditos"/>
      <sheetName val="Depreciación 2008"/>
      <sheetName val="Sueldos 2008"/>
      <sheetName val="Plantilla"/>
      <sheetName val="ANALISIS 2006-2007"/>
      <sheetName val="Operdores y Admtvs_nov'08"/>
      <sheetName val="Equipo"/>
      <sheetName val="VOLUMENES"/>
      <sheetName val="Validación_Tarifa_Ppto"/>
      <sheetName val="Distribución_Equipo"/>
      <sheetName val="Operación_2005"/>
      <sheetName val="VOLUMENES (3)"/>
      <sheetName val="VOLUMENESviejos al CIE"/>
      <sheetName val="INPC"/>
      <sheetName val="Bases Macroeconomicas"/>
      <sheetName val="Inversiones Areas 2009"/>
      <sheetName val="Arrendamiento_Cómp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9">
          <cell r="C109">
            <v>0.15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>
        <row r="44">
          <cell r="E44">
            <v>23</v>
          </cell>
        </row>
        <row r="196">
          <cell r="D196">
            <v>2.1120000000000001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Contenido"/>
      <sheetName val="Información Macroeconómica"/>
      <sheetName val="Cifras Sobresalientes"/>
      <sheetName val="Comparativo de resultados hist"/>
      <sheetName val="Edo rdo ejercicio ante"/>
      <sheetName val="Balance y Razones"/>
      <sheetName val="Balance ejer ant"/>
      <sheetName val="Volumen Presupuesto"/>
      <sheetName val="Personal y KMS Recorridos"/>
      <sheetName val="Edo.Res.detalle"/>
      <sheetName val="balance_detalle"/>
      <sheetName val="MovFondos"/>
      <sheetName val="Depreciación"/>
      <sheetName val="Premisas Presupuesto 2013"/>
      <sheetName val="inversion-detalle"/>
      <sheetName val="Balance2011"/>
      <sheetName val="Cuentas de Balance"/>
      <sheetName val="Mov.Fondoshoja7"/>
      <sheetName val="detalle-indicadores"/>
      <sheetName val="Ind.Finan.hoja8"/>
      <sheetName val="ind.oper.-detalle"/>
      <sheetName val="ind.operaciónhoja9"/>
      <sheetName val="compras-presup."/>
      <sheetName val="inversiónhoja10"/>
      <sheetName val="ronoa(2010)"/>
      <sheetName val="ronoa(pres2011)"/>
      <sheetName val="activo-detalle"/>
      <sheetName val="activohoja11"/>
      <sheetName val="antiguedad2011"/>
      <sheetName val="antig.trim"/>
      <sheetName val="Precio Ton ruta"/>
      <sheetName val="base Ingresos 2012 Reales"/>
      <sheetName val="Ingresos 2013"/>
      <sheetName val="Información Op. 2014"/>
      <sheetName val="Gtos financieros 2013"/>
      <sheetName val="Depreciación 2014"/>
      <sheetName val="Gtos Transp. Var"/>
      <sheetName val="Gtos Transp Fijos"/>
      <sheetName val="Gtos Var MAtto"/>
      <sheetName val="Gtos Fijos de Matto"/>
      <sheetName val="Gastos de Admon"/>
      <sheetName val="inversiones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C12">
            <v>4.99E-2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Información Macroeconómica"/>
      <sheetName val="Cifras Sobresalientes"/>
      <sheetName val="Balance y Razones"/>
      <sheetName val="Balance ejer ant"/>
      <sheetName val="Personal y KMS Recorridos"/>
      <sheetName val="balance_detalle"/>
      <sheetName val="Premisas Presupuesto 2013"/>
      <sheetName val="inversion-detalle"/>
      <sheetName val="Balance2011"/>
      <sheetName val="Cuentas de Balance"/>
      <sheetName val="Mov.Fondoshoja7"/>
      <sheetName val="detalle-indicadores"/>
      <sheetName val="Ind.Finan.hoja8"/>
      <sheetName val="ind.oper.-detalle"/>
      <sheetName val="ind.operaciónhoja9"/>
      <sheetName val="compras-presup."/>
      <sheetName val="inversiónhoja10"/>
      <sheetName val="ronoa(2010)"/>
      <sheetName val="ronoa(pres2011)"/>
      <sheetName val="activo-detalle"/>
      <sheetName val="activohoja11"/>
      <sheetName val="antiguedad2011"/>
      <sheetName val="antig.trim"/>
      <sheetName val="Precio Ton ruta"/>
      <sheetName val="base Ingresos 2012 Reales"/>
      <sheetName val="Edo.Res.detalle"/>
      <sheetName val="Vol e Ingresos 2014"/>
      <sheetName val="Presupuesto Otros"/>
      <sheetName val="Gtos Transp 2014"/>
      <sheetName val="Gtos Mtto 2014"/>
      <sheetName val="Información Op. 2013"/>
      <sheetName val="Costo op 2013"/>
      <sheetName val="Cat. cuentas"/>
      <sheetName val="Depreciación 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C9">
            <v>3.9157779708224899E-2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7">
          <cell r="D7">
            <v>261509.95335371714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Edo.de Resultados Mensual"/>
      <sheetName val="Edo.de Resultados Acumulado"/>
    </sheetNames>
    <definedNames>
      <definedName name="MESPROCESO" refersTo="='Carátula'!$A$50"/>
    </definedNames>
    <sheetDataSet>
      <sheetData sheetId="0">
        <row r="50">
          <cell r="A50" t="str">
            <v>Mayo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2060"/>
    <pageSetUpPr fitToPage="1"/>
  </sheetPr>
  <dimension ref="A1:I77"/>
  <sheetViews>
    <sheetView topLeftCell="A10" zoomScale="75" workbookViewId="0">
      <selection activeCell="F43" sqref="F43"/>
    </sheetView>
  </sheetViews>
  <sheetFormatPr baseColWidth="10" defaultColWidth="0" defaultRowHeight="12.75" zeroHeight="1" x14ac:dyDescent="0.2"/>
  <cols>
    <col min="1" max="1" width="6.28515625" customWidth="1"/>
    <col min="2" max="9" width="11.42578125" customWidth="1"/>
    <col min="10" max="16384" width="11.42578125" hidden="1"/>
  </cols>
  <sheetData>
    <row r="1" spans="2:9" x14ac:dyDescent="0.2"/>
    <row r="2" spans="2:9" x14ac:dyDescent="0.2"/>
    <row r="3" spans="2:9" x14ac:dyDescent="0.2"/>
    <row r="4" spans="2:9" x14ac:dyDescent="0.2">
      <c r="B4" t="str">
        <f>caratula!B26</f>
        <v>PRESUPUESTO  2014</v>
      </c>
    </row>
    <row r="5" spans="2:9" x14ac:dyDescent="0.2"/>
    <row r="6" spans="2:9" x14ac:dyDescent="0.2"/>
    <row r="7" spans="2:9" x14ac:dyDescent="0.2"/>
    <row r="8" spans="2:9" x14ac:dyDescent="0.2"/>
    <row r="9" spans="2:9" x14ac:dyDescent="0.2"/>
    <row r="10" spans="2:9" x14ac:dyDescent="0.2"/>
    <row r="11" spans="2:9" x14ac:dyDescent="0.2"/>
    <row r="12" spans="2:9" x14ac:dyDescent="0.2"/>
    <row r="13" spans="2:9" x14ac:dyDescent="0.2"/>
    <row r="14" spans="2:9" x14ac:dyDescent="0.2">
      <c r="B14" s="12"/>
      <c r="C14" s="12"/>
      <c r="D14" s="12"/>
      <c r="E14" s="12"/>
      <c r="F14" s="12"/>
      <c r="G14" s="12"/>
      <c r="H14" s="12"/>
      <c r="I14" s="12"/>
    </row>
    <row r="15" spans="2:9" x14ac:dyDescent="0.2">
      <c r="B15" s="12"/>
      <c r="C15" s="12"/>
      <c r="D15" s="12"/>
      <c r="E15" s="12"/>
      <c r="F15" s="12"/>
      <c r="G15" s="12"/>
      <c r="H15" s="12"/>
      <c r="I15" s="12"/>
    </row>
    <row r="16" spans="2:9" ht="20.25" x14ac:dyDescent="0.3">
      <c r="B16" s="592" t="s">
        <v>0</v>
      </c>
      <c r="C16" s="592"/>
      <c r="D16" s="592"/>
      <c r="E16" s="592"/>
      <c r="F16" s="592"/>
      <c r="G16" s="592"/>
      <c r="H16" s="592"/>
      <c r="I16" s="592"/>
    </row>
    <row r="17" spans="2:9" x14ac:dyDescent="0.2">
      <c r="B17" s="12"/>
      <c r="C17" s="12"/>
      <c r="D17" s="12"/>
      <c r="E17" s="12"/>
      <c r="F17" s="12"/>
      <c r="G17" s="12"/>
      <c r="H17" s="12"/>
      <c r="I17" s="12"/>
    </row>
    <row r="18" spans="2:9" x14ac:dyDescent="0.2">
      <c r="B18" s="12"/>
      <c r="C18" s="12"/>
      <c r="D18" s="12"/>
      <c r="E18" s="12"/>
      <c r="F18" s="12"/>
      <c r="G18" s="12"/>
      <c r="H18" s="12"/>
      <c r="I18" s="12"/>
    </row>
    <row r="19" spans="2:9" x14ac:dyDescent="0.2">
      <c r="B19" s="12"/>
      <c r="C19" s="12"/>
      <c r="D19" s="12"/>
      <c r="E19" s="12"/>
      <c r="F19" s="12"/>
      <c r="G19" s="12"/>
      <c r="H19" s="12"/>
      <c r="I19" s="12"/>
    </row>
    <row r="20" spans="2:9" x14ac:dyDescent="0.2">
      <c r="B20" s="12"/>
      <c r="C20" s="12"/>
      <c r="D20" s="12"/>
      <c r="E20" s="12"/>
      <c r="F20" s="12"/>
      <c r="G20" s="12"/>
      <c r="H20" s="12"/>
      <c r="I20" s="12"/>
    </row>
    <row r="21" spans="2:9" x14ac:dyDescent="0.2">
      <c r="B21" s="12"/>
      <c r="C21" s="12"/>
      <c r="D21" s="12"/>
      <c r="E21" s="12"/>
      <c r="F21" s="12"/>
      <c r="G21" s="12"/>
      <c r="H21" s="12"/>
      <c r="I21" s="12"/>
    </row>
    <row r="22" spans="2:9" x14ac:dyDescent="0.2">
      <c r="B22" s="12"/>
      <c r="C22" s="12"/>
      <c r="D22" s="12"/>
      <c r="E22" s="12"/>
      <c r="F22" s="12"/>
      <c r="G22" s="12"/>
      <c r="H22" s="12"/>
      <c r="I22" s="12"/>
    </row>
    <row r="23" spans="2:9" x14ac:dyDescent="0.2">
      <c r="B23" s="12"/>
      <c r="C23" s="12"/>
      <c r="D23" s="12"/>
      <c r="E23" s="12"/>
      <c r="F23" s="12"/>
      <c r="G23" s="12"/>
      <c r="H23" s="12"/>
      <c r="I23" s="12"/>
    </row>
    <row r="24" spans="2:9" x14ac:dyDescent="0.2">
      <c r="B24" s="12"/>
      <c r="C24" s="12"/>
      <c r="D24" s="12"/>
      <c r="E24" s="12"/>
      <c r="F24" s="12"/>
      <c r="G24" s="12"/>
      <c r="H24" s="12"/>
      <c r="I24" s="12"/>
    </row>
    <row r="25" spans="2:9" x14ac:dyDescent="0.2">
      <c r="B25" s="12"/>
      <c r="C25" s="12"/>
      <c r="D25" s="12"/>
      <c r="E25" s="12"/>
      <c r="F25" s="12"/>
      <c r="G25" s="12"/>
      <c r="H25" s="12"/>
      <c r="I25" s="12"/>
    </row>
    <row r="26" spans="2:9" ht="18" x14ac:dyDescent="0.25">
      <c r="B26" s="591" t="s">
        <v>740</v>
      </c>
      <c r="C26" s="591"/>
      <c r="D26" s="591"/>
      <c r="E26" s="591"/>
      <c r="F26" s="591"/>
      <c r="G26" s="591"/>
      <c r="H26" s="591"/>
      <c r="I26" s="591"/>
    </row>
    <row r="27" spans="2:9" ht="18" x14ac:dyDescent="0.25">
      <c r="B27" s="591" t="s">
        <v>17</v>
      </c>
      <c r="C27" s="591"/>
      <c r="D27" s="591"/>
      <c r="E27" s="591"/>
      <c r="F27" s="591"/>
      <c r="G27" s="591"/>
      <c r="H27" s="591"/>
      <c r="I27" s="591"/>
    </row>
    <row r="28" spans="2:9" x14ac:dyDescent="0.2"/>
    <row r="29" spans="2:9" x14ac:dyDescent="0.2"/>
    <row r="30" spans="2:9" x14ac:dyDescent="0.2"/>
    <row r="31" spans="2:9" x14ac:dyDescent="0.2">
      <c r="B31" s="12"/>
      <c r="C31" s="12"/>
      <c r="D31" s="12"/>
      <c r="E31" s="12"/>
      <c r="F31" s="12"/>
      <c r="G31" s="12"/>
      <c r="H31" s="12"/>
      <c r="I31" s="12"/>
    </row>
    <row r="32" spans="2:9" x14ac:dyDescent="0.2">
      <c r="B32" s="12"/>
      <c r="C32" s="12"/>
      <c r="D32" s="12"/>
      <c r="E32" s="12"/>
      <c r="F32" s="12"/>
      <c r="G32" s="12"/>
      <c r="H32" s="12"/>
      <c r="I32" s="12"/>
    </row>
    <row r="33" spans="2:9" x14ac:dyDescent="0.2">
      <c r="B33" s="12"/>
      <c r="C33" s="12"/>
      <c r="D33" s="12"/>
      <c r="E33" s="12"/>
      <c r="F33" s="12"/>
      <c r="G33" s="12"/>
      <c r="H33" s="12"/>
      <c r="I33" s="12"/>
    </row>
    <row r="34" spans="2:9" x14ac:dyDescent="0.2">
      <c r="B34" s="12"/>
      <c r="C34" s="12"/>
      <c r="D34" s="12"/>
      <c r="E34" s="12"/>
      <c r="F34" s="12"/>
      <c r="G34" s="12"/>
      <c r="H34" s="12"/>
      <c r="I34" s="12"/>
    </row>
    <row r="35" spans="2:9" x14ac:dyDescent="0.2">
      <c r="B35" s="12"/>
      <c r="C35" s="12"/>
      <c r="D35" s="12"/>
      <c r="E35" s="12"/>
      <c r="F35" s="12"/>
      <c r="G35" s="12"/>
      <c r="H35" s="12"/>
      <c r="I35" s="12"/>
    </row>
    <row r="36" spans="2:9" x14ac:dyDescent="0.2">
      <c r="B36" s="12"/>
      <c r="C36" s="12"/>
      <c r="D36" s="12"/>
      <c r="E36" s="12"/>
      <c r="F36" s="12"/>
      <c r="G36" s="12"/>
      <c r="H36" s="12"/>
      <c r="I36" s="12"/>
    </row>
    <row r="37" spans="2:9" x14ac:dyDescent="0.2">
      <c r="B37" s="12"/>
      <c r="C37" s="12"/>
      <c r="D37" s="12"/>
      <c r="E37" s="12"/>
      <c r="F37" s="12"/>
      <c r="G37" s="12"/>
      <c r="H37" s="12"/>
      <c r="I37" s="12"/>
    </row>
    <row r="38" spans="2:9" x14ac:dyDescent="0.2">
      <c r="B38" s="12"/>
      <c r="C38" s="12"/>
      <c r="D38" s="12"/>
      <c r="E38" s="12"/>
      <c r="F38" s="12"/>
      <c r="G38" s="12"/>
      <c r="H38" s="12"/>
      <c r="I38" s="12"/>
    </row>
    <row r="39" spans="2:9" x14ac:dyDescent="0.2">
      <c r="B39" s="12"/>
      <c r="C39" s="12"/>
      <c r="D39" s="12"/>
      <c r="E39" s="12"/>
      <c r="F39" s="12"/>
      <c r="G39" s="12"/>
      <c r="H39" s="12"/>
      <c r="I39" s="12"/>
    </row>
    <row r="40" spans="2:9" x14ac:dyDescent="0.2">
      <c r="B40" s="12"/>
      <c r="C40" s="12"/>
      <c r="D40" s="12"/>
      <c r="E40" s="12"/>
      <c r="F40" s="12"/>
      <c r="G40" s="12"/>
      <c r="H40" s="12"/>
      <c r="I40" s="12"/>
    </row>
    <row r="41" spans="2:9" x14ac:dyDescent="0.2">
      <c r="B41" s="12"/>
      <c r="C41" s="12"/>
      <c r="D41" s="12"/>
      <c r="E41" s="12"/>
      <c r="F41" s="12"/>
      <c r="G41" s="12"/>
      <c r="H41" s="12"/>
      <c r="I41" s="12"/>
    </row>
    <row r="42" spans="2:9" ht="18" x14ac:dyDescent="0.25">
      <c r="B42" s="12"/>
      <c r="C42" s="12"/>
      <c r="D42" s="12"/>
      <c r="E42" s="12"/>
      <c r="F42" s="591" t="s">
        <v>741</v>
      </c>
      <c r="G42" s="591"/>
      <c r="H42" s="591"/>
      <c r="I42" s="12"/>
    </row>
    <row r="43" spans="2:9" x14ac:dyDescent="0.2">
      <c r="B43" s="12"/>
      <c r="C43" s="12"/>
      <c r="D43" s="12"/>
      <c r="E43" s="12"/>
      <c r="F43" s="12"/>
      <c r="G43" s="12"/>
      <c r="H43" s="12"/>
      <c r="I43" s="12"/>
    </row>
    <row r="44" spans="2:9" x14ac:dyDescent="0.2">
      <c r="B44" s="12"/>
      <c r="C44" s="12"/>
      <c r="D44" s="12"/>
      <c r="E44" s="12"/>
      <c r="F44" s="12"/>
      <c r="G44" s="12"/>
      <c r="H44" s="12"/>
      <c r="I44" s="12"/>
    </row>
    <row r="45" spans="2:9" x14ac:dyDescent="0.2">
      <c r="B45" s="12"/>
      <c r="C45" s="12"/>
      <c r="D45" s="12"/>
      <c r="E45" s="12"/>
      <c r="F45" s="12"/>
      <c r="G45" s="12"/>
      <c r="H45" s="12"/>
      <c r="I45" s="12"/>
    </row>
    <row r="46" spans="2:9" hidden="1" x14ac:dyDescent="0.2">
      <c r="B46" s="12"/>
      <c r="C46" s="12"/>
      <c r="D46" s="12"/>
      <c r="E46" s="12"/>
      <c r="F46" s="12"/>
      <c r="G46" s="12"/>
      <c r="H46" s="12"/>
      <c r="I46" s="12"/>
    </row>
    <row r="47" spans="2:9" hidden="1" x14ac:dyDescent="0.2">
      <c r="B47" s="12"/>
      <c r="C47" s="12"/>
      <c r="D47" s="12"/>
      <c r="E47" s="12"/>
      <c r="F47" s="12"/>
      <c r="G47" s="12"/>
      <c r="H47" s="12"/>
      <c r="I47" s="12"/>
    </row>
    <row r="48" spans="2:9" hidden="1" x14ac:dyDescent="0.2">
      <c r="B48" s="12"/>
      <c r="C48" s="12"/>
      <c r="D48" s="12"/>
      <c r="E48" s="12"/>
      <c r="F48" s="12"/>
    </row>
    <row r="49" spans="2:9" hidden="1" x14ac:dyDescent="0.2">
      <c r="B49" s="12"/>
      <c r="C49" s="12"/>
      <c r="D49" s="12"/>
      <c r="E49" s="12"/>
      <c r="F49" s="12"/>
      <c r="G49" s="12"/>
      <c r="H49" s="12"/>
      <c r="I49" s="12"/>
    </row>
    <row r="50" spans="2:9" hidden="1" x14ac:dyDescent="0.2">
      <c r="B50" s="12"/>
      <c r="C50" s="12"/>
      <c r="D50" s="12"/>
      <c r="E50" s="12"/>
      <c r="F50" s="12"/>
      <c r="G50" s="12"/>
      <c r="H50" s="12"/>
      <c r="I50" s="12"/>
    </row>
    <row r="51" spans="2:9" hidden="1" x14ac:dyDescent="0.2">
      <c r="B51" s="12"/>
      <c r="C51" s="12"/>
      <c r="D51" s="12"/>
      <c r="E51" s="12"/>
      <c r="F51" s="12"/>
      <c r="G51" s="12"/>
      <c r="H51" s="12"/>
      <c r="I51" s="12"/>
    </row>
    <row r="52" spans="2:9" hidden="1" x14ac:dyDescent="0.2">
      <c r="B52" s="12"/>
      <c r="C52" s="12"/>
      <c r="D52" s="12"/>
      <c r="E52" s="12"/>
      <c r="F52" s="12"/>
      <c r="G52" s="12"/>
      <c r="H52" s="12"/>
      <c r="I52" s="12"/>
    </row>
    <row r="53" spans="2:9" hidden="1" x14ac:dyDescent="0.2">
      <c r="B53" s="12"/>
      <c r="C53" s="12"/>
      <c r="D53" s="12"/>
      <c r="E53" s="12"/>
      <c r="F53" s="12"/>
      <c r="G53" s="12"/>
      <c r="H53" s="12"/>
      <c r="I53" s="12"/>
    </row>
    <row r="54" spans="2:9" hidden="1" x14ac:dyDescent="0.2">
      <c r="B54" s="12"/>
      <c r="C54" s="12"/>
      <c r="D54" s="12"/>
      <c r="E54" s="12"/>
      <c r="F54" s="12"/>
      <c r="G54" s="12"/>
      <c r="H54" s="12"/>
      <c r="I54" s="12"/>
    </row>
    <row r="55" spans="2:9" hidden="1" x14ac:dyDescent="0.2">
      <c r="B55" s="12"/>
      <c r="C55" s="12"/>
      <c r="D55" s="12"/>
      <c r="E55" s="12"/>
      <c r="F55" s="12"/>
      <c r="G55" s="12"/>
      <c r="H55" s="12"/>
      <c r="I55" s="12"/>
    </row>
    <row r="56" spans="2:9" hidden="1" x14ac:dyDescent="0.2">
      <c r="B56" s="12"/>
      <c r="C56" s="12"/>
      <c r="D56" s="12"/>
      <c r="E56" s="12"/>
      <c r="F56" s="12"/>
      <c r="G56" s="12"/>
      <c r="H56" s="12"/>
      <c r="I56" s="12"/>
    </row>
    <row r="57" spans="2:9" hidden="1" x14ac:dyDescent="0.2">
      <c r="B57" s="12"/>
      <c r="C57" s="12"/>
      <c r="D57" s="12"/>
      <c r="E57" s="12"/>
      <c r="F57" s="12"/>
      <c r="G57" s="12"/>
      <c r="H57" s="12"/>
      <c r="I57" s="12"/>
    </row>
    <row r="58" spans="2:9" hidden="1" x14ac:dyDescent="0.2">
      <c r="B58" s="12"/>
      <c r="C58" s="12"/>
      <c r="D58" s="12"/>
      <c r="E58" s="12"/>
      <c r="F58" s="12"/>
      <c r="G58" s="12"/>
      <c r="H58" s="12"/>
      <c r="I58" s="12"/>
    </row>
    <row r="59" spans="2:9" hidden="1" x14ac:dyDescent="0.2">
      <c r="B59" s="12"/>
      <c r="C59" s="12"/>
      <c r="D59" s="12"/>
      <c r="E59" s="12"/>
      <c r="F59" s="12"/>
      <c r="G59" s="12"/>
      <c r="H59" s="12"/>
      <c r="I59" s="12"/>
    </row>
    <row r="60" spans="2:9" hidden="1" x14ac:dyDescent="0.2">
      <c r="B60" s="12"/>
      <c r="C60" s="12"/>
      <c r="D60" s="12"/>
      <c r="E60" s="12"/>
      <c r="F60" s="12"/>
      <c r="G60" s="12"/>
      <c r="H60" s="12"/>
      <c r="I60" s="12"/>
    </row>
    <row r="61" spans="2:9" hidden="1" x14ac:dyDescent="0.2">
      <c r="B61" s="12"/>
      <c r="C61" s="12"/>
      <c r="D61" s="12"/>
      <c r="E61" s="12"/>
      <c r="F61" s="12"/>
      <c r="G61" s="12"/>
      <c r="H61" s="12"/>
      <c r="I61" s="12"/>
    </row>
    <row r="62" spans="2:9" hidden="1" x14ac:dyDescent="0.2">
      <c r="B62" s="12"/>
      <c r="C62" s="12"/>
      <c r="D62" s="12"/>
      <c r="E62" s="12"/>
      <c r="F62" s="12"/>
      <c r="G62" s="12"/>
      <c r="H62" s="12"/>
      <c r="I62" s="12"/>
    </row>
    <row r="63" spans="2:9" hidden="1" x14ac:dyDescent="0.2">
      <c r="B63" s="12"/>
      <c r="C63" s="12"/>
      <c r="D63" s="12"/>
      <c r="E63" s="12"/>
      <c r="F63" s="12"/>
      <c r="G63" s="12"/>
      <c r="H63" s="12"/>
      <c r="I63" s="12"/>
    </row>
    <row r="64" spans="2:9" hidden="1" x14ac:dyDescent="0.2">
      <c r="B64" s="12"/>
      <c r="C64" s="12"/>
      <c r="D64" s="12"/>
      <c r="E64" s="12"/>
      <c r="F64" s="12"/>
      <c r="G64" s="12"/>
      <c r="H64" s="12"/>
      <c r="I64" s="12"/>
    </row>
    <row r="65" spans="2:9" hidden="1" x14ac:dyDescent="0.2">
      <c r="B65" s="12"/>
      <c r="C65" s="12"/>
      <c r="D65" s="12"/>
      <c r="E65" s="12"/>
      <c r="F65" s="12"/>
      <c r="G65" s="12"/>
      <c r="H65" s="12"/>
      <c r="I65" s="12"/>
    </row>
    <row r="66" spans="2:9" hidden="1" x14ac:dyDescent="0.2">
      <c r="B66" s="12"/>
      <c r="C66" s="12"/>
      <c r="D66" s="12"/>
      <c r="E66" s="12"/>
      <c r="F66" s="12"/>
      <c r="G66" s="12"/>
      <c r="H66" s="12"/>
      <c r="I66" s="12"/>
    </row>
    <row r="67" spans="2:9" hidden="1" x14ac:dyDescent="0.2">
      <c r="B67" s="12"/>
      <c r="C67" s="12"/>
      <c r="D67" s="12"/>
      <c r="E67" s="12"/>
      <c r="F67" s="12"/>
      <c r="G67" s="12"/>
      <c r="H67" s="12"/>
      <c r="I67" s="12"/>
    </row>
    <row r="68" spans="2:9" hidden="1" x14ac:dyDescent="0.2">
      <c r="B68" s="12"/>
      <c r="C68" s="12"/>
      <c r="D68" s="12"/>
      <c r="E68" s="12"/>
      <c r="F68" s="12"/>
      <c r="G68" s="12"/>
      <c r="H68" s="12"/>
      <c r="I68" s="12"/>
    </row>
    <row r="69" spans="2:9" hidden="1" x14ac:dyDescent="0.2">
      <c r="B69" s="12"/>
      <c r="C69" s="12"/>
      <c r="D69" s="12"/>
      <c r="E69" s="12"/>
      <c r="F69" s="12"/>
      <c r="G69" s="12"/>
      <c r="H69" s="12"/>
      <c r="I69" s="12"/>
    </row>
    <row r="70" spans="2:9" hidden="1" x14ac:dyDescent="0.2">
      <c r="B70" s="12"/>
      <c r="C70" s="12"/>
      <c r="D70" s="12"/>
      <c r="E70" s="12"/>
      <c r="F70" s="12"/>
      <c r="G70" s="12"/>
      <c r="H70" s="12"/>
      <c r="I70" s="12"/>
    </row>
    <row r="71" spans="2:9" hidden="1" x14ac:dyDescent="0.2">
      <c r="B71" s="12"/>
      <c r="C71" s="12"/>
      <c r="D71" s="12"/>
      <c r="E71" s="12"/>
      <c r="F71" s="12"/>
      <c r="G71" s="12"/>
      <c r="H71" s="12"/>
      <c r="I71" s="12"/>
    </row>
    <row r="72" spans="2:9" x14ac:dyDescent="0.2"/>
    <row r="73" spans="2:9" x14ac:dyDescent="0.2"/>
    <row r="74" spans="2:9" x14ac:dyDescent="0.2"/>
    <row r="75" spans="2:9" x14ac:dyDescent="0.2"/>
    <row r="76" spans="2:9" x14ac:dyDescent="0.2"/>
    <row r="77" spans="2:9" x14ac:dyDescent="0.2"/>
  </sheetData>
  <mergeCells count="4">
    <mergeCell ref="F42:H42"/>
    <mergeCell ref="B16:I16"/>
    <mergeCell ref="B26:I26"/>
    <mergeCell ref="B27:I27"/>
  </mergeCells>
  <phoneticPr fontId="0" type="noConversion"/>
  <pageMargins left="0.75" right="0.75" top="1" bottom="1" header="0" footer="0"/>
  <pageSetup scale="9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7"/>
  <sheetViews>
    <sheetView workbookViewId="0">
      <pane xSplit="3" ySplit="10" topLeftCell="AE11" activePane="bottomRight" state="frozen"/>
      <selection activeCell="F11" sqref="F11:Q16"/>
      <selection pane="topRight" activeCell="F11" sqref="F11:Q16"/>
      <selection pane="bottomLeft" activeCell="F11" sqref="F11:Q16"/>
      <selection pane="bottomRight" activeCell="R6" sqref="R6:AK15"/>
    </sheetView>
  </sheetViews>
  <sheetFormatPr baseColWidth="10" defaultRowHeight="12.75" x14ac:dyDescent="0.2"/>
  <cols>
    <col min="1" max="1" width="48.28515625" customWidth="1"/>
    <col min="3" max="3" width="33" customWidth="1"/>
    <col min="4" max="15" width="12.5703125" bestFit="1" customWidth="1"/>
    <col min="16" max="16" width="12.85546875" bestFit="1" customWidth="1"/>
    <col min="17" max="17" width="13.85546875" bestFit="1" customWidth="1"/>
  </cols>
  <sheetData>
    <row r="1" spans="1:37" ht="23.25" x14ac:dyDescent="0.35">
      <c r="A1" s="84" t="s">
        <v>49</v>
      </c>
      <c r="B1" s="233"/>
    </row>
    <row r="2" spans="1:37" ht="15.75" x14ac:dyDescent="0.25">
      <c r="A2" s="234" t="s">
        <v>217</v>
      </c>
      <c r="B2" s="233"/>
      <c r="C2" s="436" t="s">
        <v>692</v>
      </c>
      <c r="D2" s="579">
        <f>'Gtos Transp 2014'!D1</f>
        <v>1.0033333333333334</v>
      </c>
      <c r="E2" s="579">
        <f>'Gtos Transp 2014'!E1</f>
        <v>1.0066666666666666</v>
      </c>
      <c r="F2" s="579">
        <f>'Gtos Transp 2014'!F1</f>
        <v>1.01</v>
      </c>
      <c r="G2" s="579">
        <f>'Gtos Transp 2014'!G1</f>
        <v>1.0133333333333334</v>
      </c>
      <c r="H2" s="579">
        <f>'Gtos Transp 2014'!H1</f>
        <v>1.0166666666666666</v>
      </c>
      <c r="I2" s="579">
        <f>'Gtos Transp 2014'!I1</f>
        <v>1.02</v>
      </c>
      <c r="J2" s="579">
        <f>'Gtos Transp 2014'!J1</f>
        <v>1.0233333333333334</v>
      </c>
      <c r="K2" s="579">
        <f>'Gtos Transp 2014'!K1</f>
        <v>1.0266666666666666</v>
      </c>
      <c r="L2" s="579">
        <f>'Gtos Transp 2014'!L1</f>
        <v>1.03</v>
      </c>
      <c r="M2" s="579">
        <f>'Gtos Transp 2014'!M1</f>
        <v>1.0333333333333334</v>
      </c>
      <c r="N2" s="579">
        <f>'Gtos Transp 2014'!N1</f>
        <v>1.0366666666666666</v>
      </c>
      <c r="O2" s="579">
        <f>'Gtos Transp 2014'!O1</f>
        <v>1.04</v>
      </c>
    </row>
    <row r="3" spans="1:37" x14ac:dyDescent="0.2">
      <c r="A3" s="235" t="s">
        <v>218</v>
      </c>
      <c r="B3" s="233"/>
      <c r="C3" s="436" t="s">
        <v>693</v>
      </c>
      <c r="D3" s="437">
        <f>'Gtos Transp 2014'!D2</f>
        <v>1.0397000000000001</v>
      </c>
    </row>
    <row r="4" spans="1:37" x14ac:dyDescent="0.2">
      <c r="A4" s="235" t="s">
        <v>219</v>
      </c>
      <c r="B4" s="233" t="str">
        <f>caratula!B26</f>
        <v>PRESUPUESTO  2014</v>
      </c>
      <c r="C4" s="13" t="s">
        <v>694</v>
      </c>
      <c r="D4" s="233">
        <v>45</v>
      </c>
    </row>
    <row r="5" spans="1:37" ht="13.5" thickBot="1" x14ac:dyDescent="0.25"/>
    <row r="6" spans="1:37" ht="26.25" thickTop="1" x14ac:dyDescent="0.2">
      <c r="A6" s="236" t="s">
        <v>2</v>
      </c>
      <c r="B6" s="297" t="s">
        <v>220</v>
      </c>
      <c r="C6" s="238" t="s">
        <v>221</v>
      </c>
      <c r="D6" s="239" t="s">
        <v>5</v>
      </c>
      <c r="E6" s="239" t="s">
        <v>6</v>
      </c>
      <c r="F6" s="239" t="s">
        <v>7</v>
      </c>
      <c r="G6" s="239" t="s">
        <v>8</v>
      </c>
      <c r="H6" s="239" t="s">
        <v>9</v>
      </c>
      <c r="I6" s="239" t="s">
        <v>10</v>
      </c>
      <c r="J6" s="239" t="s">
        <v>11</v>
      </c>
      <c r="K6" s="239" t="s">
        <v>12</v>
      </c>
      <c r="L6" s="239" t="s">
        <v>13</v>
      </c>
      <c r="M6" s="239" t="s">
        <v>14</v>
      </c>
      <c r="N6" s="239" t="s">
        <v>15</v>
      </c>
      <c r="O6" s="239" t="s">
        <v>16</v>
      </c>
      <c r="P6" s="240" t="s">
        <v>20</v>
      </c>
      <c r="R6" s="580" t="s">
        <v>743</v>
      </c>
      <c r="S6" s="580" t="s">
        <v>220</v>
      </c>
      <c r="T6" s="580" t="s">
        <v>744</v>
      </c>
      <c r="U6" s="580" t="s">
        <v>745</v>
      </c>
      <c r="V6" s="580" t="s">
        <v>746</v>
      </c>
      <c r="W6" s="580" t="s">
        <v>747</v>
      </c>
      <c r="X6" s="580" t="s">
        <v>748</v>
      </c>
      <c r="Y6" s="580" t="s">
        <v>749</v>
      </c>
      <c r="Z6" s="580" t="s">
        <v>750</v>
      </c>
      <c r="AA6" s="580" t="s">
        <v>751</v>
      </c>
      <c r="AB6" s="580" t="s">
        <v>752</v>
      </c>
      <c r="AC6" s="581" t="s">
        <v>753</v>
      </c>
      <c r="AD6" s="580" t="s">
        <v>754</v>
      </c>
      <c r="AE6" s="580" t="s">
        <v>755</v>
      </c>
      <c r="AF6" s="580" t="s">
        <v>756</v>
      </c>
      <c r="AG6" s="580" t="s">
        <v>757</v>
      </c>
      <c r="AH6" s="580" t="s">
        <v>758</v>
      </c>
      <c r="AI6" s="580" t="s">
        <v>759</v>
      </c>
      <c r="AJ6" s="580" t="s">
        <v>760</v>
      </c>
      <c r="AK6" s="580" t="s">
        <v>761</v>
      </c>
    </row>
    <row r="7" spans="1:37" ht="21" thickBot="1" x14ac:dyDescent="0.25">
      <c r="A7" s="241"/>
      <c r="B7" s="351"/>
      <c r="C7" s="352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R7" s="582" t="s">
        <v>762</v>
      </c>
      <c r="S7" s="583" t="s">
        <v>763</v>
      </c>
      <c r="T7" s="582" t="s">
        <v>764</v>
      </c>
      <c r="U7" s="582" t="s">
        <v>765</v>
      </c>
      <c r="V7" s="582">
        <v>2013</v>
      </c>
      <c r="W7" s="582" t="s">
        <v>766</v>
      </c>
      <c r="X7" s="582">
        <v>12000</v>
      </c>
      <c r="Y7" s="582">
        <v>1000</v>
      </c>
      <c r="Z7" s="582">
        <v>1000</v>
      </c>
      <c r="AA7" s="582">
        <v>1000</v>
      </c>
      <c r="AB7" s="582">
        <v>1000</v>
      </c>
      <c r="AC7" s="584">
        <v>1000</v>
      </c>
      <c r="AD7" s="582">
        <v>1000</v>
      </c>
      <c r="AE7" s="582">
        <v>1000</v>
      </c>
      <c r="AF7" s="582">
        <v>1000</v>
      </c>
      <c r="AG7" s="582">
        <v>1000</v>
      </c>
      <c r="AH7" s="582">
        <v>1000</v>
      </c>
      <c r="AI7" s="582">
        <v>1000</v>
      </c>
      <c r="AJ7" s="582">
        <v>1000</v>
      </c>
      <c r="AK7" s="582" t="s">
        <v>767</v>
      </c>
    </row>
    <row r="8" spans="1:37" ht="14.25" x14ac:dyDescent="0.2">
      <c r="A8" s="246" t="s">
        <v>35</v>
      </c>
      <c r="B8" s="247"/>
      <c r="C8" s="248"/>
      <c r="D8" s="249">
        <f>'Vol e Ingresos 2014'!B76</f>
        <v>241045.3166115972</v>
      </c>
      <c r="E8" s="249">
        <f>'Vol e Ingresos 2014'!C76</f>
        <v>235355.42231744813</v>
      </c>
      <c r="F8" s="249">
        <f>'Vol e Ingresos 2014'!D76</f>
        <v>243345.63133875901</v>
      </c>
      <c r="G8" s="249">
        <f>'Vol e Ingresos 2014'!E76</f>
        <v>256851.63185743525</v>
      </c>
      <c r="H8" s="249">
        <f>'Vol e Ingresos 2014'!F76</f>
        <v>247717.49865270226</v>
      </c>
      <c r="I8" s="249">
        <f>'Vol e Ingresos 2014'!G76</f>
        <v>248921.82545184722</v>
      </c>
      <c r="J8" s="249">
        <f>'Vol e Ingresos 2014'!H76</f>
        <v>268698.30556810007</v>
      </c>
      <c r="K8" s="249">
        <f>'Vol e Ingresos 2014'!I76</f>
        <v>263148.58863147703</v>
      </c>
      <c r="L8" s="249">
        <f>'Vol e Ingresos 2014'!J76</f>
        <v>232882.35273255102</v>
      </c>
      <c r="M8" s="249">
        <f>'Vol e Ingresos 2014'!K76</f>
        <v>300724.81424021372</v>
      </c>
      <c r="N8" s="249">
        <f>'Vol e Ingresos 2014'!L76</f>
        <v>267310.94599130109</v>
      </c>
      <c r="O8" s="249">
        <f>'Vol e Ingresos 2014'!M76</f>
        <v>267310.94599130109</v>
      </c>
      <c r="P8" s="250">
        <f>SUM(D8:O8)</f>
        <v>3073313.2793847332</v>
      </c>
      <c r="Q8" s="246" t="s">
        <v>35</v>
      </c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</row>
    <row r="9" spans="1:37" ht="14.25" x14ac:dyDescent="0.2">
      <c r="A9" s="246" t="s">
        <v>222</v>
      </c>
      <c r="B9" s="247"/>
      <c r="C9" s="248"/>
      <c r="D9" s="251">
        <f>'Vol e Ingresos 2014'!B44</f>
        <v>525.63571579846723</v>
      </c>
      <c r="E9" s="251">
        <f>'Vol e Ingresos 2014'!C44</f>
        <v>513.22804199602683</v>
      </c>
      <c r="F9" s="251">
        <f>'Vol e Ingresos 2014'!D44</f>
        <v>530.65189945708505</v>
      </c>
      <c r="G9" s="251">
        <f>'Vol e Ingresos 2014'!E44</f>
        <v>560.10377327900233</v>
      </c>
      <c r="H9" s="251">
        <f>'Vol e Ingresos 2014'!F44</f>
        <v>540.1854163793131</v>
      </c>
      <c r="I9" s="251">
        <f>'Vol e Ingresos 2014'!G44</f>
        <v>542.81163284359673</v>
      </c>
      <c r="J9" s="251">
        <f>'Vol e Ingresos 2014'!H44</f>
        <v>585.93723440270446</v>
      </c>
      <c r="K9" s="251">
        <f>'Vol e Ingresos 2014'!I44</f>
        <v>573.83523849808728</v>
      </c>
      <c r="L9" s="251">
        <f>'Vol e Ingresos 2014'!J44</f>
        <v>507.83514028048995</v>
      </c>
      <c r="M9" s="251">
        <f>'Vol e Ingresos 2014'!K44</f>
        <v>655.77587324055344</v>
      </c>
      <c r="N9" s="251">
        <f>'Vol e Ingresos 2014'!L44</f>
        <v>582.9118873249364</v>
      </c>
      <c r="O9" s="251">
        <f>'Vol e Ingresos 2014'!M44</f>
        <v>582.9118873249364</v>
      </c>
      <c r="P9" s="252">
        <f>SUM(D9:O9)</f>
        <v>6701.8237408251998</v>
      </c>
      <c r="Q9" s="246" t="s">
        <v>222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</row>
    <row r="10" spans="1:37" ht="14.25" x14ac:dyDescent="0.2">
      <c r="A10" s="246" t="s">
        <v>223</v>
      </c>
      <c r="B10" s="247"/>
      <c r="C10" s="248"/>
      <c r="D10" s="251">
        <f>'Vol e Ingresos 2014'!B11</f>
        <v>17896.561572742881</v>
      </c>
      <c r="E10" s="251">
        <f>'Vol e Ingresos 2014'!C11</f>
        <v>17474.111781935626</v>
      </c>
      <c r="F10" s="251">
        <f>'Vol e Ingresos 2014'!D11</f>
        <v>18067.349890599613</v>
      </c>
      <c r="G10" s="251">
        <f>'Vol e Ingresos 2014'!E11</f>
        <v>19070.111418107168</v>
      </c>
      <c r="H10" s="251">
        <f>'Vol e Ingresos 2014'!F11</f>
        <v>18391.941936907322</v>
      </c>
      <c r="I10" s="251">
        <f>'Vol e Ingresos 2014'!G11</f>
        <v>18481.357939746867</v>
      </c>
      <c r="J10" s="251">
        <f>'Vol e Ingresos 2014'!H11</f>
        <v>19949.675180122638</v>
      </c>
      <c r="K10" s="251">
        <f>'Vol e Ingresos 2014'!I11</f>
        <v>19537.632945642697</v>
      </c>
      <c r="L10" s="251">
        <f>'Vol e Ingresos 2014'!J11</f>
        <v>17290.497170700077</v>
      </c>
      <c r="M10" s="251">
        <f>'Vol e Ingresos 2014'!K11</f>
        <v>22327.503517414174</v>
      </c>
      <c r="N10" s="251">
        <f>'Vol e Ingresos 2014'!L11</f>
        <v>19846.669793257046</v>
      </c>
      <c r="O10" s="251">
        <f>'Vol e Ingresos 2014'!M11</f>
        <v>19846.669793257046</v>
      </c>
      <c r="P10" s="252">
        <f>SUM(D10:O10)</f>
        <v>228180.08294043317</v>
      </c>
      <c r="Q10" s="246" t="s">
        <v>223</v>
      </c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</row>
    <row r="11" spans="1:37" ht="14.25" x14ac:dyDescent="0.2">
      <c r="A11" s="246"/>
      <c r="B11" s="247"/>
      <c r="C11" s="352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46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</row>
    <row r="12" spans="1:37" ht="15" x14ac:dyDescent="0.2">
      <c r="A12" s="353" t="s">
        <v>295</v>
      </c>
      <c r="B12" s="247"/>
      <c r="C12" s="352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46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</row>
    <row r="13" spans="1:37" ht="15" x14ac:dyDescent="0.25">
      <c r="A13" s="348" t="s">
        <v>225</v>
      </c>
      <c r="B13" s="277"/>
      <c r="C13" s="111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309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</row>
    <row r="14" spans="1:37" ht="15" x14ac:dyDescent="0.25">
      <c r="A14" s="349" t="s">
        <v>296</v>
      </c>
      <c r="B14" s="277"/>
      <c r="C14" s="111"/>
      <c r="D14" s="316">
        <v>99635.36</v>
      </c>
      <c r="E14" s="316">
        <v>99635.36</v>
      </c>
      <c r="F14" s="316">
        <v>99635.36</v>
      </c>
      <c r="G14" s="316">
        <v>99635.36</v>
      </c>
      <c r="H14" s="316">
        <v>99635.36</v>
      </c>
      <c r="I14" s="316">
        <v>99635.36</v>
      </c>
      <c r="J14" s="316">
        <v>99635.36</v>
      </c>
      <c r="K14" s="316">
        <v>99635.36</v>
      </c>
      <c r="L14" s="316">
        <v>99635.36</v>
      </c>
      <c r="M14" s="316">
        <v>99635.36</v>
      </c>
      <c r="N14" s="316">
        <v>99635.36</v>
      </c>
      <c r="O14" s="316">
        <v>99635.36</v>
      </c>
      <c r="P14" s="316">
        <f>SUM(D14:O14)</f>
        <v>1195624.32</v>
      </c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</row>
    <row r="15" spans="1:37" x14ac:dyDescent="0.2">
      <c r="B15" s="312" t="s">
        <v>321</v>
      </c>
      <c r="C15" s="276" t="str">
        <f>VLOOKUP(B15,'Cat. cuentas'!$A$1:$B$195,2,FALSE)</f>
        <v>SERVICIO  OUTSORCING</v>
      </c>
      <c r="D15" s="316">
        <f>132553</f>
        <v>132553</v>
      </c>
      <c r="E15" s="316">
        <f>132553</f>
        <v>132553</v>
      </c>
      <c r="F15" s="316">
        <f>(132553*$D$3)</f>
        <v>137815.3541</v>
      </c>
      <c r="G15" s="316">
        <f>(132553*$D$3)</f>
        <v>137815.3541</v>
      </c>
      <c r="H15" s="316">
        <f t="shared" ref="H15:O15" si="0">(132553*$D$3)</f>
        <v>137815.3541</v>
      </c>
      <c r="I15" s="316">
        <f t="shared" si="0"/>
        <v>137815.3541</v>
      </c>
      <c r="J15" s="316">
        <f t="shared" si="0"/>
        <v>137815.3541</v>
      </c>
      <c r="K15" s="316">
        <f t="shared" si="0"/>
        <v>137815.3541</v>
      </c>
      <c r="L15" s="316">
        <f t="shared" si="0"/>
        <v>137815.3541</v>
      </c>
      <c r="M15" s="316">
        <f t="shared" si="0"/>
        <v>137815.3541</v>
      </c>
      <c r="N15" s="316">
        <f t="shared" si="0"/>
        <v>137815.3541</v>
      </c>
      <c r="O15" s="316">
        <f t="shared" si="0"/>
        <v>137815.3541</v>
      </c>
      <c r="P15" s="449">
        <f>SUM(D15:O15)</f>
        <v>1643259.5410000002</v>
      </c>
      <c r="R15" s="111" t="s">
        <v>762</v>
      </c>
      <c r="S15" s="277" t="str">
        <f>B15</f>
        <v>0501100300</v>
      </c>
      <c r="T15" s="111" t="s">
        <v>774</v>
      </c>
      <c r="U15" s="585" t="s">
        <v>769</v>
      </c>
      <c r="V15" s="111">
        <v>2014</v>
      </c>
      <c r="W15" s="111" t="s">
        <v>770</v>
      </c>
      <c r="X15" s="111">
        <f>SUM(Y15:AJ15)</f>
        <v>1643256</v>
      </c>
      <c r="Y15" s="111">
        <f>ROUND(D15,0)</f>
        <v>132553</v>
      </c>
      <c r="Z15" s="111">
        <f t="shared" ref="Z15:AJ15" si="1">ROUND(E15,0)</f>
        <v>132553</v>
      </c>
      <c r="AA15" s="111">
        <f t="shared" si="1"/>
        <v>137815</v>
      </c>
      <c r="AB15" s="111">
        <f t="shared" si="1"/>
        <v>137815</v>
      </c>
      <c r="AC15" s="111">
        <f t="shared" si="1"/>
        <v>137815</v>
      </c>
      <c r="AD15" s="111">
        <f t="shared" si="1"/>
        <v>137815</v>
      </c>
      <c r="AE15" s="111">
        <f t="shared" si="1"/>
        <v>137815</v>
      </c>
      <c r="AF15" s="111">
        <f t="shared" si="1"/>
        <v>137815</v>
      </c>
      <c r="AG15" s="111">
        <f t="shared" si="1"/>
        <v>137815</v>
      </c>
      <c r="AH15" s="111">
        <f t="shared" si="1"/>
        <v>137815</v>
      </c>
      <c r="AI15" s="111">
        <f t="shared" si="1"/>
        <v>137815</v>
      </c>
      <c r="AJ15" s="111">
        <f t="shared" si="1"/>
        <v>137815</v>
      </c>
      <c r="AK15" s="111" t="s">
        <v>767</v>
      </c>
    </row>
    <row r="16" spans="1:37" ht="15" x14ac:dyDescent="0.25">
      <c r="A16" s="349" t="s">
        <v>298</v>
      </c>
      <c r="B16" s="277" t="s">
        <v>297</v>
      </c>
      <c r="C16" s="276" t="str">
        <f>VLOOKUP(B16,'Cat. cuentas'!$A$1:$B$195,2,FALSE)</f>
        <v>MTTO. DE VEHICULOS UTILITARIOS</v>
      </c>
      <c r="D16" s="316">
        <v>0</v>
      </c>
      <c r="E16" s="316">
        <v>0</v>
      </c>
      <c r="F16" s="316">
        <v>0</v>
      </c>
      <c r="G16" s="316">
        <v>0</v>
      </c>
      <c r="H16" s="316">
        <v>3575</v>
      </c>
      <c r="I16" s="316">
        <v>0</v>
      </c>
      <c r="J16" s="316">
        <v>0</v>
      </c>
      <c r="K16" s="316">
        <v>0</v>
      </c>
      <c r="L16" s="316">
        <v>0</v>
      </c>
      <c r="M16" s="316">
        <v>0</v>
      </c>
      <c r="N16" s="316">
        <v>12120</v>
      </c>
      <c r="O16" s="316">
        <v>0</v>
      </c>
      <c r="P16" s="316">
        <f t="shared" ref="P16:P31" si="2">SUM(D16:O16)</f>
        <v>15695</v>
      </c>
      <c r="R16" s="111" t="s">
        <v>762</v>
      </c>
      <c r="S16" s="277" t="str">
        <f t="shared" ref="S16:S31" si="3">B16</f>
        <v>0501060400</v>
      </c>
      <c r="T16" s="111" t="s">
        <v>774</v>
      </c>
      <c r="U16" s="585" t="s">
        <v>769</v>
      </c>
      <c r="V16" s="111">
        <v>2014</v>
      </c>
      <c r="W16" s="111" t="s">
        <v>770</v>
      </c>
      <c r="X16" s="111">
        <f t="shared" ref="X16:X31" si="4">SUM(Y16:AJ16)</f>
        <v>15695</v>
      </c>
      <c r="Y16" s="111">
        <f t="shared" ref="Y16:Y31" si="5">ROUND(D16,0)</f>
        <v>0</v>
      </c>
      <c r="Z16" s="111">
        <f t="shared" ref="Z16:Z31" si="6">ROUND(E16,0)</f>
        <v>0</v>
      </c>
      <c r="AA16" s="111">
        <f t="shared" ref="AA16:AA31" si="7">ROUND(F16,0)</f>
        <v>0</v>
      </c>
      <c r="AB16" s="111">
        <f t="shared" ref="AB16:AB31" si="8">ROUND(G16,0)</f>
        <v>0</v>
      </c>
      <c r="AC16" s="111">
        <f t="shared" ref="AC16:AC31" si="9">ROUND(H16,0)</f>
        <v>3575</v>
      </c>
      <c r="AD16" s="111">
        <f t="shared" ref="AD16:AD31" si="10">ROUND(I16,0)</f>
        <v>0</v>
      </c>
      <c r="AE16" s="111">
        <f t="shared" ref="AE16:AE31" si="11">ROUND(J16,0)</f>
        <v>0</v>
      </c>
      <c r="AF16" s="111">
        <f t="shared" ref="AF16:AF31" si="12">ROUND(K16,0)</f>
        <v>0</v>
      </c>
      <c r="AG16" s="111">
        <f t="shared" ref="AG16:AG31" si="13">ROUND(L16,0)</f>
        <v>0</v>
      </c>
      <c r="AH16" s="111">
        <f t="shared" ref="AH16:AH31" si="14">ROUND(M16,0)</f>
        <v>0</v>
      </c>
      <c r="AI16" s="111">
        <f t="shared" ref="AI16:AI31" si="15">ROUND(N16,0)</f>
        <v>12120</v>
      </c>
      <c r="AJ16" s="111">
        <f t="shared" ref="AJ16:AJ31" si="16">ROUND(O16,0)</f>
        <v>0</v>
      </c>
      <c r="AK16" s="111" t="s">
        <v>767</v>
      </c>
    </row>
    <row r="17" spans="1:37" ht="15" x14ac:dyDescent="0.25">
      <c r="A17" s="349" t="s">
        <v>299</v>
      </c>
      <c r="B17" s="277" t="s">
        <v>249</v>
      </c>
      <c r="C17" s="276" t="str">
        <f>VLOOKUP(B17,'Cat. cuentas'!$A$1:$B$195,2,FALSE)</f>
        <v>PAPELERÍA Y ARTICULOS DE ESC.</v>
      </c>
      <c r="D17" s="309">
        <f>250*D2</f>
        <v>250.83333333333334</v>
      </c>
      <c r="E17" s="309">
        <f t="shared" ref="E17:O17" si="17">250*E2</f>
        <v>251.66666666666666</v>
      </c>
      <c r="F17" s="309">
        <f t="shared" si="17"/>
        <v>252.5</v>
      </c>
      <c r="G17" s="309">
        <f t="shared" si="17"/>
        <v>253.33333333333334</v>
      </c>
      <c r="H17" s="309">
        <f t="shared" si="17"/>
        <v>254.16666666666666</v>
      </c>
      <c r="I17" s="309">
        <f t="shared" si="17"/>
        <v>255</v>
      </c>
      <c r="J17" s="309">
        <f t="shared" si="17"/>
        <v>255.83333333333337</v>
      </c>
      <c r="K17" s="309">
        <f t="shared" si="17"/>
        <v>256.66666666666663</v>
      </c>
      <c r="L17" s="309">
        <f t="shared" si="17"/>
        <v>257.5</v>
      </c>
      <c r="M17" s="309">
        <f t="shared" si="17"/>
        <v>258.33333333333337</v>
      </c>
      <c r="N17" s="309">
        <f t="shared" si="17"/>
        <v>259.16666666666663</v>
      </c>
      <c r="O17" s="309">
        <f t="shared" si="17"/>
        <v>260</v>
      </c>
      <c r="P17" s="309">
        <f t="shared" si="2"/>
        <v>3065</v>
      </c>
      <c r="R17" s="111" t="s">
        <v>762</v>
      </c>
      <c r="S17" s="277" t="str">
        <f t="shared" si="3"/>
        <v>0501130200</v>
      </c>
      <c r="T17" s="111" t="s">
        <v>774</v>
      </c>
      <c r="U17" s="585" t="s">
        <v>769</v>
      </c>
      <c r="V17" s="111">
        <v>2014</v>
      </c>
      <c r="W17" s="111" t="s">
        <v>770</v>
      </c>
      <c r="X17" s="111">
        <f t="shared" si="4"/>
        <v>3066</v>
      </c>
      <c r="Y17" s="111">
        <f t="shared" si="5"/>
        <v>251</v>
      </c>
      <c r="Z17" s="111">
        <f t="shared" si="6"/>
        <v>252</v>
      </c>
      <c r="AA17" s="111">
        <f t="shared" si="7"/>
        <v>253</v>
      </c>
      <c r="AB17" s="111">
        <f t="shared" si="8"/>
        <v>253</v>
      </c>
      <c r="AC17" s="111">
        <f t="shared" si="9"/>
        <v>254</v>
      </c>
      <c r="AD17" s="111">
        <f t="shared" si="10"/>
        <v>255</v>
      </c>
      <c r="AE17" s="111">
        <f t="shared" si="11"/>
        <v>256</v>
      </c>
      <c r="AF17" s="111">
        <f t="shared" si="12"/>
        <v>257</v>
      </c>
      <c r="AG17" s="111">
        <f t="shared" si="13"/>
        <v>258</v>
      </c>
      <c r="AH17" s="111">
        <f t="shared" si="14"/>
        <v>258</v>
      </c>
      <c r="AI17" s="111">
        <f t="shared" si="15"/>
        <v>259</v>
      </c>
      <c r="AJ17" s="111">
        <f t="shared" si="16"/>
        <v>260</v>
      </c>
      <c r="AK17" s="111" t="s">
        <v>767</v>
      </c>
    </row>
    <row r="18" spans="1:37" ht="15" x14ac:dyDescent="0.25">
      <c r="A18" s="349" t="s">
        <v>302</v>
      </c>
      <c r="B18" s="277" t="s">
        <v>240</v>
      </c>
      <c r="C18" s="276" t="str">
        <f>VLOOKUP(B18,'Cat. cuentas'!$A$1:$B$195,2,FALSE)</f>
        <v>GASTOS DE CAPACITACION</v>
      </c>
      <c r="D18" s="316">
        <v>0</v>
      </c>
      <c r="E18" s="316">
        <v>0</v>
      </c>
      <c r="F18" s="316">
        <v>3800</v>
      </c>
      <c r="G18" s="316">
        <v>3800</v>
      </c>
      <c r="H18" s="316">
        <v>3800</v>
      </c>
      <c r="I18" s="316">
        <v>3800</v>
      </c>
      <c r="J18" s="316">
        <v>3800</v>
      </c>
      <c r="K18" s="316">
        <v>3800</v>
      </c>
      <c r="L18" s="316">
        <v>3800</v>
      </c>
      <c r="M18" s="316">
        <v>3800</v>
      </c>
      <c r="N18" s="316">
        <v>0</v>
      </c>
      <c r="O18" s="316">
        <v>0</v>
      </c>
      <c r="P18" s="316">
        <f t="shared" si="2"/>
        <v>30400</v>
      </c>
      <c r="R18" s="111" t="s">
        <v>762</v>
      </c>
      <c r="S18" s="277" t="str">
        <f t="shared" si="3"/>
        <v>0501050400</v>
      </c>
      <c r="T18" s="111" t="s">
        <v>774</v>
      </c>
      <c r="U18" s="585" t="s">
        <v>769</v>
      </c>
      <c r="V18" s="111">
        <v>2014</v>
      </c>
      <c r="W18" s="111" t="s">
        <v>770</v>
      </c>
      <c r="X18" s="111">
        <f t="shared" si="4"/>
        <v>30400</v>
      </c>
      <c r="Y18" s="111">
        <f t="shared" si="5"/>
        <v>0</v>
      </c>
      <c r="Z18" s="111">
        <f t="shared" si="6"/>
        <v>0</v>
      </c>
      <c r="AA18" s="111">
        <f t="shared" si="7"/>
        <v>3800</v>
      </c>
      <c r="AB18" s="111">
        <f t="shared" si="8"/>
        <v>3800</v>
      </c>
      <c r="AC18" s="111">
        <f t="shared" si="9"/>
        <v>3800</v>
      </c>
      <c r="AD18" s="111">
        <f t="shared" si="10"/>
        <v>3800</v>
      </c>
      <c r="AE18" s="111">
        <f t="shared" si="11"/>
        <v>3800</v>
      </c>
      <c r="AF18" s="111">
        <f t="shared" si="12"/>
        <v>3800</v>
      </c>
      <c r="AG18" s="111">
        <f t="shared" si="13"/>
        <v>3800</v>
      </c>
      <c r="AH18" s="111">
        <f t="shared" si="14"/>
        <v>3800</v>
      </c>
      <c r="AI18" s="111">
        <f t="shared" si="15"/>
        <v>0</v>
      </c>
      <c r="AJ18" s="111">
        <f t="shared" si="16"/>
        <v>0</v>
      </c>
      <c r="AK18" s="111" t="s">
        <v>767</v>
      </c>
    </row>
    <row r="19" spans="1:37" ht="15" x14ac:dyDescent="0.25">
      <c r="A19" s="349" t="s">
        <v>303</v>
      </c>
      <c r="B19" s="312" t="s">
        <v>242</v>
      </c>
      <c r="C19" s="276" t="str">
        <f>VLOOKUP(B19,'Cat. cuentas'!$A$1:$B$195,2,FALSE)</f>
        <v>GTOS DE VIAJE(HOSP.TRANS.VIAT)</v>
      </c>
      <c r="D19" s="309">
        <f t="shared" ref="D19:O19" si="18">(1000+600)*2*D2</f>
        <v>3210.666666666667</v>
      </c>
      <c r="E19" s="309">
        <f t="shared" si="18"/>
        <v>3221.333333333333</v>
      </c>
      <c r="F19" s="309">
        <f t="shared" si="18"/>
        <v>3232</v>
      </c>
      <c r="G19" s="309">
        <f t="shared" si="18"/>
        <v>3242.666666666667</v>
      </c>
      <c r="H19" s="309">
        <f t="shared" si="18"/>
        <v>3253.333333333333</v>
      </c>
      <c r="I19" s="309">
        <f t="shared" si="18"/>
        <v>3264</v>
      </c>
      <c r="J19" s="309">
        <f t="shared" si="18"/>
        <v>3274.666666666667</v>
      </c>
      <c r="K19" s="309">
        <f t="shared" si="18"/>
        <v>3285.333333333333</v>
      </c>
      <c r="L19" s="309">
        <f t="shared" si="18"/>
        <v>3296</v>
      </c>
      <c r="M19" s="309">
        <f t="shared" si="18"/>
        <v>3306.666666666667</v>
      </c>
      <c r="N19" s="309">
        <f t="shared" si="18"/>
        <v>3317.333333333333</v>
      </c>
      <c r="O19" s="309">
        <f t="shared" si="18"/>
        <v>3328</v>
      </c>
      <c r="P19" s="309">
        <f t="shared" si="2"/>
        <v>39232</v>
      </c>
      <c r="R19" s="111" t="s">
        <v>762</v>
      </c>
      <c r="S19" s="277" t="str">
        <f t="shared" si="3"/>
        <v>0501140100</v>
      </c>
      <c r="T19" s="111" t="s">
        <v>774</v>
      </c>
      <c r="U19" s="585" t="s">
        <v>769</v>
      </c>
      <c r="V19" s="111">
        <v>2014</v>
      </c>
      <c r="W19" s="111" t="s">
        <v>770</v>
      </c>
      <c r="X19" s="111">
        <f t="shared" si="4"/>
        <v>39232</v>
      </c>
      <c r="Y19" s="111">
        <f t="shared" si="5"/>
        <v>3211</v>
      </c>
      <c r="Z19" s="111">
        <f t="shared" si="6"/>
        <v>3221</v>
      </c>
      <c r="AA19" s="111">
        <f t="shared" si="7"/>
        <v>3232</v>
      </c>
      <c r="AB19" s="111">
        <f t="shared" si="8"/>
        <v>3243</v>
      </c>
      <c r="AC19" s="111">
        <f t="shared" si="9"/>
        <v>3253</v>
      </c>
      <c r="AD19" s="111">
        <f t="shared" si="10"/>
        <v>3264</v>
      </c>
      <c r="AE19" s="111">
        <f t="shared" si="11"/>
        <v>3275</v>
      </c>
      <c r="AF19" s="111">
        <f t="shared" si="12"/>
        <v>3285</v>
      </c>
      <c r="AG19" s="111">
        <f t="shared" si="13"/>
        <v>3296</v>
      </c>
      <c r="AH19" s="111">
        <f t="shared" si="14"/>
        <v>3307</v>
      </c>
      <c r="AI19" s="111">
        <f t="shared" si="15"/>
        <v>3317</v>
      </c>
      <c r="AJ19" s="111">
        <f t="shared" si="16"/>
        <v>3328</v>
      </c>
      <c r="AK19" s="111" t="s">
        <v>767</v>
      </c>
    </row>
    <row r="20" spans="1:37" ht="15" x14ac:dyDescent="0.25">
      <c r="A20" s="349" t="s">
        <v>304</v>
      </c>
      <c r="B20" s="277" t="s">
        <v>538</v>
      </c>
      <c r="C20" s="276" t="str">
        <f>VLOOKUP(B20,'Cat. cuentas'!$A$1:$B$195,2,FALSE)</f>
        <v>HERRAMIENTAS MENORES</v>
      </c>
      <c r="D20" s="316">
        <f>(2640)*D2</f>
        <v>2648.8</v>
      </c>
      <c r="E20" s="316">
        <f>1204*E2</f>
        <v>1212.0266666666666</v>
      </c>
      <c r="F20" s="316">
        <f>(2640)*F2</f>
        <v>2666.4</v>
      </c>
      <c r="G20" s="316">
        <f>1204*G2</f>
        <v>1220.0533333333335</v>
      </c>
      <c r="H20" s="316">
        <f>(2640)*H2</f>
        <v>2684</v>
      </c>
      <c r="I20" s="316">
        <f>1204*I2</f>
        <v>1228.08</v>
      </c>
      <c r="J20" s="316">
        <f>(2640)*J2</f>
        <v>2701.6000000000004</v>
      </c>
      <c r="K20" s="316">
        <f>1204*K2</f>
        <v>1236.1066666666666</v>
      </c>
      <c r="L20" s="316">
        <f>(2640)*L2</f>
        <v>2719.2000000000003</v>
      </c>
      <c r="M20" s="316">
        <f>1204*M2</f>
        <v>1244.1333333333334</v>
      </c>
      <c r="N20" s="316">
        <f>(2640)*N2</f>
        <v>2736.7999999999997</v>
      </c>
      <c r="O20" s="316">
        <f>1204*O2</f>
        <v>1252.1600000000001</v>
      </c>
      <c r="P20" s="309">
        <f t="shared" si="2"/>
        <v>23549.360000000001</v>
      </c>
      <c r="R20" s="111" t="s">
        <v>762</v>
      </c>
      <c r="S20" s="277" t="str">
        <f t="shared" si="3"/>
        <v>0501153600</v>
      </c>
      <c r="T20" s="111" t="s">
        <v>774</v>
      </c>
      <c r="U20" s="585" t="s">
        <v>769</v>
      </c>
      <c r="V20" s="111">
        <v>2014</v>
      </c>
      <c r="W20" s="111" t="s">
        <v>770</v>
      </c>
      <c r="X20" s="111">
        <f t="shared" si="4"/>
        <v>23549</v>
      </c>
      <c r="Y20" s="111">
        <f t="shared" si="5"/>
        <v>2649</v>
      </c>
      <c r="Z20" s="111">
        <f t="shared" si="6"/>
        <v>1212</v>
      </c>
      <c r="AA20" s="111">
        <f t="shared" si="7"/>
        <v>2666</v>
      </c>
      <c r="AB20" s="111">
        <f t="shared" si="8"/>
        <v>1220</v>
      </c>
      <c r="AC20" s="111">
        <f t="shared" si="9"/>
        <v>2684</v>
      </c>
      <c r="AD20" s="111">
        <f t="shared" si="10"/>
        <v>1228</v>
      </c>
      <c r="AE20" s="111">
        <f t="shared" si="11"/>
        <v>2702</v>
      </c>
      <c r="AF20" s="111">
        <f t="shared" si="12"/>
        <v>1236</v>
      </c>
      <c r="AG20" s="111">
        <f t="shared" si="13"/>
        <v>2719</v>
      </c>
      <c r="AH20" s="111">
        <f t="shared" si="14"/>
        <v>1244</v>
      </c>
      <c r="AI20" s="111">
        <f t="shared" si="15"/>
        <v>2737</v>
      </c>
      <c r="AJ20" s="111">
        <f t="shared" si="16"/>
        <v>1252</v>
      </c>
      <c r="AK20" s="111" t="s">
        <v>767</v>
      </c>
    </row>
    <row r="21" spans="1:37" ht="15" x14ac:dyDescent="0.25">
      <c r="A21" s="349" t="s">
        <v>305</v>
      </c>
      <c r="B21" s="312" t="s">
        <v>236</v>
      </c>
      <c r="C21" s="276" t="str">
        <f>VLOOKUP(B21,'Cat. cuentas'!$A$1:$B$195,2,FALSE)</f>
        <v>ZAPATOS, UNIFORMES Y EQUIPO</v>
      </c>
      <c r="D21" s="316">
        <v>0</v>
      </c>
      <c r="E21" s="316">
        <v>32200</v>
      </c>
      <c r="F21" s="316">
        <v>32200</v>
      </c>
      <c r="G21" s="316">
        <v>0</v>
      </c>
      <c r="H21" s="316">
        <v>0</v>
      </c>
      <c r="I21" s="316">
        <v>0</v>
      </c>
      <c r="J21" s="316">
        <v>0</v>
      </c>
      <c r="K21" s="316">
        <v>0</v>
      </c>
      <c r="L21" s="316">
        <v>0</v>
      </c>
      <c r="M21" s="316">
        <v>0</v>
      </c>
      <c r="N21" s="316">
        <v>0</v>
      </c>
      <c r="O21" s="316">
        <v>0</v>
      </c>
      <c r="P21" s="316">
        <f t="shared" si="2"/>
        <v>64400</v>
      </c>
      <c r="R21" s="111" t="s">
        <v>762</v>
      </c>
      <c r="S21" s="277" t="str">
        <f t="shared" si="3"/>
        <v>0501050200</v>
      </c>
      <c r="T21" s="111" t="s">
        <v>774</v>
      </c>
      <c r="U21" s="585" t="s">
        <v>769</v>
      </c>
      <c r="V21" s="111">
        <v>2014</v>
      </c>
      <c r="W21" s="111" t="s">
        <v>770</v>
      </c>
      <c r="X21" s="111">
        <f t="shared" si="4"/>
        <v>64400</v>
      </c>
      <c r="Y21" s="111">
        <f t="shared" si="5"/>
        <v>0</v>
      </c>
      <c r="Z21" s="111">
        <f t="shared" si="6"/>
        <v>32200</v>
      </c>
      <c r="AA21" s="111">
        <f t="shared" si="7"/>
        <v>32200</v>
      </c>
      <c r="AB21" s="111">
        <f t="shared" si="8"/>
        <v>0</v>
      </c>
      <c r="AC21" s="111">
        <f t="shared" si="9"/>
        <v>0</v>
      </c>
      <c r="AD21" s="111">
        <f t="shared" si="10"/>
        <v>0</v>
      </c>
      <c r="AE21" s="111">
        <f t="shared" si="11"/>
        <v>0</v>
      </c>
      <c r="AF21" s="111">
        <f t="shared" si="12"/>
        <v>0</v>
      </c>
      <c r="AG21" s="111">
        <f t="shared" si="13"/>
        <v>0</v>
      </c>
      <c r="AH21" s="111">
        <f t="shared" si="14"/>
        <v>0</v>
      </c>
      <c r="AI21" s="111">
        <f t="shared" si="15"/>
        <v>0</v>
      </c>
      <c r="AJ21" s="111">
        <f t="shared" si="16"/>
        <v>0</v>
      </c>
      <c r="AK21" s="111" t="s">
        <v>767</v>
      </c>
    </row>
    <row r="22" spans="1:37" ht="15" x14ac:dyDescent="0.25">
      <c r="A22" s="349" t="s">
        <v>306</v>
      </c>
      <c r="B22" s="275" t="s">
        <v>251</v>
      </c>
      <c r="C22" s="276" t="str">
        <f>VLOOKUP(B22,'Cat. cuentas'!$A$1:$B$195,2,FALSE)</f>
        <v>TELEFONIA CELULAR</v>
      </c>
      <c r="D22" s="316">
        <v>446.55</v>
      </c>
      <c r="E22" s="316">
        <v>446.55</v>
      </c>
      <c r="F22" s="316">
        <v>446.55</v>
      </c>
      <c r="G22" s="316">
        <v>446.55</v>
      </c>
      <c r="H22" s="316">
        <v>446.55</v>
      </c>
      <c r="I22" s="316">
        <v>446.55</v>
      </c>
      <c r="J22" s="316">
        <v>446.55</v>
      </c>
      <c r="K22" s="316">
        <v>446.55</v>
      </c>
      <c r="L22" s="316">
        <v>446.55</v>
      </c>
      <c r="M22" s="316">
        <v>446.55</v>
      </c>
      <c r="N22" s="316">
        <v>446.55</v>
      </c>
      <c r="O22" s="316">
        <v>446.55</v>
      </c>
      <c r="P22" s="309">
        <f t="shared" si="2"/>
        <v>5358.6000000000013</v>
      </c>
      <c r="R22" s="111" t="s">
        <v>762</v>
      </c>
      <c r="S22" s="277" t="str">
        <f t="shared" si="3"/>
        <v>0501090200</v>
      </c>
      <c r="T22" s="111" t="s">
        <v>774</v>
      </c>
      <c r="U22" s="585" t="s">
        <v>769</v>
      </c>
      <c r="V22" s="111">
        <v>2014</v>
      </c>
      <c r="W22" s="111" t="s">
        <v>770</v>
      </c>
      <c r="X22" s="111">
        <f t="shared" si="4"/>
        <v>5364</v>
      </c>
      <c r="Y22" s="111">
        <f t="shared" si="5"/>
        <v>447</v>
      </c>
      <c r="Z22" s="111">
        <f t="shared" si="6"/>
        <v>447</v>
      </c>
      <c r="AA22" s="111">
        <f t="shared" si="7"/>
        <v>447</v>
      </c>
      <c r="AB22" s="111">
        <f t="shared" si="8"/>
        <v>447</v>
      </c>
      <c r="AC22" s="111">
        <f t="shared" si="9"/>
        <v>447</v>
      </c>
      <c r="AD22" s="111">
        <f t="shared" si="10"/>
        <v>447</v>
      </c>
      <c r="AE22" s="111">
        <f t="shared" si="11"/>
        <v>447</v>
      </c>
      <c r="AF22" s="111">
        <f t="shared" si="12"/>
        <v>447</v>
      </c>
      <c r="AG22" s="111">
        <f t="shared" si="13"/>
        <v>447</v>
      </c>
      <c r="AH22" s="111">
        <f t="shared" si="14"/>
        <v>447</v>
      </c>
      <c r="AI22" s="111">
        <f t="shared" si="15"/>
        <v>447</v>
      </c>
      <c r="AJ22" s="111">
        <f t="shared" si="16"/>
        <v>447</v>
      </c>
      <c r="AK22" s="111" t="s">
        <v>767</v>
      </c>
    </row>
    <row r="23" spans="1:37" ht="15" x14ac:dyDescent="0.25">
      <c r="A23" s="349" t="s">
        <v>289</v>
      </c>
      <c r="B23" s="312" t="s">
        <v>284</v>
      </c>
      <c r="C23" s="276" t="str">
        <f>VLOOKUP(B23,'Cat. cuentas'!$A$1:$B$195,2,FALSE)</f>
        <v>GASTOS NO DEDUCIBLES</v>
      </c>
      <c r="D23" s="451">
        <f>(D8*'Costo op 2013'!$Q$72)*D2</f>
        <v>1074.1210566000429</v>
      </c>
      <c r="E23" s="451">
        <f>(E8*'Costo op 2013'!$Q$72)*E2</f>
        <v>1052.2506153000229</v>
      </c>
      <c r="F23" s="451">
        <f>(F8*'Costo op 2013'!$Q$72)*F2</f>
        <v>1091.5766058264974</v>
      </c>
      <c r="G23" s="451">
        <f>(G8*'Costo op 2013'!$Q$72)*G2</f>
        <v>1155.9630438239772</v>
      </c>
      <c r="H23" s="451">
        <f>(H8*'Costo op 2013'!$Q$72)*H2</f>
        <v>1118.5220819598269</v>
      </c>
      <c r="I23" s="451">
        <f>(I8*'Costo op 2013'!$Q$72)*I2</f>
        <v>1127.645109342971</v>
      </c>
      <c r="J23" s="451">
        <f>(J8*'Costo op 2013'!$Q$72)*J2</f>
        <v>1221.2127791378214</v>
      </c>
      <c r="K23" s="451">
        <f>(K8*'Costo op 2013'!$Q$72)*K2</f>
        <v>1199.8854818868967</v>
      </c>
      <c r="L23" s="451">
        <f>(L8*'Costo op 2013'!$Q$72)*L2</f>
        <v>1065.3273982685037</v>
      </c>
      <c r="M23" s="451">
        <f>(M8*'Costo op 2013'!$Q$72)*M2</f>
        <v>1380.126821706747</v>
      </c>
      <c r="N23" s="451">
        <f>(N8*'Costo op 2013'!$Q$72)*N2</f>
        <v>1230.7367499664467</v>
      </c>
      <c r="O23" s="451">
        <f>(O8*'Costo op 2013'!$Q$72)*O2</f>
        <v>1234.6941028602296</v>
      </c>
      <c r="P23" s="309">
        <f t="shared" si="2"/>
        <v>13952.061846679986</v>
      </c>
      <c r="R23" s="111" t="s">
        <v>762</v>
      </c>
      <c r="S23" s="277" t="str">
        <f t="shared" si="3"/>
        <v>0501171000</v>
      </c>
      <c r="T23" s="111" t="s">
        <v>774</v>
      </c>
      <c r="U23" s="585" t="s">
        <v>769</v>
      </c>
      <c r="V23" s="111">
        <v>2014</v>
      </c>
      <c r="W23" s="111" t="s">
        <v>770</v>
      </c>
      <c r="X23" s="111">
        <f t="shared" si="4"/>
        <v>13953</v>
      </c>
      <c r="Y23" s="111">
        <f t="shared" si="5"/>
        <v>1074</v>
      </c>
      <c r="Z23" s="111">
        <f t="shared" si="6"/>
        <v>1052</v>
      </c>
      <c r="AA23" s="111">
        <f t="shared" si="7"/>
        <v>1092</v>
      </c>
      <c r="AB23" s="111">
        <f t="shared" si="8"/>
        <v>1156</v>
      </c>
      <c r="AC23" s="111">
        <f t="shared" si="9"/>
        <v>1119</v>
      </c>
      <c r="AD23" s="111">
        <f t="shared" si="10"/>
        <v>1128</v>
      </c>
      <c r="AE23" s="111">
        <f t="shared" si="11"/>
        <v>1221</v>
      </c>
      <c r="AF23" s="111">
        <f t="shared" si="12"/>
        <v>1200</v>
      </c>
      <c r="AG23" s="111">
        <f t="shared" si="13"/>
        <v>1065</v>
      </c>
      <c r="AH23" s="111">
        <f t="shared" si="14"/>
        <v>1380</v>
      </c>
      <c r="AI23" s="111">
        <f t="shared" si="15"/>
        <v>1231</v>
      </c>
      <c r="AJ23" s="111">
        <f t="shared" si="16"/>
        <v>1235</v>
      </c>
      <c r="AK23" s="111" t="s">
        <v>767</v>
      </c>
    </row>
    <row r="24" spans="1:37" ht="15" x14ac:dyDescent="0.25">
      <c r="A24" s="354" t="s">
        <v>307</v>
      </c>
      <c r="B24" s="336" t="s">
        <v>262</v>
      </c>
      <c r="C24" s="276" t="str">
        <f>VLOOKUP(B24,'Cat. cuentas'!$A$1:$B$195,2,FALSE)</f>
        <v>GASTOS DE COMEDOR</v>
      </c>
      <c r="D24" s="452">
        <v>16120</v>
      </c>
      <c r="E24" s="452">
        <v>16120</v>
      </c>
      <c r="F24" s="452">
        <f>16120*$D$3</f>
        <v>16759.964</v>
      </c>
      <c r="G24" s="452">
        <f>16120*$D$3</f>
        <v>16759.964</v>
      </c>
      <c r="H24" s="452">
        <f t="shared" ref="H24:O24" si="19">16120*$D$3</f>
        <v>16759.964</v>
      </c>
      <c r="I24" s="452">
        <f t="shared" si="19"/>
        <v>16759.964</v>
      </c>
      <c r="J24" s="452">
        <f t="shared" si="19"/>
        <v>16759.964</v>
      </c>
      <c r="K24" s="452">
        <f t="shared" si="19"/>
        <v>16759.964</v>
      </c>
      <c r="L24" s="452">
        <f t="shared" si="19"/>
        <v>16759.964</v>
      </c>
      <c r="M24" s="452">
        <f t="shared" si="19"/>
        <v>16759.964</v>
      </c>
      <c r="N24" s="452">
        <f t="shared" si="19"/>
        <v>16759.964</v>
      </c>
      <c r="O24" s="452">
        <f t="shared" si="19"/>
        <v>16759.964</v>
      </c>
      <c r="P24" s="309">
        <f t="shared" si="2"/>
        <v>199839.64000000004</v>
      </c>
      <c r="R24" s="111" t="s">
        <v>762</v>
      </c>
      <c r="S24" s="277" t="str">
        <f t="shared" si="3"/>
        <v>0501040600</v>
      </c>
      <c r="T24" s="111" t="s">
        <v>774</v>
      </c>
      <c r="U24" s="585" t="s">
        <v>769</v>
      </c>
      <c r="V24" s="111">
        <v>2014</v>
      </c>
      <c r="W24" s="111" t="s">
        <v>770</v>
      </c>
      <c r="X24" s="111">
        <f t="shared" si="4"/>
        <v>199840</v>
      </c>
      <c r="Y24" s="111">
        <f t="shared" si="5"/>
        <v>16120</v>
      </c>
      <c r="Z24" s="111">
        <f t="shared" si="6"/>
        <v>16120</v>
      </c>
      <c r="AA24" s="111">
        <f t="shared" si="7"/>
        <v>16760</v>
      </c>
      <c r="AB24" s="111">
        <f t="shared" si="8"/>
        <v>16760</v>
      </c>
      <c r="AC24" s="111">
        <f t="shared" si="9"/>
        <v>16760</v>
      </c>
      <c r="AD24" s="111">
        <f t="shared" si="10"/>
        <v>16760</v>
      </c>
      <c r="AE24" s="111">
        <f t="shared" si="11"/>
        <v>16760</v>
      </c>
      <c r="AF24" s="111">
        <f t="shared" si="12"/>
        <v>16760</v>
      </c>
      <c r="AG24" s="111">
        <f t="shared" si="13"/>
        <v>16760</v>
      </c>
      <c r="AH24" s="111">
        <f t="shared" si="14"/>
        <v>16760</v>
      </c>
      <c r="AI24" s="111">
        <f t="shared" si="15"/>
        <v>16760</v>
      </c>
      <c r="AJ24" s="111">
        <f t="shared" si="16"/>
        <v>16760</v>
      </c>
      <c r="AK24" s="111" t="s">
        <v>767</v>
      </c>
    </row>
    <row r="25" spans="1:37" ht="15" x14ac:dyDescent="0.25">
      <c r="A25" s="354"/>
      <c r="B25" s="336" t="s">
        <v>263</v>
      </c>
      <c r="C25" s="276" t="str">
        <f>VLOOKUP(B25,'Cat. cuentas'!$A$1:$B$195,2,FALSE)</f>
        <v>COCHES, PASAJES Y TAXIS</v>
      </c>
      <c r="D25" s="452">
        <f>160*$D$3</f>
        <v>166.352</v>
      </c>
      <c r="E25" s="452">
        <f t="shared" ref="E25:O25" si="20">160*$D$3</f>
        <v>166.352</v>
      </c>
      <c r="F25" s="452">
        <f t="shared" si="20"/>
        <v>166.352</v>
      </c>
      <c r="G25" s="452">
        <f t="shared" si="20"/>
        <v>166.352</v>
      </c>
      <c r="H25" s="452">
        <f t="shared" si="20"/>
        <v>166.352</v>
      </c>
      <c r="I25" s="452">
        <f t="shared" si="20"/>
        <v>166.352</v>
      </c>
      <c r="J25" s="452">
        <f t="shared" si="20"/>
        <v>166.352</v>
      </c>
      <c r="K25" s="452">
        <f t="shared" si="20"/>
        <v>166.352</v>
      </c>
      <c r="L25" s="452">
        <f t="shared" si="20"/>
        <v>166.352</v>
      </c>
      <c r="M25" s="452">
        <f t="shared" si="20"/>
        <v>166.352</v>
      </c>
      <c r="N25" s="452">
        <f t="shared" si="20"/>
        <v>166.352</v>
      </c>
      <c r="O25" s="452">
        <f t="shared" si="20"/>
        <v>166.352</v>
      </c>
      <c r="P25" s="309">
        <f t="shared" si="2"/>
        <v>1996.2240000000004</v>
      </c>
      <c r="R25" s="111" t="s">
        <v>762</v>
      </c>
      <c r="S25" s="277" t="str">
        <f t="shared" si="3"/>
        <v>0501140300</v>
      </c>
      <c r="T25" s="111" t="s">
        <v>774</v>
      </c>
      <c r="U25" s="585" t="s">
        <v>769</v>
      </c>
      <c r="V25" s="111">
        <v>2014</v>
      </c>
      <c r="W25" s="111" t="s">
        <v>770</v>
      </c>
      <c r="X25" s="111">
        <f t="shared" si="4"/>
        <v>1992</v>
      </c>
      <c r="Y25" s="111">
        <f t="shared" si="5"/>
        <v>166</v>
      </c>
      <c r="Z25" s="111">
        <f t="shared" si="6"/>
        <v>166</v>
      </c>
      <c r="AA25" s="111">
        <f t="shared" si="7"/>
        <v>166</v>
      </c>
      <c r="AB25" s="111">
        <f t="shared" si="8"/>
        <v>166</v>
      </c>
      <c r="AC25" s="111">
        <f t="shared" si="9"/>
        <v>166</v>
      </c>
      <c r="AD25" s="111">
        <f t="shared" si="10"/>
        <v>166</v>
      </c>
      <c r="AE25" s="111">
        <f t="shared" si="11"/>
        <v>166</v>
      </c>
      <c r="AF25" s="111">
        <f t="shared" si="12"/>
        <v>166</v>
      </c>
      <c r="AG25" s="111">
        <f t="shared" si="13"/>
        <v>166</v>
      </c>
      <c r="AH25" s="111">
        <f t="shared" si="14"/>
        <v>166</v>
      </c>
      <c r="AI25" s="111">
        <f t="shared" si="15"/>
        <v>166</v>
      </c>
      <c r="AJ25" s="111">
        <f t="shared" si="16"/>
        <v>166</v>
      </c>
      <c r="AK25" s="111" t="s">
        <v>767</v>
      </c>
    </row>
    <row r="26" spans="1:37" ht="15" x14ac:dyDescent="0.25">
      <c r="A26" s="354"/>
      <c r="B26" s="278" t="s">
        <v>265</v>
      </c>
      <c r="C26" s="276" t="str">
        <f>VLOOKUP(B26,'Cat. cuentas'!$A$1:$B$195,2,FALSE)</f>
        <v>EXAMENES MEDICOS</v>
      </c>
      <c r="D26" s="450">
        <v>0</v>
      </c>
      <c r="E26" s="450">
        <v>0</v>
      </c>
      <c r="F26" s="450">
        <v>4888</v>
      </c>
      <c r="G26" s="450">
        <v>4888</v>
      </c>
      <c r="H26" s="450">
        <v>4888</v>
      </c>
      <c r="I26" s="450">
        <v>4888</v>
      </c>
      <c r="J26" s="450">
        <v>4888</v>
      </c>
      <c r="K26" s="450">
        <v>4888</v>
      </c>
      <c r="L26" s="450">
        <v>4888</v>
      </c>
      <c r="M26" s="450">
        <v>4888</v>
      </c>
      <c r="N26" s="450">
        <v>0</v>
      </c>
      <c r="O26" s="450">
        <v>0</v>
      </c>
      <c r="P26" s="316">
        <f t="shared" si="2"/>
        <v>39104</v>
      </c>
      <c r="R26" s="111" t="s">
        <v>762</v>
      </c>
      <c r="S26" s="277" t="str">
        <f t="shared" si="3"/>
        <v>0501050100</v>
      </c>
      <c r="T26" s="111" t="s">
        <v>774</v>
      </c>
      <c r="U26" s="585" t="s">
        <v>769</v>
      </c>
      <c r="V26" s="111">
        <v>2014</v>
      </c>
      <c r="W26" s="111" t="s">
        <v>770</v>
      </c>
      <c r="X26" s="111">
        <f t="shared" si="4"/>
        <v>39104</v>
      </c>
      <c r="Y26" s="111">
        <f t="shared" si="5"/>
        <v>0</v>
      </c>
      <c r="Z26" s="111">
        <f t="shared" si="6"/>
        <v>0</v>
      </c>
      <c r="AA26" s="111">
        <f t="shared" si="7"/>
        <v>4888</v>
      </c>
      <c r="AB26" s="111">
        <f t="shared" si="8"/>
        <v>4888</v>
      </c>
      <c r="AC26" s="111">
        <f t="shared" si="9"/>
        <v>4888</v>
      </c>
      <c r="AD26" s="111">
        <f t="shared" si="10"/>
        <v>4888</v>
      </c>
      <c r="AE26" s="111">
        <f t="shared" si="11"/>
        <v>4888</v>
      </c>
      <c r="AF26" s="111">
        <f t="shared" si="12"/>
        <v>4888</v>
      </c>
      <c r="AG26" s="111">
        <f t="shared" si="13"/>
        <v>4888</v>
      </c>
      <c r="AH26" s="111">
        <f t="shared" si="14"/>
        <v>4888</v>
      </c>
      <c r="AI26" s="111">
        <f t="shared" si="15"/>
        <v>0</v>
      </c>
      <c r="AJ26" s="111">
        <f t="shared" si="16"/>
        <v>0</v>
      </c>
      <c r="AK26" s="111" t="s">
        <v>767</v>
      </c>
    </row>
    <row r="27" spans="1:37" ht="15" x14ac:dyDescent="0.25">
      <c r="A27" s="354"/>
      <c r="B27" s="336" t="s">
        <v>269</v>
      </c>
      <c r="C27" s="276" t="str">
        <f>VLOOKUP(B27,'Cat. cuentas'!$A$1:$B$195,2,FALSE)</f>
        <v>OTROS GASTOS</v>
      </c>
      <c r="D27" s="452">
        <v>1500</v>
      </c>
      <c r="E27" s="452">
        <v>1500</v>
      </c>
      <c r="F27" s="452">
        <v>1500</v>
      </c>
      <c r="G27" s="452">
        <v>1500</v>
      </c>
      <c r="H27" s="452">
        <v>1500</v>
      </c>
      <c r="I27" s="452">
        <v>1500</v>
      </c>
      <c r="J27" s="452">
        <v>1500</v>
      </c>
      <c r="K27" s="452">
        <v>1500</v>
      </c>
      <c r="L27" s="452">
        <v>1500</v>
      </c>
      <c r="M27" s="452">
        <v>1500</v>
      </c>
      <c r="N27" s="452">
        <v>1500</v>
      </c>
      <c r="O27" s="452">
        <v>1500</v>
      </c>
      <c r="P27" s="309">
        <f t="shared" si="2"/>
        <v>18000</v>
      </c>
      <c r="R27" s="111" t="s">
        <v>762</v>
      </c>
      <c r="S27" s="277" t="str">
        <f t="shared" si="3"/>
        <v>0501179900</v>
      </c>
      <c r="T27" s="111" t="s">
        <v>774</v>
      </c>
      <c r="U27" s="585" t="s">
        <v>769</v>
      </c>
      <c r="V27" s="111">
        <v>2014</v>
      </c>
      <c r="W27" s="111" t="s">
        <v>770</v>
      </c>
      <c r="X27" s="111">
        <f t="shared" si="4"/>
        <v>18000</v>
      </c>
      <c r="Y27" s="111">
        <f t="shared" si="5"/>
        <v>1500</v>
      </c>
      <c r="Z27" s="111">
        <f t="shared" si="6"/>
        <v>1500</v>
      </c>
      <c r="AA27" s="111">
        <f t="shared" si="7"/>
        <v>1500</v>
      </c>
      <c r="AB27" s="111">
        <f t="shared" si="8"/>
        <v>1500</v>
      </c>
      <c r="AC27" s="111">
        <f t="shared" si="9"/>
        <v>1500</v>
      </c>
      <c r="AD27" s="111">
        <f t="shared" si="10"/>
        <v>1500</v>
      </c>
      <c r="AE27" s="111">
        <f t="shared" si="11"/>
        <v>1500</v>
      </c>
      <c r="AF27" s="111">
        <f t="shared" si="12"/>
        <v>1500</v>
      </c>
      <c r="AG27" s="111">
        <f t="shared" si="13"/>
        <v>1500</v>
      </c>
      <c r="AH27" s="111">
        <f t="shared" si="14"/>
        <v>1500</v>
      </c>
      <c r="AI27" s="111">
        <f t="shared" si="15"/>
        <v>1500</v>
      </c>
      <c r="AJ27" s="111">
        <f t="shared" si="16"/>
        <v>1500</v>
      </c>
      <c r="AK27" s="111" t="s">
        <v>767</v>
      </c>
    </row>
    <row r="28" spans="1:37" ht="15" x14ac:dyDescent="0.25">
      <c r="A28" s="354"/>
      <c r="B28" s="336" t="s">
        <v>534</v>
      </c>
      <c r="C28" s="276" t="str">
        <f>VLOOKUP(B28,'Cat. cuentas'!$A$1:$B$195,2,FALSE)</f>
        <v>FLETES PAGADOS POR COMPRAS</v>
      </c>
      <c r="D28" s="450">
        <v>400</v>
      </c>
      <c r="E28" s="450">
        <v>400</v>
      </c>
      <c r="F28" s="450">
        <v>400</v>
      </c>
      <c r="G28" s="450">
        <v>400</v>
      </c>
      <c r="H28" s="450">
        <v>400</v>
      </c>
      <c r="I28" s="450">
        <v>400</v>
      </c>
      <c r="J28" s="450">
        <v>400</v>
      </c>
      <c r="K28" s="450">
        <v>400</v>
      </c>
      <c r="L28" s="450">
        <v>400</v>
      </c>
      <c r="M28" s="450">
        <v>400</v>
      </c>
      <c r="N28" s="450">
        <v>400</v>
      </c>
      <c r="O28" s="450">
        <v>400</v>
      </c>
      <c r="P28" s="309">
        <f t="shared" si="2"/>
        <v>4800</v>
      </c>
      <c r="R28" s="111" t="s">
        <v>762</v>
      </c>
      <c r="S28" s="277" t="str">
        <f t="shared" si="3"/>
        <v>0501153400</v>
      </c>
      <c r="T28" s="111" t="s">
        <v>774</v>
      </c>
      <c r="U28" s="585" t="s">
        <v>769</v>
      </c>
      <c r="V28" s="111">
        <v>2014</v>
      </c>
      <c r="W28" s="111" t="s">
        <v>770</v>
      </c>
      <c r="X28" s="111">
        <f t="shared" si="4"/>
        <v>4800</v>
      </c>
      <c r="Y28" s="111">
        <f t="shared" si="5"/>
        <v>400</v>
      </c>
      <c r="Z28" s="111">
        <f t="shared" si="6"/>
        <v>400</v>
      </c>
      <c r="AA28" s="111">
        <f t="shared" si="7"/>
        <v>400</v>
      </c>
      <c r="AB28" s="111">
        <f t="shared" si="8"/>
        <v>400</v>
      </c>
      <c r="AC28" s="111">
        <f t="shared" si="9"/>
        <v>400</v>
      </c>
      <c r="AD28" s="111">
        <f t="shared" si="10"/>
        <v>400</v>
      </c>
      <c r="AE28" s="111">
        <f t="shared" si="11"/>
        <v>400</v>
      </c>
      <c r="AF28" s="111">
        <f t="shared" si="12"/>
        <v>400</v>
      </c>
      <c r="AG28" s="111">
        <f t="shared" si="13"/>
        <v>400</v>
      </c>
      <c r="AH28" s="111">
        <f t="shared" si="14"/>
        <v>400</v>
      </c>
      <c r="AI28" s="111">
        <f t="shared" si="15"/>
        <v>400</v>
      </c>
      <c r="AJ28" s="111">
        <f t="shared" si="16"/>
        <v>400</v>
      </c>
      <c r="AK28" s="111" t="s">
        <v>767</v>
      </c>
    </row>
    <row r="29" spans="1:37" ht="15" x14ac:dyDescent="0.25">
      <c r="A29" s="354"/>
      <c r="B29" s="336" t="s">
        <v>419</v>
      </c>
      <c r="C29" s="276" t="str">
        <f>VLOOKUP(B29,'Cat. cuentas'!$A$1:$B$195,2,FALSE)</f>
        <v>INSUMOS DE MANTENIMIENTO</v>
      </c>
      <c r="D29" s="452">
        <f>5000*D2</f>
        <v>5016.666666666667</v>
      </c>
      <c r="E29" s="452">
        <f t="shared" ref="E29:O29" si="21">5000*E2</f>
        <v>5033.333333333333</v>
      </c>
      <c r="F29" s="452">
        <f t="shared" si="21"/>
        <v>5050</v>
      </c>
      <c r="G29" s="452">
        <f t="shared" si="21"/>
        <v>5066.666666666667</v>
      </c>
      <c r="H29" s="452">
        <f t="shared" si="21"/>
        <v>5083.333333333333</v>
      </c>
      <c r="I29" s="452">
        <f t="shared" si="21"/>
        <v>5100</v>
      </c>
      <c r="J29" s="452">
        <f t="shared" si="21"/>
        <v>5116.666666666667</v>
      </c>
      <c r="K29" s="452">
        <f t="shared" si="21"/>
        <v>5133.333333333333</v>
      </c>
      <c r="L29" s="452">
        <f t="shared" si="21"/>
        <v>5150</v>
      </c>
      <c r="M29" s="452">
        <f t="shared" si="21"/>
        <v>5166.666666666667</v>
      </c>
      <c r="N29" s="452">
        <f t="shared" si="21"/>
        <v>5183.333333333333</v>
      </c>
      <c r="O29" s="452">
        <f t="shared" si="21"/>
        <v>5200</v>
      </c>
      <c r="P29" s="309">
        <f t="shared" si="2"/>
        <v>61300</v>
      </c>
      <c r="R29" s="111" t="s">
        <v>762</v>
      </c>
      <c r="S29" s="277" t="str">
        <f t="shared" si="3"/>
        <v>0501060900</v>
      </c>
      <c r="T29" s="111" t="s">
        <v>774</v>
      </c>
      <c r="U29" s="585" t="s">
        <v>769</v>
      </c>
      <c r="V29" s="111">
        <v>2014</v>
      </c>
      <c r="W29" s="111" t="s">
        <v>770</v>
      </c>
      <c r="X29" s="111">
        <f t="shared" si="4"/>
        <v>61300</v>
      </c>
      <c r="Y29" s="111">
        <f t="shared" si="5"/>
        <v>5017</v>
      </c>
      <c r="Z29" s="111">
        <f t="shared" si="6"/>
        <v>5033</v>
      </c>
      <c r="AA29" s="111">
        <f t="shared" si="7"/>
        <v>5050</v>
      </c>
      <c r="AB29" s="111">
        <f t="shared" si="8"/>
        <v>5067</v>
      </c>
      <c r="AC29" s="111">
        <f t="shared" si="9"/>
        <v>5083</v>
      </c>
      <c r="AD29" s="111">
        <f t="shared" si="10"/>
        <v>5100</v>
      </c>
      <c r="AE29" s="111">
        <f t="shared" si="11"/>
        <v>5117</v>
      </c>
      <c r="AF29" s="111">
        <f t="shared" si="12"/>
        <v>5133</v>
      </c>
      <c r="AG29" s="111">
        <f t="shared" si="13"/>
        <v>5150</v>
      </c>
      <c r="AH29" s="111">
        <f t="shared" si="14"/>
        <v>5167</v>
      </c>
      <c r="AI29" s="111">
        <f t="shared" si="15"/>
        <v>5183</v>
      </c>
      <c r="AJ29" s="111">
        <f t="shared" si="16"/>
        <v>5200</v>
      </c>
      <c r="AK29" s="111" t="s">
        <v>767</v>
      </c>
    </row>
    <row r="30" spans="1:37" ht="15" x14ac:dyDescent="0.25">
      <c r="A30" s="354"/>
      <c r="B30" s="336" t="s">
        <v>536</v>
      </c>
      <c r="C30" s="276" t="str">
        <f>VLOOKUP(B30,'Cat. cuentas'!$A$1:$B$195,2,FALSE)</f>
        <v>MANIOBRAS DE ARRASTRE</v>
      </c>
      <c r="D30" s="450">
        <v>0</v>
      </c>
      <c r="E30" s="450">
        <v>0</v>
      </c>
      <c r="F30" s="450">
        <v>0</v>
      </c>
      <c r="G30" s="450">
        <v>0</v>
      </c>
      <c r="H30" s="450">
        <v>0</v>
      </c>
      <c r="I30" s="450">
        <v>0</v>
      </c>
      <c r="J30" s="450">
        <v>0</v>
      </c>
      <c r="K30" s="450">
        <v>5000</v>
      </c>
      <c r="L30" s="450">
        <v>0</v>
      </c>
      <c r="M30" s="450">
        <v>0</v>
      </c>
      <c r="N30" s="450">
        <v>0</v>
      </c>
      <c r="O30" s="450">
        <v>0</v>
      </c>
      <c r="P30" s="316">
        <f t="shared" si="2"/>
        <v>5000</v>
      </c>
      <c r="R30" s="111" t="s">
        <v>762</v>
      </c>
      <c r="S30" s="277" t="str">
        <f t="shared" si="3"/>
        <v>0501153500</v>
      </c>
      <c r="T30" s="111" t="s">
        <v>774</v>
      </c>
      <c r="U30" s="585" t="s">
        <v>769</v>
      </c>
      <c r="V30" s="111">
        <v>2014</v>
      </c>
      <c r="W30" s="111" t="s">
        <v>770</v>
      </c>
      <c r="X30" s="111">
        <f t="shared" si="4"/>
        <v>5000</v>
      </c>
      <c r="Y30" s="111">
        <f t="shared" si="5"/>
        <v>0</v>
      </c>
      <c r="Z30" s="111">
        <f t="shared" si="6"/>
        <v>0</v>
      </c>
      <c r="AA30" s="111">
        <f t="shared" si="7"/>
        <v>0</v>
      </c>
      <c r="AB30" s="111">
        <f t="shared" si="8"/>
        <v>0</v>
      </c>
      <c r="AC30" s="111">
        <f t="shared" si="9"/>
        <v>0</v>
      </c>
      <c r="AD30" s="111">
        <f t="shared" si="10"/>
        <v>0</v>
      </c>
      <c r="AE30" s="111">
        <f t="shared" si="11"/>
        <v>0</v>
      </c>
      <c r="AF30" s="111">
        <f t="shared" si="12"/>
        <v>5000</v>
      </c>
      <c r="AG30" s="111">
        <f t="shared" si="13"/>
        <v>0</v>
      </c>
      <c r="AH30" s="111">
        <f t="shared" si="14"/>
        <v>0</v>
      </c>
      <c r="AI30" s="111">
        <f t="shared" si="15"/>
        <v>0</v>
      </c>
      <c r="AJ30" s="111">
        <f t="shared" si="16"/>
        <v>0</v>
      </c>
      <c r="AK30" s="111" t="s">
        <v>767</v>
      </c>
    </row>
    <row r="31" spans="1:37" ht="15" x14ac:dyDescent="0.25">
      <c r="A31" s="349" t="s">
        <v>310</v>
      </c>
      <c r="B31" s="469" t="s">
        <v>291</v>
      </c>
      <c r="C31" s="276" t="str">
        <f>VLOOKUP(B31,'Cat. cuentas'!$A$1:$B$195,2,FALSE)</f>
        <v>FACILIDADES ADMINISTRATIVAS</v>
      </c>
      <c r="D31" s="309">
        <f>(D8*'Costo op 2013'!$Q$83)*D2</f>
        <v>1074.1210566000429</v>
      </c>
      <c r="E31" s="309">
        <f>(E8*'Costo op 2013'!$Q$83)*E2</f>
        <v>1052.2506153000229</v>
      </c>
      <c r="F31" s="309">
        <f>(F8*'Costo op 2013'!$Q$83)*F2</f>
        <v>1091.5766058264974</v>
      </c>
      <c r="G31" s="309">
        <f>(G8*'Costo op 2013'!$Q$83)*G2</f>
        <v>1155.9630438239772</v>
      </c>
      <c r="H31" s="309">
        <f>(H8*'Costo op 2013'!$Q$83)*H2</f>
        <v>1118.5220819598269</v>
      </c>
      <c r="I31" s="309">
        <f>(I8*'Costo op 2013'!$Q$83)*I2</f>
        <v>1127.645109342971</v>
      </c>
      <c r="J31" s="309">
        <f>(J8*'Costo op 2013'!$Q$83)*J2</f>
        <v>1221.2127791378214</v>
      </c>
      <c r="K31" s="309">
        <f>(K8*'Costo op 2013'!$Q$83)*K2</f>
        <v>1199.8854818868967</v>
      </c>
      <c r="L31" s="309">
        <f>(L8*'Costo op 2013'!$Q$83)*L2</f>
        <v>1065.3273982685037</v>
      </c>
      <c r="M31" s="309">
        <f>(M8*'Costo op 2013'!$Q$83)*M2</f>
        <v>1380.126821706747</v>
      </c>
      <c r="N31" s="309">
        <f>(N8*'Costo op 2013'!$Q$83)*N2</f>
        <v>1230.7367499664467</v>
      </c>
      <c r="O31" s="309">
        <f>(O8*'Costo op 2013'!$Q$83)*O2</f>
        <v>1234.6941028602296</v>
      </c>
      <c r="P31" s="309">
        <f t="shared" si="2"/>
        <v>13952.061846679986</v>
      </c>
      <c r="R31" s="111" t="s">
        <v>762</v>
      </c>
      <c r="S31" s="277" t="str">
        <f t="shared" si="3"/>
        <v>0501170600</v>
      </c>
      <c r="T31" s="111" t="s">
        <v>774</v>
      </c>
      <c r="U31" s="585" t="s">
        <v>769</v>
      </c>
      <c r="V31" s="111">
        <v>2014</v>
      </c>
      <c r="W31" s="111" t="s">
        <v>770</v>
      </c>
      <c r="X31" s="111">
        <f t="shared" si="4"/>
        <v>13953</v>
      </c>
      <c r="Y31" s="111">
        <f t="shared" si="5"/>
        <v>1074</v>
      </c>
      <c r="Z31" s="111">
        <f t="shared" si="6"/>
        <v>1052</v>
      </c>
      <c r="AA31" s="111">
        <f t="shared" si="7"/>
        <v>1092</v>
      </c>
      <c r="AB31" s="111">
        <f t="shared" si="8"/>
        <v>1156</v>
      </c>
      <c r="AC31" s="111">
        <f t="shared" si="9"/>
        <v>1119</v>
      </c>
      <c r="AD31" s="111">
        <f t="shared" si="10"/>
        <v>1128</v>
      </c>
      <c r="AE31" s="111">
        <f t="shared" si="11"/>
        <v>1221</v>
      </c>
      <c r="AF31" s="111">
        <f t="shared" si="12"/>
        <v>1200</v>
      </c>
      <c r="AG31" s="111">
        <f t="shared" si="13"/>
        <v>1065</v>
      </c>
      <c r="AH31" s="111">
        <f t="shared" si="14"/>
        <v>1380</v>
      </c>
      <c r="AI31" s="111">
        <f t="shared" si="15"/>
        <v>1231</v>
      </c>
      <c r="AJ31" s="111">
        <f t="shared" si="16"/>
        <v>1235</v>
      </c>
      <c r="AK31" s="111" t="s">
        <v>767</v>
      </c>
    </row>
    <row r="32" spans="1:37" ht="15" x14ac:dyDescent="0.25">
      <c r="A32" s="350" t="s">
        <v>270</v>
      </c>
      <c r="B32" s="290"/>
      <c r="C32" s="292"/>
      <c r="D32" s="337">
        <f t="shared" ref="D32:O32" si="22">SUM(D13:D31)</f>
        <v>264096.47077986674</v>
      </c>
      <c r="E32" s="337">
        <f t="shared" si="22"/>
        <v>294844.12323060003</v>
      </c>
      <c r="F32" s="337">
        <f t="shared" si="22"/>
        <v>310995.63331165299</v>
      </c>
      <c r="G32" s="337">
        <f t="shared" si="22"/>
        <v>277506.22618764796</v>
      </c>
      <c r="H32" s="337">
        <f t="shared" si="22"/>
        <v>282498.45759725291</v>
      </c>
      <c r="I32" s="337">
        <f t="shared" si="22"/>
        <v>277513.95031868591</v>
      </c>
      <c r="J32" s="337">
        <f t="shared" si="22"/>
        <v>279202.77232494234</v>
      </c>
      <c r="K32" s="337">
        <f t="shared" si="22"/>
        <v>282722.79106377374</v>
      </c>
      <c r="L32" s="337">
        <f t="shared" si="22"/>
        <v>278964.93489653699</v>
      </c>
      <c r="M32" s="337">
        <f t="shared" si="22"/>
        <v>278147.63374341349</v>
      </c>
      <c r="N32" s="337">
        <f t="shared" si="22"/>
        <v>282801.68693326617</v>
      </c>
      <c r="O32" s="337">
        <f t="shared" si="22"/>
        <v>269233.12830572046</v>
      </c>
      <c r="P32" s="308">
        <f>SUM(P13:P31)</f>
        <v>3378527.8086933605</v>
      </c>
      <c r="Q32" s="17"/>
    </row>
    <row r="33" spans="1:37" ht="15" x14ac:dyDescent="0.25">
      <c r="A33" s="350" t="s">
        <v>271</v>
      </c>
      <c r="B33" s="277"/>
      <c r="C33" s="111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309"/>
    </row>
    <row r="34" spans="1:37" ht="15" x14ac:dyDescent="0.25">
      <c r="A34" s="349" t="s">
        <v>277</v>
      </c>
      <c r="B34" s="285" t="s">
        <v>290</v>
      </c>
      <c r="C34" s="276" t="str">
        <f>VLOOKUP(B34,'Cat. cuentas'!$A$1:$B$195,2,FALSE)</f>
        <v>TALACHAS</v>
      </c>
      <c r="D34" s="309">
        <f>(D8*'Costo op 2013'!$Q$53)*D2+2000</f>
        <v>2692.5744937113304</v>
      </c>
      <c r="E34" s="309">
        <f>(E8*'Costo op 2013'!$Q$53)*E2+2000</f>
        <v>2678.4728152110038</v>
      </c>
      <c r="F34" s="309">
        <f>(F8*'Costo op 2013'!$Q$53)*F2+2000</f>
        <v>2703.8295269254004</v>
      </c>
      <c r="G34" s="309">
        <f>(G8*'Costo op 2013'!$Q$53)*G2+2000</f>
        <v>2745.3447773936578</v>
      </c>
      <c r="H34" s="309">
        <f>(H8*'Costo op 2013'!$Q$53)*H2+2000</f>
        <v>2721.2034992315776</v>
      </c>
      <c r="I34" s="309">
        <f>(I8*'Costo op 2013'!$Q$53)*I2+2000</f>
        <v>2727.085867920071</v>
      </c>
      <c r="J34" s="309">
        <f>(J8*'Costo op 2013'!$Q$53)*J2+2000</f>
        <v>2787.4166668907565</v>
      </c>
      <c r="K34" s="309">
        <f>(K8*'Costo op 2013'!$Q$53)*K2+2000</f>
        <v>2773.6651981852228</v>
      </c>
      <c r="L34" s="309">
        <f>(L8*'Costo op 2013'!$Q$53)*L2+2000</f>
        <v>2686.9044964336363</v>
      </c>
      <c r="M34" s="309">
        <f>(M8*'Costo op 2013'!$Q$53)*M2+2000</f>
        <v>2889.8816655047594</v>
      </c>
      <c r="N34" s="309">
        <f>(N8*'Costo op 2013'!$Q$53)*N2+2000</f>
        <v>2793.5575569089033</v>
      </c>
      <c r="O34" s="309">
        <f>(O8*'Costo op 2013'!$Q$53)*O2+2000</f>
        <v>2796.1091889246877</v>
      </c>
      <c r="P34" s="449">
        <f t="shared" ref="P34:P61" si="23">SUM(D34:O34)</f>
        <v>32996.045753241007</v>
      </c>
      <c r="R34" s="111" t="s">
        <v>762</v>
      </c>
      <c r="S34" s="277" t="str">
        <f t="shared" ref="S34:S61" si="24">B34</f>
        <v>0501160500</v>
      </c>
      <c r="T34" s="111" t="s">
        <v>775</v>
      </c>
      <c r="U34" s="585" t="s">
        <v>769</v>
      </c>
      <c r="V34" s="111">
        <v>2014</v>
      </c>
      <c r="W34" s="111" t="s">
        <v>770</v>
      </c>
      <c r="X34" s="111">
        <f t="shared" ref="X34:X61" si="25">SUM(Y34:AJ34)</f>
        <v>32996</v>
      </c>
      <c r="Y34" s="111">
        <f t="shared" ref="Y34:Y61" si="26">ROUND(D34,0)</f>
        <v>2693</v>
      </c>
      <c r="Z34" s="111">
        <f t="shared" ref="Z34:Z61" si="27">ROUND(E34,0)</f>
        <v>2678</v>
      </c>
      <c r="AA34" s="111">
        <f t="shared" ref="AA34:AA61" si="28">ROUND(F34,0)</f>
        <v>2704</v>
      </c>
      <c r="AB34" s="111">
        <f t="shared" ref="AB34:AB61" si="29">ROUND(G34,0)</f>
        <v>2745</v>
      </c>
      <c r="AC34" s="111">
        <f t="shared" ref="AC34:AC61" si="30">ROUND(H34,0)</f>
        <v>2721</v>
      </c>
      <c r="AD34" s="111">
        <f t="shared" ref="AD34:AD61" si="31">ROUND(I34,0)</f>
        <v>2727</v>
      </c>
      <c r="AE34" s="111">
        <f t="shared" ref="AE34:AE61" si="32">ROUND(J34,0)</f>
        <v>2787</v>
      </c>
      <c r="AF34" s="111">
        <f t="shared" ref="AF34:AF61" si="33">ROUND(K34,0)</f>
        <v>2774</v>
      </c>
      <c r="AG34" s="111">
        <f t="shared" ref="AG34:AG61" si="34">ROUND(L34,0)</f>
        <v>2687</v>
      </c>
      <c r="AH34" s="111">
        <f t="shared" ref="AH34:AH61" si="35">ROUND(M34,0)</f>
        <v>2890</v>
      </c>
      <c r="AI34" s="111">
        <f t="shared" ref="AI34:AI61" si="36">ROUND(N34,0)</f>
        <v>2794</v>
      </c>
      <c r="AJ34" s="111">
        <f t="shared" ref="AJ34:AJ61" si="37">ROUND(O34,0)</f>
        <v>2796</v>
      </c>
      <c r="AK34" s="111" t="s">
        <v>767</v>
      </c>
    </row>
    <row r="35" spans="1:37" ht="15" x14ac:dyDescent="0.25">
      <c r="A35" s="349" t="s">
        <v>311</v>
      </c>
      <c r="B35" s="312" t="s">
        <v>312</v>
      </c>
      <c r="C35" s="276" t="str">
        <f>VLOOKUP(B35,'Cat. cuentas'!$A$1:$B$195,2,FALSE)</f>
        <v>REPARACION TALLERES EXTERNOS</v>
      </c>
      <c r="D35" s="316">
        <f>(D$8*'Costo op 2013'!$Q87)*D2</f>
        <v>83922.609004478523</v>
      </c>
      <c r="E35" s="316">
        <f>(E$8*'Costo op 2013'!$Q87)*E2</f>
        <v>82213.840255649848</v>
      </c>
      <c r="F35" s="316">
        <f>(F$8*'Costo op 2013'!$Q87)*F2</f>
        <v>85286.435943433724</v>
      </c>
      <c r="G35" s="316">
        <f>(G$8*'Costo op 2013'!$Q87)*G2</f>
        <v>90317.040108626621</v>
      </c>
      <c r="H35" s="316">
        <f>(H$8*'Costo op 2013'!$Q87)*H2</f>
        <v>87391.724396799313</v>
      </c>
      <c r="I35" s="316">
        <f>(I$8*'Costo op 2013'!$Q87)*I2</f>
        <v>88104.519528510296</v>
      </c>
      <c r="J35" s="316">
        <f>(J$8*'Costo op 2013'!$Q87)*J2</f>
        <v>95415.094923530472</v>
      </c>
      <c r="K35" s="316">
        <f>(K$8*'Costo op 2013'!$Q87)*K2</f>
        <v>93748.762793354123</v>
      </c>
      <c r="L35" s="316">
        <f>(L$8*'Costo op 2013'!$Q87)*L2</f>
        <v>83235.547946190796</v>
      </c>
      <c r="M35" s="316">
        <f>(M$8*'Costo op 2013'!$Q87)*M2</f>
        <v>107831.27555595143</v>
      </c>
      <c r="N35" s="316">
        <f>(N$8*'Costo op 2013'!$Q87)*N2</f>
        <v>96159.216338067097</v>
      </c>
      <c r="O35" s="316">
        <f>(O$8*'Costo op 2013'!$Q87)*O2</f>
        <v>96468.409959732904</v>
      </c>
      <c r="P35" s="449">
        <f t="shared" si="23"/>
        <v>1090094.476754325</v>
      </c>
      <c r="R35" s="111" t="s">
        <v>762</v>
      </c>
      <c r="S35" s="277" t="str">
        <f t="shared" si="24"/>
        <v>0501154000</v>
      </c>
      <c r="T35" s="111" t="s">
        <v>775</v>
      </c>
      <c r="U35" s="585" t="s">
        <v>769</v>
      </c>
      <c r="V35" s="111">
        <v>2014</v>
      </c>
      <c r="W35" s="111" t="s">
        <v>770</v>
      </c>
      <c r="X35" s="111">
        <f t="shared" si="25"/>
        <v>1090095</v>
      </c>
      <c r="Y35" s="111">
        <f t="shared" si="26"/>
        <v>83923</v>
      </c>
      <c r="Z35" s="111">
        <f t="shared" si="27"/>
        <v>82214</v>
      </c>
      <c r="AA35" s="111">
        <f t="shared" si="28"/>
        <v>85286</v>
      </c>
      <c r="AB35" s="111">
        <f t="shared" si="29"/>
        <v>90317</v>
      </c>
      <c r="AC35" s="111">
        <f t="shared" si="30"/>
        <v>87392</v>
      </c>
      <c r="AD35" s="111">
        <f t="shared" si="31"/>
        <v>88105</v>
      </c>
      <c r="AE35" s="111">
        <f t="shared" si="32"/>
        <v>95415</v>
      </c>
      <c r="AF35" s="111">
        <f t="shared" si="33"/>
        <v>93749</v>
      </c>
      <c r="AG35" s="111">
        <f t="shared" si="34"/>
        <v>83236</v>
      </c>
      <c r="AH35" s="111">
        <f t="shared" si="35"/>
        <v>107831</v>
      </c>
      <c r="AI35" s="111">
        <f t="shared" si="36"/>
        <v>96159</v>
      </c>
      <c r="AJ35" s="111">
        <f t="shared" si="37"/>
        <v>96468</v>
      </c>
      <c r="AK35" s="111" t="s">
        <v>767</v>
      </c>
    </row>
    <row r="36" spans="1:37" ht="15" x14ac:dyDescent="0.25">
      <c r="A36" s="349" t="s">
        <v>313</v>
      </c>
      <c r="B36" s="312" t="s">
        <v>315</v>
      </c>
      <c r="C36" s="276" t="str">
        <f>VLOOKUP(B36,'Cat. cuentas'!$A$1:$B$195,2,FALSE)</f>
        <v>MTTO PREVENTIVO TRACTOR</v>
      </c>
      <c r="D36" s="316">
        <f>(D$8*'Costo op 2013'!$Q88)*D2</f>
        <v>102947.06472853402</v>
      </c>
      <c r="E36" s="316">
        <f>(E$8*'Costo op 2013'!$Q88)*E2</f>
        <v>100850.93438799166</v>
      </c>
      <c r="F36" s="316">
        <f>(F$8*'Costo op 2013'!$Q88)*F2</f>
        <v>104620.05823801424</v>
      </c>
      <c r="G36" s="316">
        <f>(G$8*'Costo op 2013'!$Q88)*G2</f>
        <v>110791.05242850837</v>
      </c>
      <c r="H36" s="316">
        <f>(H$8*'Costo op 2013'!$Q88)*H2</f>
        <v>107202.59552149284</v>
      </c>
      <c r="I36" s="316">
        <f>(I$8*'Costo op 2013'!$Q88)*I2</f>
        <v>108076.97451700903</v>
      </c>
      <c r="J36" s="316">
        <f>(J$8*'Costo op 2013'!$Q88)*J2</f>
        <v>117044.78768823456</v>
      </c>
      <c r="K36" s="316">
        <f>(K$8*'Costo op 2013'!$Q88)*K2</f>
        <v>115000.71394339488</v>
      </c>
      <c r="L36" s="316">
        <f>(L$8*'Costo op 2013'!$Q88)*L2</f>
        <v>102104.25347565426</v>
      </c>
      <c r="M36" s="316">
        <f>(M$8*'Costo op 2013'!$Q88)*M2</f>
        <v>132275.59815051177</v>
      </c>
      <c r="N36" s="316">
        <f>(N$8*'Costo op 2013'!$Q88)*N2</f>
        <v>117957.59433637034</v>
      </c>
      <c r="O36" s="316">
        <f>(O$8*'Costo op 2013'!$Q88)*O2</f>
        <v>118336.87920561913</v>
      </c>
      <c r="P36" s="449">
        <f t="shared" si="23"/>
        <v>1337208.5066213352</v>
      </c>
      <c r="R36" s="111" t="s">
        <v>762</v>
      </c>
      <c r="S36" s="277" t="str">
        <f t="shared" si="24"/>
        <v>0501150300</v>
      </c>
      <c r="T36" s="111" t="s">
        <v>775</v>
      </c>
      <c r="U36" s="585" t="s">
        <v>769</v>
      </c>
      <c r="V36" s="111">
        <v>2014</v>
      </c>
      <c r="W36" s="111" t="s">
        <v>770</v>
      </c>
      <c r="X36" s="111">
        <f t="shared" si="25"/>
        <v>1337210</v>
      </c>
      <c r="Y36" s="111">
        <f t="shared" si="26"/>
        <v>102947</v>
      </c>
      <c r="Z36" s="111">
        <f t="shared" si="27"/>
        <v>100851</v>
      </c>
      <c r="AA36" s="111">
        <f t="shared" si="28"/>
        <v>104620</v>
      </c>
      <c r="AB36" s="111">
        <f t="shared" si="29"/>
        <v>110791</v>
      </c>
      <c r="AC36" s="111">
        <f t="shared" si="30"/>
        <v>107203</v>
      </c>
      <c r="AD36" s="111">
        <f t="shared" si="31"/>
        <v>108077</v>
      </c>
      <c r="AE36" s="111">
        <f t="shared" si="32"/>
        <v>117045</v>
      </c>
      <c r="AF36" s="111">
        <f t="shared" si="33"/>
        <v>115001</v>
      </c>
      <c r="AG36" s="111">
        <f t="shared" si="34"/>
        <v>102104</v>
      </c>
      <c r="AH36" s="111">
        <f t="shared" si="35"/>
        <v>132276</v>
      </c>
      <c r="AI36" s="111">
        <f t="shared" si="36"/>
        <v>117958</v>
      </c>
      <c r="AJ36" s="111">
        <f t="shared" si="37"/>
        <v>118337</v>
      </c>
      <c r="AK36" s="111" t="s">
        <v>767</v>
      </c>
    </row>
    <row r="37" spans="1:37" ht="15" x14ac:dyDescent="0.25">
      <c r="A37" s="354" t="s">
        <v>316</v>
      </c>
      <c r="B37" s="336" t="s">
        <v>317</v>
      </c>
      <c r="C37" s="276" t="str">
        <f>VLOOKUP(B37,'Cat. cuentas'!$A$1:$B$195,2,FALSE)</f>
        <v>MTTO PREVENTIVO TOLVA</v>
      </c>
      <c r="D37" s="316">
        <f>(D$8*'Costo op 2013'!$Q89)*D2</f>
        <v>6248.7753807178933</v>
      </c>
      <c r="E37" s="316">
        <f>(E$8*'Costo op 2013'!$Q89)*E2</f>
        <v>6121.5425382731255</v>
      </c>
      <c r="F37" s="316">
        <f>(F$8*'Costo op 2013'!$Q89)*F2</f>
        <v>6350.3242755961301</v>
      </c>
      <c r="G37" s="316">
        <f>(G$8*'Costo op 2013'!$Q89)*G2</f>
        <v>6724.8969423719764</v>
      </c>
      <c r="H37" s="316">
        <f>(H$8*'Costo op 2013'!$Q89)*H2</f>
        <v>6507.0814929033095</v>
      </c>
      <c r="I37" s="316">
        <f>(I$8*'Costo op 2013'!$Q89)*I2</f>
        <v>6560.1553513470262</v>
      </c>
      <c r="J37" s="316">
        <f>(J$8*'Costo op 2013'!$Q89)*J2</f>
        <v>7104.4919024764886</v>
      </c>
      <c r="K37" s="316">
        <f>(K$8*'Costo op 2013'!$Q89)*K2</f>
        <v>6980.4188390355084</v>
      </c>
      <c r="L37" s="316">
        <f>(L$8*'Costo op 2013'!$Q89)*L2</f>
        <v>6197.617650077641</v>
      </c>
      <c r="M37" s="316">
        <f>(M$8*'Costo op 2013'!$Q89)*M2</f>
        <v>8028.9856089850418</v>
      </c>
      <c r="N37" s="316">
        <f>(N$8*'Costo op 2013'!$Q89)*N2</f>
        <v>7159.8982778332556</v>
      </c>
      <c r="O37" s="316">
        <f>(O$8*'Costo op 2013'!$Q89)*O2</f>
        <v>7182.9204587909189</v>
      </c>
      <c r="P37" s="453">
        <f t="shared" si="23"/>
        <v>81167.108718408315</v>
      </c>
      <c r="R37" s="111" t="s">
        <v>762</v>
      </c>
      <c r="S37" s="277" t="str">
        <f t="shared" si="24"/>
        <v>0501150400</v>
      </c>
      <c r="T37" s="111" t="s">
        <v>775</v>
      </c>
      <c r="U37" s="585" t="s">
        <v>769</v>
      </c>
      <c r="V37" s="111">
        <v>2014</v>
      </c>
      <c r="W37" s="111" t="s">
        <v>770</v>
      </c>
      <c r="X37" s="111">
        <f t="shared" si="25"/>
        <v>81167</v>
      </c>
      <c r="Y37" s="111">
        <f t="shared" si="26"/>
        <v>6249</v>
      </c>
      <c r="Z37" s="111">
        <f t="shared" si="27"/>
        <v>6122</v>
      </c>
      <c r="AA37" s="111">
        <f t="shared" si="28"/>
        <v>6350</v>
      </c>
      <c r="AB37" s="111">
        <f t="shared" si="29"/>
        <v>6725</v>
      </c>
      <c r="AC37" s="111">
        <f t="shared" si="30"/>
        <v>6507</v>
      </c>
      <c r="AD37" s="111">
        <f t="shared" si="31"/>
        <v>6560</v>
      </c>
      <c r="AE37" s="111">
        <f t="shared" si="32"/>
        <v>7104</v>
      </c>
      <c r="AF37" s="111">
        <f t="shared" si="33"/>
        <v>6980</v>
      </c>
      <c r="AG37" s="111">
        <f t="shared" si="34"/>
        <v>6198</v>
      </c>
      <c r="AH37" s="111">
        <f t="shared" si="35"/>
        <v>8029</v>
      </c>
      <c r="AI37" s="111">
        <f t="shared" si="36"/>
        <v>7160</v>
      </c>
      <c r="AJ37" s="111">
        <f t="shared" si="37"/>
        <v>7183</v>
      </c>
      <c r="AK37" s="111" t="s">
        <v>767</v>
      </c>
    </row>
    <row r="38" spans="1:37" ht="15" x14ac:dyDescent="0.25">
      <c r="A38" s="354"/>
      <c r="B38" s="336" t="s">
        <v>318</v>
      </c>
      <c r="C38" s="276" t="str">
        <f>VLOOKUP(B38,'Cat. cuentas'!$A$1:$B$195,2,FALSE)</f>
        <v>MTTO. CUIDADO DE LA IMAGEN</v>
      </c>
      <c r="D38" s="316">
        <f>(D$8*'Costo op 2013'!$Q90)*D2</f>
        <v>19828.594707960296</v>
      </c>
      <c r="E38" s="316">
        <f>(E$8*'Costo op 2013'!$Q90)*E2</f>
        <v>19424.859845900137</v>
      </c>
      <c r="F38" s="316">
        <f>(F$8*'Costo op 2013'!$Q90)*F2</f>
        <v>20150.829347053772</v>
      </c>
      <c r="G38" s="316">
        <f>(G$8*'Costo op 2013'!$Q90)*G2</f>
        <v>21339.422174553496</v>
      </c>
      <c r="H38" s="316">
        <f>(H$8*'Costo op 2013'!$Q90)*H2</f>
        <v>20648.250864095822</v>
      </c>
      <c r="I38" s="316">
        <f>(I$8*'Costo op 2013'!$Q90)*I2</f>
        <v>20816.664667529294</v>
      </c>
      <c r="J38" s="316">
        <f>(J$8*'Costo op 2013'!$Q90)*J2</f>
        <v>22543.951727707634</v>
      </c>
      <c r="K38" s="316">
        <f>(K$8*'Costo op 2013'!$Q90)*K2</f>
        <v>22150.243466607746</v>
      </c>
      <c r="L38" s="316">
        <f>(L$8*'Costo op 2013'!$Q90)*L2</f>
        <v>19666.261155345379</v>
      </c>
      <c r="M38" s="316">
        <f>(M$8*'Costo op 2013'!$Q90)*M2</f>
        <v>25477.552297346305</v>
      </c>
      <c r="N38" s="316">
        <f>(N$8*'Costo op 2013'!$Q90)*N2</f>
        <v>22719.767066594119</v>
      </c>
      <c r="O38" s="316">
        <f>(O$8*'Costo op 2013'!$Q90)*O2</f>
        <v>22792.820979991531</v>
      </c>
      <c r="P38" s="453">
        <f t="shared" si="23"/>
        <v>257559.21830068552</v>
      </c>
      <c r="R38" s="111" t="s">
        <v>762</v>
      </c>
      <c r="S38" s="277" t="str">
        <f t="shared" si="24"/>
        <v>0501153800</v>
      </c>
      <c r="T38" s="111" t="s">
        <v>775</v>
      </c>
      <c r="U38" s="585" t="s">
        <v>769</v>
      </c>
      <c r="V38" s="111">
        <v>2014</v>
      </c>
      <c r="W38" s="111" t="s">
        <v>770</v>
      </c>
      <c r="X38" s="111">
        <f t="shared" si="25"/>
        <v>257560</v>
      </c>
      <c r="Y38" s="111">
        <f t="shared" si="26"/>
        <v>19829</v>
      </c>
      <c r="Z38" s="111">
        <f t="shared" si="27"/>
        <v>19425</v>
      </c>
      <c r="AA38" s="111">
        <f t="shared" si="28"/>
        <v>20151</v>
      </c>
      <c r="AB38" s="111">
        <f t="shared" si="29"/>
        <v>21339</v>
      </c>
      <c r="AC38" s="111">
        <f t="shared" si="30"/>
        <v>20648</v>
      </c>
      <c r="AD38" s="111">
        <f t="shared" si="31"/>
        <v>20817</v>
      </c>
      <c r="AE38" s="111">
        <f t="shared" si="32"/>
        <v>22544</v>
      </c>
      <c r="AF38" s="111">
        <f t="shared" si="33"/>
        <v>22150</v>
      </c>
      <c r="AG38" s="111">
        <f t="shared" si="34"/>
        <v>19666</v>
      </c>
      <c r="AH38" s="111">
        <f t="shared" si="35"/>
        <v>25478</v>
      </c>
      <c r="AI38" s="111">
        <f t="shared" si="36"/>
        <v>22720</v>
      </c>
      <c r="AJ38" s="111">
        <f t="shared" si="37"/>
        <v>22793</v>
      </c>
      <c r="AK38" s="111" t="s">
        <v>767</v>
      </c>
    </row>
    <row r="39" spans="1:37" ht="15" x14ac:dyDescent="0.25">
      <c r="A39" s="354"/>
      <c r="B39" s="336" t="s">
        <v>319</v>
      </c>
      <c r="C39" s="276" t="str">
        <f>VLOOKUP(B39,'Cat. cuentas'!$A$1:$B$195,2,FALSE)</f>
        <v>MTTO PREVENTIVO DOLLY</v>
      </c>
      <c r="D39" s="316">
        <f>(D$8*'Costo op 2013'!$Q91)*D2</f>
        <v>32600.572202351879</v>
      </c>
      <c r="E39" s="316">
        <f>(E$8*'Costo op 2013'!$Q91)*E2</f>
        <v>31936.783985634989</v>
      </c>
      <c r="F39" s="316">
        <f>(F$8*'Costo op 2013'!$Q91)*F2</f>
        <v>33130.364342066561</v>
      </c>
      <c r="G39" s="316">
        <f>(G$8*'Costo op 2013'!$Q91)*G2</f>
        <v>35084.552566840073</v>
      </c>
      <c r="H39" s="316">
        <f>(H$8*'Costo op 2013'!$Q91)*H2</f>
        <v>33948.184581986177</v>
      </c>
      <c r="I39" s="316">
        <f>(I$8*'Costo op 2013'!$Q91)*I2</f>
        <v>34225.076940701911</v>
      </c>
      <c r="J39" s="316">
        <f>(J$8*'Costo op 2013'!$Q91)*J2</f>
        <v>37064.942667390351</v>
      </c>
      <c r="K39" s="316">
        <f>(K$8*'Costo op 2013'!$Q91)*K2</f>
        <v>36417.639377283936</v>
      </c>
      <c r="L39" s="316">
        <f>(L$8*'Costo op 2013'!$Q91)*L2</f>
        <v>32333.676500420854</v>
      </c>
      <c r="M39" s="316">
        <f>(M$8*'Costo op 2013'!$Q91)*M2</f>
        <v>41888.131531348117</v>
      </c>
      <c r="N39" s="316">
        <f>(N$8*'Costo op 2013'!$Q91)*N2</f>
        <v>37354.004032255951</v>
      </c>
      <c r="O39" s="316">
        <f>(O$8*'Costo op 2013'!$Q91)*O2</f>
        <v>37474.113369980252</v>
      </c>
      <c r="P39" s="453">
        <f t="shared" si="23"/>
        <v>423458.04209826101</v>
      </c>
      <c r="R39" s="111" t="s">
        <v>762</v>
      </c>
      <c r="S39" s="277" t="str">
        <f t="shared" si="24"/>
        <v>0501150800</v>
      </c>
      <c r="T39" s="111" t="s">
        <v>775</v>
      </c>
      <c r="U39" s="585" t="s">
        <v>769</v>
      </c>
      <c r="V39" s="111">
        <v>2014</v>
      </c>
      <c r="W39" s="111" t="s">
        <v>770</v>
      </c>
      <c r="X39" s="111">
        <f t="shared" si="25"/>
        <v>423459</v>
      </c>
      <c r="Y39" s="111">
        <f t="shared" si="26"/>
        <v>32601</v>
      </c>
      <c r="Z39" s="111">
        <f t="shared" si="27"/>
        <v>31937</v>
      </c>
      <c r="AA39" s="111">
        <f t="shared" si="28"/>
        <v>33130</v>
      </c>
      <c r="AB39" s="111">
        <f t="shared" si="29"/>
        <v>35085</v>
      </c>
      <c r="AC39" s="111">
        <f t="shared" si="30"/>
        <v>33948</v>
      </c>
      <c r="AD39" s="111">
        <f t="shared" si="31"/>
        <v>34225</v>
      </c>
      <c r="AE39" s="111">
        <f t="shared" si="32"/>
        <v>37065</v>
      </c>
      <c r="AF39" s="111">
        <f t="shared" si="33"/>
        <v>36418</v>
      </c>
      <c r="AG39" s="111">
        <f t="shared" si="34"/>
        <v>32334</v>
      </c>
      <c r="AH39" s="111">
        <f t="shared" si="35"/>
        <v>41888</v>
      </c>
      <c r="AI39" s="111">
        <f t="shared" si="36"/>
        <v>37354</v>
      </c>
      <c r="AJ39" s="111">
        <f t="shared" si="37"/>
        <v>37474</v>
      </c>
      <c r="AK39" s="111" t="s">
        <v>767</v>
      </c>
    </row>
    <row r="40" spans="1:37" ht="15" x14ac:dyDescent="0.25">
      <c r="A40" s="354"/>
      <c r="B40" s="336" t="s">
        <v>486</v>
      </c>
      <c r="C40" s="276" t="str">
        <f>VLOOKUP(B40,'Cat. cuentas'!$A$1:$B$195,2,FALSE)</f>
        <v>MTTO PREVENTIVO CAJA SECA</v>
      </c>
      <c r="D40" s="316">
        <f>3600*D2</f>
        <v>3612.0000000000005</v>
      </c>
      <c r="E40" s="316">
        <f t="shared" ref="E40:O40" si="38">3600*E2</f>
        <v>3623.9999999999995</v>
      </c>
      <c r="F40" s="316">
        <f t="shared" si="38"/>
        <v>3636</v>
      </c>
      <c r="G40" s="316">
        <f t="shared" si="38"/>
        <v>3648.0000000000005</v>
      </c>
      <c r="H40" s="316">
        <f t="shared" si="38"/>
        <v>3660</v>
      </c>
      <c r="I40" s="316">
        <f t="shared" si="38"/>
        <v>3672</v>
      </c>
      <c r="J40" s="316">
        <f t="shared" si="38"/>
        <v>3684.0000000000005</v>
      </c>
      <c r="K40" s="316">
        <f t="shared" si="38"/>
        <v>3696</v>
      </c>
      <c r="L40" s="316">
        <f t="shared" si="38"/>
        <v>3708</v>
      </c>
      <c r="M40" s="316">
        <f t="shared" si="38"/>
        <v>3720.0000000000005</v>
      </c>
      <c r="N40" s="316">
        <f t="shared" si="38"/>
        <v>3732</v>
      </c>
      <c r="O40" s="316">
        <f t="shared" si="38"/>
        <v>3744</v>
      </c>
      <c r="P40" s="453">
        <f>SUM(D40:O40)</f>
        <v>44136</v>
      </c>
      <c r="R40" s="111" t="s">
        <v>762</v>
      </c>
      <c r="S40" s="277" t="str">
        <f t="shared" si="24"/>
        <v>0501150600</v>
      </c>
      <c r="T40" s="111" t="s">
        <v>775</v>
      </c>
      <c r="U40" s="585" t="s">
        <v>769</v>
      </c>
      <c r="V40" s="111">
        <v>2014</v>
      </c>
      <c r="W40" s="111" t="s">
        <v>770</v>
      </c>
      <c r="X40" s="111">
        <f t="shared" si="25"/>
        <v>44136</v>
      </c>
      <c r="Y40" s="111">
        <f t="shared" si="26"/>
        <v>3612</v>
      </c>
      <c r="Z40" s="111">
        <f t="shared" si="27"/>
        <v>3624</v>
      </c>
      <c r="AA40" s="111">
        <f t="shared" si="28"/>
        <v>3636</v>
      </c>
      <c r="AB40" s="111">
        <f t="shared" si="29"/>
        <v>3648</v>
      </c>
      <c r="AC40" s="111">
        <f t="shared" si="30"/>
        <v>3660</v>
      </c>
      <c r="AD40" s="111">
        <f t="shared" si="31"/>
        <v>3672</v>
      </c>
      <c r="AE40" s="111">
        <f t="shared" si="32"/>
        <v>3684</v>
      </c>
      <c r="AF40" s="111">
        <f t="shared" si="33"/>
        <v>3696</v>
      </c>
      <c r="AG40" s="111">
        <f t="shared" si="34"/>
        <v>3708</v>
      </c>
      <c r="AH40" s="111">
        <f t="shared" si="35"/>
        <v>3720</v>
      </c>
      <c r="AI40" s="111">
        <f t="shared" si="36"/>
        <v>3732</v>
      </c>
      <c r="AJ40" s="111">
        <f t="shared" si="37"/>
        <v>3744</v>
      </c>
      <c r="AK40" s="111" t="s">
        <v>767</v>
      </c>
    </row>
    <row r="41" spans="1:37" ht="15" x14ac:dyDescent="0.25">
      <c r="A41" s="354"/>
      <c r="B41" s="336" t="s">
        <v>488</v>
      </c>
      <c r="C41" s="276" t="str">
        <f>VLOOKUP(B41,'Cat. cuentas'!$A$1:$B$195,2,FALSE)</f>
        <v>MTTO PREVENTIVO PLANA</v>
      </c>
      <c r="D41" s="316">
        <f>9750*D2</f>
        <v>9782.5</v>
      </c>
      <c r="E41" s="316">
        <f t="shared" ref="E41:O41" si="39">9750*E2</f>
        <v>9815</v>
      </c>
      <c r="F41" s="316">
        <f t="shared" si="39"/>
        <v>9847.5</v>
      </c>
      <c r="G41" s="316">
        <f t="shared" si="39"/>
        <v>9880</v>
      </c>
      <c r="H41" s="316">
        <f t="shared" si="39"/>
        <v>9912.5</v>
      </c>
      <c r="I41" s="316">
        <f t="shared" si="39"/>
        <v>9945</v>
      </c>
      <c r="J41" s="316">
        <f t="shared" si="39"/>
        <v>9977.5000000000018</v>
      </c>
      <c r="K41" s="316">
        <f t="shared" si="39"/>
        <v>10010</v>
      </c>
      <c r="L41" s="316">
        <f t="shared" si="39"/>
        <v>10042.5</v>
      </c>
      <c r="M41" s="316">
        <f t="shared" si="39"/>
        <v>10075.000000000002</v>
      </c>
      <c r="N41" s="316">
        <f t="shared" si="39"/>
        <v>10107.5</v>
      </c>
      <c r="O41" s="316">
        <f t="shared" si="39"/>
        <v>10140</v>
      </c>
      <c r="P41" s="453">
        <f>SUM(D41:O41)</f>
        <v>119535</v>
      </c>
      <c r="R41" s="111" t="s">
        <v>762</v>
      </c>
      <c r="S41" s="277" t="str">
        <f t="shared" si="24"/>
        <v>0501150700</v>
      </c>
      <c r="T41" s="111" t="s">
        <v>775</v>
      </c>
      <c r="U41" s="585" t="s">
        <v>769</v>
      </c>
      <c r="V41" s="111">
        <v>2014</v>
      </c>
      <c r="W41" s="111" t="s">
        <v>770</v>
      </c>
      <c r="X41" s="111">
        <f t="shared" si="25"/>
        <v>119538</v>
      </c>
      <c r="Y41" s="111">
        <f t="shared" si="26"/>
        <v>9783</v>
      </c>
      <c r="Z41" s="111">
        <f t="shared" si="27"/>
        <v>9815</v>
      </c>
      <c r="AA41" s="111">
        <f t="shared" si="28"/>
        <v>9848</v>
      </c>
      <c r="AB41" s="111">
        <f t="shared" si="29"/>
        <v>9880</v>
      </c>
      <c r="AC41" s="111">
        <f t="shared" si="30"/>
        <v>9913</v>
      </c>
      <c r="AD41" s="111">
        <f t="shared" si="31"/>
        <v>9945</v>
      </c>
      <c r="AE41" s="111">
        <f t="shared" si="32"/>
        <v>9978</v>
      </c>
      <c r="AF41" s="111">
        <f t="shared" si="33"/>
        <v>10010</v>
      </c>
      <c r="AG41" s="111">
        <f t="shared" si="34"/>
        <v>10043</v>
      </c>
      <c r="AH41" s="111">
        <f t="shared" si="35"/>
        <v>10075</v>
      </c>
      <c r="AI41" s="111">
        <f t="shared" si="36"/>
        <v>10108</v>
      </c>
      <c r="AJ41" s="111">
        <f t="shared" si="37"/>
        <v>10140</v>
      </c>
      <c r="AK41" s="111" t="s">
        <v>767</v>
      </c>
    </row>
    <row r="42" spans="1:37" ht="15" x14ac:dyDescent="0.25">
      <c r="A42" s="354"/>
      <c r="B42" s="336" t="s">
        <v>484</v>
      </c>
      <c r="C42" s="276" t="str">
        <f>VLOOKUP(B42,'Cat. cuentas'!$A$1:$B$195,2,FALSE)</f>
        <v>MTTO PREVENTIVO CAJA VOLTEO</v>
      </c>
      <c r="D42" s="316">
        <f t="shared" ref="D42:O42" si="40">(10500+8000)*D2</f>
        <v>18561.666666666668</v>
      </c>
      <c r="E42" s="316">
        <f t="shared" si="40"/>
        <v>18623.333333333332</v>
      </c>
      <c r="F42" s="316">
        <f t="shared" si="40"/>
        <v>18685</v>
      </c>
      <c r="G42" s="316">
        <f t="shared" si="40"/>
        <v>18746.666666666668</v>
      </c>
      <c r="H42" s="316">
        <f t="shared" si="40"/>
        <v>18808.333333333332</v>
      </c>
      <c r="I42" s="316">
        <f t="shared" si="40"/>
        <v>18870</v>
      </c>
      <c r="J42" s="316">
        <f t="shared" si="40"/>
        <v>18931.666666666668</v>
      </c>
      <c r="K42" s="316">
        <f t="shared" si="40"/>
        <v>18993.333333333332</v>
      </c>
      <c r="L42" s="316">
        <f t="shared" si="40"/>
        <v>19055</v>
      </c>
      <c r="M42" s="316">
        <f t="shared" si="40"/>
        <v>19116.666666666668</v>
      </c>
      <c r="N42" s="316">
        <f t="shared" si="40"/>
        <v>19178.333333333332</v>
      </c>
      <c r="O42" s="316">
        <f t="shared" si="40"/>
        <v>19240</v>
      </c>
      <c r="P42" s="453">
        <f>SUM(D42:O42)</f>
        <v>226810</v>
      </c>
      <c r="R42" s="111" t="s">
        <v>762</v>
      </c>
      <c r="S42" s="277" t="str">
        <f t="shared" si="24"/>
        <v>0501150500</v>
      </c>
      <c r="T42" s="111" t="s">
        <v>775</v>
      </c>
      <c r="U42" s="585" t="s">
        <v>769</v>
      </c>
      <c r="V42" s="111">
        <v>2014</v>
      </c>
      <c r="W42" s="111" t="s">
        <v>770</v>
      </c>
      <c r="X42" s="111">
        <f t="shared" si="25"/>
        <v>226810</v>
      </c>
      <c r="Y42" s="111">
        <f t="shared" si="26"/>
        <v>18562</v>
      </c>
      <c r="Z42" s="111">
        <f t="shared" si="27"/>
        <v>18623</v>
      </c>
      <c r="AA42" s="111">
        <f t="shared" si="28"/>
        <v>18685</v>
      </c>
      <c r="AB42" s="111">
        <f t="shared" si="29"/>
        <v>18747</v>
      </c>
      <c r="AC42" s="111">
        <f t="shared" si="30"/>
        <v>18808</v>
      </c>
      <c r="AD42" s="111">
        <f t="shared" si="31"/>
        <v>18870</v>
      </c>
      <c r="AE42" s="111">
        <f t="shared" si="32"/>
        <v>18932</v>
      </c>
      <c r="AF42" s="111">
        <f t="shared" si="33"/>
        <v>18993</v>
      </c>
      <c r="AG42" s="111">
        <f t="shared" si="34"/>
        <v>19055</v>
      </c>
      <c r="AH42" s="111">
        <f t="shared" si="35"/>
        <v>19117</v>
      </c>
      <c r="AI42" s="111">
        <f t="shared" si="36"/>
        <v>19178</v>
      </c>
      <c r="AJ42" s="111">
        <f t="shared" si="37"/>
        <v>19240</v>
      </c>
      <c r="AK42" s="111" t="s">
        <v>767</v>
      </c>
    </row>
    <row r="43" spans="1:37" ht="15" x14ac:dyDescent="0.25">
      <c r="A43" s="349" t="s">
        <v>320</v>
      </c>
      <c r="B43" s="312" t="s">
        <v>322</v>
      </c>
      <c r="C43" s="276" t="str">
        <f>VLOOKUP(B43,'Cat. cuentas'!$A$1:$B$195,2,FALSE)</f>
        <v>MTTO CORRECTIVO TRACTOR</v>
      </c>
      <c r="D43" s="316">
        <f>(D$8*'Costo op 2013'!$Q96)*D2</f>
        <v>144596.17581815756</v>
      </c>
      <c r="E43" s="316">
        <f>(E$8*'Costo op 2013'!$Q96)*E2</f>
        <v>141652.01774956108</v>
      </c>
      <c r="F43" s="316">
        <f>(F$8*'Costo op 2013'!$Q96)*F2</f>
        <v>146946.00933966046</v>
      </c>
      <c r="G43" s="316">
        <f>(G$8*'Costo op 2013'!$Q96)*G2</f>
        <v>155613.59168690341</v>
      </c>
      <c r="H43" s="316">
        <f>(H$8*'Costo op 2013'!$Q96)*H2</f>
        <v>150573.35914398488</v>
      </c>
      <c r="I43" s="316">
        <f>(I$8*'Costo op 2013'!$Q96)*I2</f>
        <v>151801.48409636458</v>
      </c>
      <c r="J43" s="316">
        <f>(J$8*'Costo op 2013'!$Q96)*J2</f>
        <v>164397.3895107664</v>
      </c>
      <c r="K43" s="316">
        <f>(K$8*'Costo op 2013'!$Q96)*K2</f>
        <v>161526.34848231639</v>
      </c>
      <c r="L43" s="316">
        <f>(L$8*'Costo op 2013'!$Q96)*L2</f>
        <v>143412.38991397194</v>
      </c>
      <c r="M43" s="316">
        <f>(M$8*'Costo op 2013'!$Q96)*M2</f>
        <v>185790.10190391584</v>
      </c>
      <c r="N43" s="316">
        <f>(N$8*'Costo op 2013'!$Q96)*N2</f>
        <v>165679.4887229185</v>
      </c>
      <c r="O43" s="316">
        <f>(O$8*'Costo op 2013'!$Q96)*O2</f>
        <v>166212.22019791181</v>
      </c>
      <c r="P43" s="449">
        <f t="shared" si="23"/>
        <v>1878200.5765664331</v>
      </c>
      <c r="R43" s="111" t="s">
        <v>762</v>
      </c>
      <c r="S43" s="277" t="str">
        <f t="shared" si="24"/>
        <v>0501151100</v>
      </c>
      <c r="T43" s="111" t="s">
        <v>775</v>
      </c>
      <c r="U43" s="585" t="s">
        <v>769</v>
      </c>
      <c r="V43" s="111">
        <v>2014</v>
      </c>
      <c r="W43" s="111" t="s">
        <v>770</v>
      </c>
      <c r="X43" s="111">
        <f t="shared" si="25"/>
        <v>1878198</v>
      </c>
      <c r="Y43" s="111">
        <f t="shared" si="26"/>
        <v>144596</v>
      </c>
      <c r="Z43" s="111">
        <f t="shared" si="27"/>
        <v>141652</v>
      </c>
      <c r="AA43" s="111">
        <f t="shared" si="28"/>
        <v>146946</v>
      </c>
      <c r="AB43" s="111">
        <f t="shared" si="29"/>
        <v>155614</v>
      </c>
      <c r="AC43" s="111">
        <f t="shared" si="30"/>
        <v>150573</v>
      </c>
      <c r="AD43" s="111">
        <f t="shared" si="31"/>
        <v>151801</v>
      </c>
      <c r="AE43" s="111">
        <f t="shared" si="32"/>
        <v>164397</v>
      </c>
      <c r="AF43" s="111">
        <f t="shared" si="33"/>
        <v>161526</v>
      </c>
      <c r="AG43" s="111">
        <f t="shared" si="34"/>
        <v>143412</v>
      </c>
      <c r="AH43" s="111">
        <f t="shared" si="35"/>
        <v>185790</v>
      </c>
      <c r="AI43" s="111">
        <f t="shared" si="36"/>
        <v>165679</v>
      </c>
      <c r="AJ43" s="111">
        <f t="shared" si="37"/>
        <v>166212</v>
      </c>
      <c r="AK43" s="111" t="s">
        <v>767</v>
      </c>
    </row>
    <row r="44" spans="1:37" ht="15" x14ac:dyDescent="0.25">
      <c r="A44" s="349"/>
      <c r="B44" s="312" t="s">
        <v>323</v>
      </c>
      <c r="C44" s="276" t="str">
        <f>VLOOKUP(B44,'Cat. cuentas'!$A$1:$B$195,2,FALSE)</f>
        <v>AUXILIO CARRETERA TRACTOR</v>
      </c>
      <c r="D44" s="316">
        <f>(D$8*'Costo op 2013'!$Q97)*D2</f>
        <v>4836.5135518644192</v>
      </c>
      <c r="E44" s="316">
        <f>(E$8*'Costo op 2013'!$Q97)*E2</f>
        <v>4738.0361176098286</v>
      </c>
      <c r="F44" s="316">
        <f>(F$8*'Costo op 2013'!$Q97)*F2</f>
        <v>4915.111769328114</v>
      </c>
      <c r="G44" s="316">
        <f>(G$8*'Costo op 2013'!$Q97)*G2</f>
        <v>5205.028700029382</v>
      </c>
      <c r="H44" s="316">
        <f>(H$8*'Costo op 2013'!$Q97)*H2</f>
        <v>5036.4408873819029</v>
      </c>
      <c r="I44" s="316">
        <f>(I$8*'Costo op 2013'!$Q97)*I2</f>
        <v>5077.5197260300101</v>
      </c>
      <c r="J44" s="316">
        <f>(J$8*'Costo op 2013'!$Q97)*J2</f>
        <v>5498.8328547490519</v>
      </c>
      <c r="K44" s="316">
        <f>(K$8*'Costo op 2013'!$Q97)*K2</f>
        <v>5402.8010699284096</v>
      </c>
      <c r="L44" s="316">
        <f>(L$8*'Costo op 2013'!$Q97)*L2</f>
        <v>4796.9177843020743</v>
      </c>
      <c r="M44" s="316">
        <f>(M$8*'Costo op 2013'!$Q97)*M2</f>
        <v>6214.3852738581372</v>
      </c>
      <c r="N44" s="316">
        <f>(N$8*'Costo op 2013'!$Q97)*N2</f>
        <v>5541.7170470820947</v>
      </c>
      <c r="O44" s="316">
        <f>(O$8*'Costo op 2013'!$Q97)*O2</f>
        <v>5559.5360729569575</v>
      </c>
      <c r="P44" s="449">
        <f t="shared" si="23"/>
        <v>62822.840855120376</v>
      </c>
      <c r="R44" s="111" t="s">
        <v>762</v>
      </c>
      <c r="S44" s="277" t="str">
        <f t="shared" si="24"/>
        <v>0501152700</v>
      </c>
      <c r="T44" s="111" t="s">
        <v>775</v>
      </c>
      <c r="U44" s="585" t="s">
        <v>769</v>
      </c>
      <c r="V44" s="111">
        <v>2014</v>
      </c>
      <c r="W44" s="111" t="s">
        <v>770</v>
      </c>
      <c r="X44" s="111">
        <f t="shared" si="25"/>
        <v>62824</v>
      </c>
      <c r="Y44" s="111">
        <f t="shared" si="26"/>
        <v>4837</v>
      </c>
      <c r="Z44" s="111">
        <f t="shared" si="27"/>
        <v>4738</v>
      </c>
      <c r="AA44" s="111">
        <f t="shared" si="28"/>
        <v>4915</v>
      </c>
      <c r="AB44" s="111">
        <f t="shared" si="29"/>
        <v>5205</v>
      </c>
      <c r="AC44" s="111">
        <f t="shared" si="30"/>
        <v>5036</v>
      </c>
      <c r="AD44" s="111">
        <f t="shared" si="31"/>
        <v>5078</v>
      </c>
      <c r="AE44" s="111">
        <f t="shared" si="32"/>
        <v>5499</v>
      </c>
      <c r="AF44" s="111">
        <f t="shared" si="33"/>
        <v>5403</v>
      </c>
      <c r="AG44" s="111">
        <f t="shared" si="34"/>
        <v>4797</v>
      </c>
      <c r="AH44" s="111">
        <f t="shared" si="35"/>
        <v>6214</v>
      </c>
      <c r="AI44" s="111">
        <f t="shared" si="36"/>
        <v>5542</v>
      </c>
      <c r="AJ44" s="111">
        <f t="shared" si="37"/>
        <v>5560</v>
      </c>
      <c r="AK44" s="111" t="s">
        <v>767</v>
      </c>
    </row>
    <row r="45" spans="1:37" ht="15" x14ac:dyDescent="0.25">
      <c r="A45" s="349"/>
      <c r="B45" s="277" t="s">
        <v>532</v>
      </c>
      <c r="C45" s="276" t="str">
        <f>VLOOKUP(B45,'Cat. cuentas'!$A$1:$B$195,2,FALSE)</f>
        <v>AUXILIO CARR COMPR./SOPLADOR</v>
      </c>
      <c r="D45" s="316">
        <f>500*D2</f>
        <v>501.66666666666669</v>
      </c>
      <c r="E45" s="316">
        <f t="shared" ref="E45:O45" si="41">500*E2</f>
        <v>503.33333333333331</v>
      </c>
      <c r="F45" s="316">
        <f t="shared" si="41"/>
        <v>505</v>
      </c>
      <c r="G45" s="316">
        <f t="shared" si="41"/>
        <v>506.66666666666669</v>
      </c>
      <c r="H45" s="316">
        <f t="shared" si="41"/>
        <v>508.33333333333331</v>
      </c>
      <c r="I45" s="316">
        <f t="shared" si="41"/>
        <v>510</v>
      </c>
      <c r="J45" s="316">
        <f t="shared" si="41"/>
        <v>511.66666666666674</v>
      </c>
      <c r="K45" s="316">
        <f t="shared" si="41"/>
        <v>513.33333333333326</v>
      </c>
      <c r="L45" s="316">
        <f t="shared" si="41"/>
        <v>515</v>
      </c>
      <c r="M45" s="316">
        <f t="shared" si="41"/>
        <v>516.66666666666674</v>
      </c>
      <c r="N45" s="316">
        <f t="shared" si="41"/>
        <v>518.33333333333326</v>
      </c>
      <c r="O45" s="316">
        <f t="shared" si="41"/>
        <v>520</v>
      </c>
      <c r="P45" s="449">
        <f t="shared" si="23"/>
        <v>6130</v>
      </c>
      <c r="R45" s="111" t="s">
        <v>762</v>
      </c>
      <c r="S45" s="277" t="str">
        <f t="shared" si="24"/>
        <v>0501153300</v>
      </c>
      <c r="T45" s="111" t="s">
        <v>775</v>
      </c>
      <c r="U45" s="585" t="s">
        <v>769</v>
      </c>
      <c r="V45" s="111">
        <v>2014</v>
      </c>
      <c r="W45" s="111" t="s">
        <v>770</v>
      </c>
      <c r="X45" s="111">
        <f t="shared" si="25"/>
        <v>6130</v>
      </c>
      <c r="Y45" s="111">
        <f t="shared" si="26"/>
        <v>502</v>
      </c>
      <c r="Z45" s="111">
        <f t="shared" si="27"/>
        <v>503</v>
      </c>
      <c r="AA45" s="111">
        <f t="shared" si="28"/>
        <v>505</v>
      </c>
      <c r="AB45" s="111">
        <f t="shared" si="29"/>
        <v>507</v>
      </c>
      <c r="AC45" s="111">
        <f t="shared" si="30"/>
        <v>508</v>
      </c>
      <c r="AD45" s="111">
        <f t="shared" si="31"/>
        <v>510</v>
      </c>
      <c r="AE45" s="111">
        <f t="shared" si="32"/>
        <v>512</v>
      </c>
      <c r="AF45" s="111">
        <f t="shared" si="33"/>
        <v>513</v>
      </c>
      <c r="AG45" s="111">
        <f t="shared" si="34"/>
        <v>515</v>
      </c>
      <c r="AH45" s="111">
        <f t="shared" si="35"/>
        <v>517</v>
      </c>
      <c r="AI45" s="111">
        <f t="shared" si="36"/>
        <v>518</v>
      </c>
      <c r="AJ45" s="111">
        <f t="shared" si="37"/>
        <v>520</v>
      </c>
      <c r="AK45" s="111" t="s">
        <v>767</v>
      </c>
    </row>
    <row r="46" spans="1:37" ht="15" x14ac:dyDescent="0.25">
      <c r="A46" s="354" t="s">
        <v>324</v>
      </c>
      <c r="B46" s="336" t="s">
        <v>325</v>
      </c>
      <c r="C46" s="276" t="str">
        <f>VLOOKUP(B46,'Cat. cuentas'!$A$1:$B$195,2,FALSE)</f>
        <v>MTTO CORRECTIVO TOLVA</v>
      </c>
      <c r="D46" s="316">
        <f>(D$8*'Costo op 2013'!$Q99)*D2</f>
        <v>65079.648747415231</v>
      </c>
      <c r="E46" s="316">
        <f>(E$8*'Costo op 2013'!$Q99)*E2</f>
        <v>63754.546116747551</v>
      </c>
      <c r="F46" s="316">
        <f>(F$8*'Costo op 2013'!$Q99)*F2</f>
        <v>66137.258600020403</v>
      </c>
      <c r="G46" s="316">
        <f>(G$8*'Costo op 2013'!$Q99)*G2</f>
        <v>70038.352190194259</v>
      </c>
      <c r="H46" s="316">
        <f>(H$8*'Costo op 2013'!$Q99)*H2</f>
        <v>67769.851231282722</v>
      </c>
      <c r="I46" s="316">
        <f>(I$8*'Costo op 2013'!$Q99)*I2</f>
        <v>68322.604027589885</v>
      </c>
      <c r="J46" s="316">
        <f>(J$8*'Costo op 2013'!$Q99)*J2</f>
        <v>73991.75188289574</v>
      </c>
      <c r="K46" s="316">
        <f>(K$8*'Costo op 2013'!$Q99)*K2</f>
        <v>72699.557669502989</v>
      </c>
      <c r="L46" s="316">
        <f>(L$8*'Costo op 2013'!$Q99)*L2</f>
        <v>64546.852009184578</v>
      </c>
      <c r="M46" s="316">
        <f>(M$8*'Costo op 2013'!$Q99)*M2</f>
        <v>83620.154573513893</v>
      </c>
      <c r="N46" s="316">
        <f>(N$8*'Costo op 2013'!$Q99)*N2</f>
        <v>74568.797340108445</v>
      </c>
      <c r="O46" s="316">
        <f>(O$8*'Costo op 2013'!$Q99)*O2</f>
        <v>74808.568392648987</v>
      </c>
      <c r="P46" s="453">
        <f t="shared" si="23"/>
        <v>845337.94278110459</v>
      </c>
      <c r="R46" s="111" t="s">
        <v>762</v>
      </c>
      <c r="S46" s="277" t="str">
        <f t="shared" si="24"/>
        <v>0501151200</v>
      </c>
      <c r="T46" s="111" t="s">
        <v>775</v>
      </c>
      <c r="U46" s="585" t="s">
        <v>769</v>
      </c>
      <c r="V46" s="111">
        <v>2014</v>
      </c>
      <c r="W46" s="111" t="s">
        <v>770</v>
      </c>
      <c r="X46" s="111">
        <f t="shared" si="25"/>
        <v>845340</v>
      </c>
      <c r="Y46" s="111">
        <f t="shared" si="26"/>
        <v>65080</v>
      </c>
      <c r="Z46" s="111">
        <f t="shared" si="27"/>
        <v>63755</v>
      </c>
      <c r="AA46" s="111">
        <f t="shared" si="28"/>
        <v>66137</v>
      </c>
      <c r="AB46" s="111">
        <f t="shared" si="29"/>
        <v>70038</v>
      </c>
      <c r="AC46" s="111">
        <f t="shared" si="30"/>
        <v>67770</v>
      </c>
      <c r="AD46" s="111">
        <f t="shared" si="31"/>
        <v>68323</v>
      </c>
      <c r="AE46" s="111">
        <f t="shared" si="32"/>
        <v>73992</v>
      </c>
      <c r="AF46" s="111">
        <f t="shared" si="33"/>
        <v>72700</v>
      </c>
      <c r="AG46" s="111">
        <f t="shared" si="34"/>
        <v>64547</v>
      </c>
      <c r="AH46" s="111">
        <f t="shared" si="35"/>
        <v>83620</v>
      </c>
      <c r="AI46" s="111">
        <f t="shared" si="36"/>
        <v>74569</v>
      </c>
      <c r="AJ46" s="111">
        <f t="shared" si="37"/>
        <v>74809</v>
      </c>
      <c r="AK46" s="111" t="s">
        <v>767</v>
      </c>
    </row>
    <row r="47" spans="1:37" ht="15" x14ac:dyDescent="0.25">
      <c r="A47" s="354"/>
      <c r="B47" s="336" t="s">
        <v>326</v>
      </c>
      <c r="C47" s="276" t="str">
        <f>VLOOKUP(B47,'Cat. cuentas'!$A$1:$B$195,2,FALSE)</f>
        <v>MTTO CORRECTIVO CAJA VOLTEO</v>
      </c>
      <c r="D47" s="316">
        <f t="shared" ref="D47:O47" si="42">(1800*6)*D2</f>
        <v>10836</v>
      </c>
      <c r="E47" s="316">
        <f t="shared" si="42"/>
        <v>10872</v>
      </c>
      <c r="F47" s="316">
        <f t="shared" si="42"/>
        <v>10908</v>
      </c>
      <c r="G47" s="316">
        <f t="shared" si="42"/>
        <v>10944.000000000002</v>
      </c>
      <c r="H47" s="316">
        <f t="shared" si="42"/>
        <v>10980</v>
      </c>
      <c r="I47" s="316">
        <f t="shared" si="42"/>
        <v>11016</v>
      </c>
      <c r="J47" s="316">
        <f t="shared" si="42"/>
        <v>11052.000000000002</v>
      </c>
      <c r="K47" s="316">
        <f t="shared" si="42"/>
        <v>11088</v>
      </c>
      <c r="L47" s="316">
        <f t="shared" si="42"/>
        <v>11124</v>
      </c>
      <c r="M47" s="316">
        <f t="shared" si="42"/>
        <v>11160.000000000002</v>
      </c>
      <c r="N47" s="316">
        <f t="shared" si="42"/>
        <v>11196</v>
      </c>
      <c r="O47" s="316">
        <f t="shared" si="42"/>
        <v>11232</v>
      </c>
      <c r="P47" s="453">
        <f t="shared" si="23"/>
        <v>132408</v>
      </c>
      <c r="R47" s="111" t="s">
        <v>762</v>
      </c>
      <c r="S47" s="277" t="str">
        <f t="shared" si="24"/>
        <v>0501151300</v>
      </c>
      <c r="T47" s="111" t="s">
        <v>775</v>
      </c>
      <c r="U47" s="585" t="s">
        <v>769</v>
      </c>
      <c r="V47" s="111">
        <v>2014</v>
      </c>
      <c r="W47" s="111" t="s">
        <v>770</v>
      </c>
      <c r="X47" s="111">
        <f t="shared" si="25"/>
        <v>132408</v>
      </c>
      <c r="Y47" s="111">
        <f t="shared" si="26"/>
        <v>10836</v>
      </c>
      <c r="Z47" s="111">
        <f t="shared" si="27"/>
        <v>10872</v>
      </c>
      <c r="AA47" s="111">
        <f t="shared" si="28"/>
        <v>10908</v>
      </c>
      <c r="AB47" s="111">
        <f t="shared" si="29"/>
        <v>10944</v>
      </c>
      <c r="AC47" s="111">
        <f t="shared" si="30"/>
        <v>10980</v>
      </c>
      <c r="AD47" s="111">
        <f t="shared" si="31"/>
        <v>11016</v>
      </c>
      <c r="AE47" s="111">
        <f t="shared" si="32"/>
        <v>11052</v>
      </c>
      <c r="AF47" s="111">
        <f t="shared" si="33"/>
        <v>11088</v>
      </c>
      <c r="AG47" s="111">
        <f t="shared" si="34"/>
        <v>11124</v>
      </c>
      <c r="AH47" s="111">
        <f t="shared" si="35"/>
        <v>11160</v>
      </c>
      <c r="AI47" s="111">
        <f t="shared" si="36"/>
        <v>11196</v>
      </c>
      <c r="AJ47" s="111">
        <f t="shared" si="37"/>
        <v>11232</v>
      </c>
      <c r="AK47" s="111" t="s">
        <v>767</v>
      </c>
    </row>
    <row r="48" spans="1:37" ht="15" x14ac:dyDescent="0.25">
      <c r="A48" s="354"/>
      <c r="B48" s="336" t="s">
        <v>327</v>
      </c>
      <c r="C48" s="276" t="str">
        <f>VLOOKUP(B48,'Cat. cuentas'!$A$1:$B$195,2,FALSE)</f>
        <v>MTTO CORRECTIVO PLANA</v>
      </c>
      <c r="D48" s="316">
        <f>(D$8*'Costo op 2013'!$Q102)*D2</f>
        <v>26056.088277328425</v>
      </c>
      <c r="E48" s="316">
        <f>(E$8*'Costo op 2013'!$Q102)*E2</f>
        <v>25525.5538969847</v>
      </c>
      <c r="F48" s="316">
        <f>(F$8*'Costo op 2013'!$Q102)*F2</f>
        <v>26479.525960426661</v>
      </c>
      <c r="G48" s="316">
        <f>(G$8*'Costo op 2013'!$Q102)*G2</f>
        <v>28041.415751169068</v>
      </c>
      <c r="H48" s="316">
        <f>(H$8*'Costo op 2013'!$Q102)*H2</f>
        <v>27133.170817764287</v>
      </c>
      <c r="I48" s="316">
        <f>(I$8*'Costo op 2013'!$Q102)*I2</f>
        <v>27354.477722969295</v>
      </c>
      <c r="J48" s="316">
        <f>(J$8*'Costo op 2013'!$Q102)*J2</f>
        <v>29624.247456183217</v>
      </c>
      <c r="K48" s="316">
        <f>(K$8*'Costo op 2013'!$Q102)*K2</f>
        <v>29106.888694363657</v>
      </c>
      <c r="L48" s="316">
        <f>(L$8*'Costo op 2013'!$Q102)*L2</f>
        <v>25842.771224879489</v>
      </c>
      <c r="M48" s="316">
        <f>(M$8*'Costo op 2013'!$Q102)*M2</f>
        <v>33479.193131291475</v>
      </c>
      <c r="N48" s="316">
        <f>(N$8*'Costo op 2013'!$Q102)*N2</f>
        <v>29855.280469768168</v>
      </c>
      <c r="O48" s="316">
        <f>(O$8*'Costo op 2013'!$Q102)*O2</f>
        <v>29951.27815616614</v>
      </c>
      <c r="P48" s="453">
        <f t="shared" si="23"/>
        <v>338449.89155929454</v>
      </c>
      <c r="R48" s="111" t="s">
        <v>762</v>
      </c>
      <c r="S48" s="277" t="str">
        <f t="shared" si="24"/>
        <v>0501151500</v>
      </c>
      <c r="T48" s="111" t="s">
        <v>775</v>
      </c>
      <c r="U48" s="585" t="s">
        <v>769</v>
      </c>
      <c r="V48" s="111">
        <v>2014</v>
      </c>
      <c r="W48" s="111" t="s">
        <v>770</v>
      </c>
      <c r="X48" s="111">
        <f t="shared" si="25"/>
        <v>338449</v>
      </c>
      <c r="Y48" s="111">
        <f t="shared" si="26"/>
        <v>26056</v>
      </c>
      <c r="Z48" s="111">
        <f t="shared" si="27"/>
        <v>25526</v>
      </c>
      <c r="AA48" s="111">
        <f t="shared" si="28"/>
        <v>26480</v>
      </c>
      <c r="AB48" s="111">
        <f t="shared" si="29"/>
        <v>28041</v>
      </c>
      <c r="AC48" s="111">
        <f t="shared" si="30"/>
        <v>27133</v>
      </c>
      <c r="AD48" s="111">
        <f t="shared" si="31"/>
        <v>27354</v>
      </c>
      <c r="AE48" s="111">
        <f t="shared" si="32"/>
        <v>29624</v>
      </c>
      <c r="AF48" s="111">
        <f t="shared" si="33"/>
        <v>29107</v>
      </c>
      <c r="AG48" s="111">
        <f t="shared" si="34"/>
        <v>25843</v>
      </c>
      <c r="AH48" s="111">
        <f t="shared" si="35"/>
        <v>33479</v>
      </c>
      <c r="AI48" s="111">
        <f t="shared" si="36"/>
        <v>29855</v>
      </c>
      <c r="AJ48" s="111">
        <f t="shared" si="37"/>
        <v>29951</v>
      </c>
      <c r="AK48" s="111" t="s">
        <v>767</v>
      </c>
    </row>
    <row r="49" spans="1:37" ht="15" x14ac:dyDescent="0.25">
      <c r="A49" s="354"/>
      <c r="B49" s="336" t="s">
        <v>328</v>
      </c>
      <c r="C49" s="276" t="str">
        <f>VLOOKUP(B49,'Cat. cuentas'!$A$1:$B$195,2,FALSE)</f>
        <v>MTTO CORRECTIVO DOLLY</v>
      </c>
      <c r="D49" s="316">
        <f>(D$8*'Costo op 2013'!$Q103)*D2</f>
        <v>32600.572202351879</v>
      </c>
      <c r="E49" s="316">
        <f>(E$8*'Costo op 2013'!$Q103)*E2</f>
        <v>31936.783985634989</v>
      </c>
      <c r="F49" s="316">
        <f>(F$8*'Costo op 2013'!$Q103)*F2</f>
        <v>33130.364342066561</v>
      </c>
      <c r="G49" s="316">
        <f>(G$8*'Costo op 2013'!$Q103)*G2</f>
        <v>35084.552566840073</v>
      </c>
      <c r="H49" s="316">
        <f>(H$8*'Costo op 2013'!$Q103)*H2</f>
        <v>33948.184581986177</v>
      </c>
      <c r="I49" s="316">
        <f>(I$8*'Costo op 2013'!$Q103)*I2</f>
        <v>34225.076940701911</v>
      </c>
      <c r="J49" s="316">
        <f>(J$8*'Costo op 2013'!$Q103)*J2</f>
        <v>37064.942667390351</v>
      </c>
      <c r="K49" s="316">
        <f>(K$8*'Costo op 2013'!$Q103)*K2</f>
        <v>36417.639377283936</v>
      </c>
      <c r="L49" s="316">
        <f>(L$8*'Costo op 2013'!$Q103)*L2</f>
        <v>32333.676500420854</v>
      </c>
      <c r="M49" s="316">
        <f>(M$8*'Costo op 2013'!$Q103)*M2</f>
        <v>41888.131531348117</v>
      </c>
      <c r="N49" s="316">
        <f>(N$8*'Costo op 2013'!$Q103)*N2</f>
        <v>37354.004032255951</v>
      </c>
      <c r="O49" s="316">
        <f>(O$8*'Costo op 2013'!$Q103)*O2</f>
        <v>37474.113369980252</v>
      </c>
      <c r="P49" s="453">
        <f t="shared" si="23"/>
        <v>423458.04209826101</v>
      </c>
      <c r="R49" s="111" t="s">
        <v>762</v>
      </c>
      <c r="S49" s="277" t="str">
        <f t="shared" si="24"/>
        <v>0501151600</v>
      </c>
      <c r="T49" s="111" t="s">
        <v>775</v>
      </c>
      <c r="U49" s="585" t="s">
        <v>769</v>
      </c>
      <c r="V49" s="111">
        <v>2014</v>
      </c>
      <c r="W49" s="111" t="s">
        <v>770</v>
      </c>
      <c r="X49" s="111">
        <f t="shared" si="25"/>
        <v>423459</v>
      </c>
      <c r="Y49" s="111">
        <f t="shared" si="26"/>
        <v>32601</v>
      </c>
      <c r="Z49" s="111">
        <f t="shared" si="27"/>
        <v>31937</v>
      </c>
      <c r="AA49" s="111">
        <f t="shared" si="28"/>
        <v>33130</v>
      </c>
      <c r="AB49" s="111">
        <f t="shared" si="29"/>
        <v>35085</v>
      </c>
      <c r="AC49" s="111">
        <f t="shared" si="30"/>
        <v>33948</v>
      </c>
      <c r="AD49" s="111">
        <f t="shared" si="31"/>
        <v>34225</v>
      </c>
      <c r="AE49" s="111">
        <f t="shared" si="32"/>
        <v>37065</v>
      </c>
      <c r="AF49" s="111">
        <f t="shared" si="33"/>
        <v>36418</v>
      </c>
      <c r="AG49" s="111">
        <f t="shared" si="34"/>
        <v>32334</v>
      </c>
      <c r="AH49" s="111">
        <f t="shared" si="35"/>
        <v>41888</v>
      </c>
      <c r="AI49" s="111">
        <f t="shared" si="36"/>
        <v>37354</v>
      </c>
      <c r="AJ49" s="111">
        <f t="shared" si="37"/>
        <v>37474</v>
      </c>
      <c r="AK49" s="111" t="s">
        <v>767</v>
      </c>
    </row>
    <row r="50" spans="1:37" ht="15" x14ac:dyDescent="0.25">
      <c r="A50" s="354"/>
      <c r="B50" s="333" t="s">
        <v>522</v>
      </c>
      <c r="C50" s="276" t="str">
        <f>VLOOKUP(B50,'Cat. cuentas'!$A$1:$B$195,2,FALSE)</f>
        <v>AUXILIO CARRETERA TOLVA</v>
      </c>
      <c r="D50" s="316">
        <f>(D$8*'Costo op 2013'!$Q104)*D2</f>
        <v>291.78429002993386</v>
      </c>
      <c r="E50" s="316">
        <f>(E$8*'Costo op 2013'!$Q104)*E2</f>
        <v>285.84319880175593</v>
      </c>
      <c r="F50" s="316">
        <f>(F$8*'Costo op 2013'!$Q104)*F2</f>
        <v>296.5260786829237</v>
      </c>
      <c r="G50" s="316">
        <f>(G$8*'Costo op 2013'!$Q104)*G2</f>
        <v>314.01661290456718</v>
      </c>
      <c r="H50" s="316">
        <f>(H$8*'Costo op 2013'!$Q104)*H2</f>
        <v>303.84579983983764</v>
      </c>
      <c r="I50" s="316">
        <f>(I$8*'Costo op 2013'!$Q104)*I2</f>
        <v>306.32406432553756</v>
      </c>
      <c r="J50" s="316">
        <f>(J$8*'Costo op 2013'!$Q104)*J2</f>
        <v>331.74166128361639</v>
      </c>
      <c r="K50" s="316">
        <f>(K$8*'Costo op 2013'!$Q104)*K2</f>
        <v>325.94811478494131</v>
      </c>
      <c r="L50" s="316">
        <f>(L$8*'Costo op 2013'!$Q104)*L2</f>
        <v>289.39549843398856</v>
      </c>
      <c r="M50" s="316">
        <f>(M$8*'Costo op 2013'!$Q104)*M2</f>
        <v>374.91055812428812</v>
      </c>
      <c r="N50" s="316">
        <f>(N$8*'Costo op 2013'!$Q104)*N2</f>
        <v>334.32884179685618</v>
      </c>
      <c r="O50" s="316">
        <f>(O$8*'Costo op 2013'!$Q104)*O2</f>
        <v>335.40385414990078</v>
      </c>
      <c r="P50" s="453">
        <f t="shared" si="23"/>
        <v>3790.068573158147</v>
      </c>
      <c r="R50" s="111" t="s">
        <v>762</v>
      </c>
      <c r="S50" s="277" t="str">
        <f t="shared" si="24"/>
        <v>0501152800</v>
      </c>
      <c r="T50" s="111" t="s">
        <v>775</v>
      </c>
      <c r="U50" s="585" t="s">
        <v>769</v>
      </c>
      <c r="V50" s="111">
        <v>2014</v>
      </c>
      <c r="W50" s="111" t="s">
        <v>770</v>
      </c>
      <c r="X50" s="111">
        <f t="shared" si="25"/>
        <v>3790</v>
      </c>
      <c r="Y50" s="111">
        <f t="shared" si="26"/>
        <v>292</v>
      </c>
      <c r="Z50" s="111">
        <f t="shared" si="27"/>
        <v>286</v>
      </c>
      <c r="AA50" s="111">
        <f t="shared" si="28"/>
        <v>297</v>
      </c>
      <c r="AB50" s="111">
        <f t="shared" si="29"/>
        <v>314</v>
      </c>
      <c r="AC50" s="111">
        <f t="shared" si="30"/>
        <v>304</v>
      </c>
      <c r="AD50" s="111">
        <f t="shared" si="31"/>
        <v>306</v>
      </c>
      <c r="AE50" s="111">
        <f t="shared" si="32"/>
        <v>332</v>
      </c>
      <c r="AF50" s="111">
        <f t="shared" si="33"/>
        <v>326</v>
      </c>
      <c r="AG50" s="111">
        <f t="shared" si="34"/>
        <v>289</v>
      </c>
      <c r="AH50" s="111">
        <f t="shared" si="35"/>
        <v>375</v>
      </c>
      <c r="AI50" s="111">
        <f t="shared" si="36"/>
        <v>334</v>
      </c>
      <c r="AJ50" s="111">
        <f t="shared" si="37"/>
        <v>335</v>
      </c>
      <c r="AK50" s="111" t="s">
        <v>767</v>
      </c>
    </row>
    <row r="51" spans="1:37" ht="15" x14ac:dyDescent="0.25">
      <c r="A51" s="354"/>
      <c r="B51" s="333" t="s">
        <v>524</v>
      </c>
      <c r="C51" s="276" t="str">
        <f>VLOOKUP(B51,'Cat. cuentas'!$A$1:$B$195,2,FALSE)</f>
        <v>AUXILIO CARRETERA CAJA VOLTEO</v>
      </c>
      <c r="D51" s="316">
        <f>(D$8*'Costo op 2013'!$Q105)*D2</f>
        <v>1033.329711141271</v>
      </c>
      <c r="E51" s="316">
        <f>(E$8*'Costo op 2013'!$Q105)*E2</f>
        <v>1012.2898323936962</v>
      </c>
      <c r="F51" s="316">
        <f>(F$8*'Costo op 2013'!$Q105)*F2</f>
        <v>1050.1223599113071</v>
      </c>
      <c r="G51" s="316">
        <f>(G$8*'Costo op 2013'!$Q105)*G2</f>
        <v>1112.0636271162796</v>
      </c>
      <c r="H51" s="316">
        <f>(H$8*'Costo op 2013'!$Q105)*H2</f>
        <v>1076.0445414925446</v>
      </c>
      <c r="I51" s="316">
        <f>(I$8*'Costo op 2013'!$Q105)*I2</f>
        <v>1084.8211083353904</v>
      </c>
      <c r="J51" s="316">
        <f>(J$8*'Costo op 2013'!$Q105)*J2</f>
        <v>1174.8354066374077</v>
      </c>
      <c r="K51" s="316">
        <f>(K$8*'Costo op 2013'!$Q105)*K2</f>
        <v>1154.3180452354443</v>
      </c>
      <c r="L51" s="316">
        <f>(L$8*'Costo op 2013'!$Q105)*L2</f>
        <v>1024.8700050701812</v>
      </c>
      <c r="M51" s="316">
        <f>(M$8*'Costo op 2013'!$Q105)*M2</f>
        <v>1327.7144519694318</v>
      </c>
      <c r="N51" s="316">
        <f>(N$8*'Costo op 2013'!$Q105)*N2</f>
        <v>1183.9976905017727</v>
      </c>
      <c r="O51" s="316">
        <f>(O$8*'Costo op 2013'!$Q105)*O2</f>
        <v>1187.8047570307174</v>
      </c>
      <c r="P51" s="453">
        <f t="shared" si="23"/>
        <v>13422.211536835443</v>
      </c>
      <c r="R51" s="111" t="s">
        <v>762</v>
      </c>
      <c r="S51" s="277" t="str">
        <f t="shared" si="24"/>
        <v>0501152900</v>
      </c>
      <c r="T51" s="111" t="s">
        <v>775</v>
      </c>
      <c r="U51" s="585" t="s">
        <v>769</v>
      </c>
      <c r="V51" s="111">
        <v>2014</v>
      </c>
      <c r="W51" s="111" t="s">
        <v>770</v>
      </c>
      <c r="X51" s="111">
        <f t="shared" si="25"/>
        <v>13422</v>
      </c>
      <c r="Y51" s="111">
        <f t="shared" si="26"/>
        <v>1033</v>
      </c>
      <c r="Z51" s="111">
        <f t="shared" si="27"/>
        <v>1012</v>
      </c>
      <c r="AA51" s="111">
        <f t="shared" si="28"/>
        <v>1050</v>
      </c>
      <c r="AB51" s="111">
        <f t="shared" si="29"/>
        <v>1112</v>
      </c>
      <c r="AC51" s="111">
        <f t="shared" si="30"/>
        <v>1076</v>
      </c>
      <c r="AD51" s="111">
        <f t="shared" si="31"/>
        <v>1085</v>
      </c>
      <c r="AE51" s="111">
        <f t="shared" si="32"/>
        <v>1175</v>
      </c>
      <c r="AF51" s="111">
        <f t="shared" si="33"/>
        <v>1154</v>
      </c>
      <c r="AG51" s="111">
        <f t="shared" si="34"/>
        <v>1025</v>
      </c>
      <c r="AH51" s="111">
        <f t="shared" si="35"/>
        <v>1328</v>
      </c>
      <c r="AI51" s="111">
        <f t="shared" si="36"/>
        <v>1184</v>
      </c>
      <c r="AJ51" s="111">
        <f t="shared" si="37"/>
        <v>1188</v>
      </c>
      <c r="AK51" s="111" t="s">
        <v>767</v>
      </c>
    </row>
    <row r="52" spans="1:37" ht="15" x14ac:dyDescent="0.25">
      <c r="A52" s="354"/>
      <c r="B52" s="333" t="s">
        <v>526</v>
      </c>
      <c r="C52" s="276" t="str">
        <f>VLOOKUP(B52,'Cat. cuentas'!$A$1:$B$195,2,FALSE)</f>
        <v>AUXILIO CARRETERA CAJA SECA</v>
      </c>
      <c r="D52" s="316">
        <f t="shared" ref="D52:O52" si="43">100*D2</f>
        <v>100.33333333333334</v>
      </c>
      <c r="E52" s="316">
        <f t="shared" si="43"/>
        <v>100.66666666666666</v>
      </c>
      <c r="F52" s="316">
        <f t="shared" si="43"/>
        <v>101</v>
      </c>
      <c r="G52" s="316">
        <f t="shared" si="43"/>
        <v>101.33333333333334</v>
      </c>
      <c r="H52" s="316">
        <f t="shared" si="43"/>
        <v>101.66666666666666</v>
      </c>
      <c r="I52" s="316">
        <f t="shared" si="43"/>
        <v>102</v>
      </c>
      <c r="J52" s="316">
        <f t="shared" si="43"/>
        <v>102.33333333333334</v>
      </c>
      <c r="K52" s="316">
        <f t="shared" si="43"/>
        <v>102.66666666666666</v>
      </c>
      <c r="L52" s="316">
        <f t="shared" si="43"/>
        <v>103</v>
      </c>
      <c r="M52" s="316">
        <f t="shared" si="43"/>
        <v>103.33333333333334</v>
      </c>
      <c r="N52" s="316">
        <f t="shared" si="43"/>
        <v>103.66666666666666</v>
      </c>
      <c r="O52" s="316">
        <f t="shared" si="43"/>
        <v>104</v>
      </c>
      <c r="P52" s="453">
        <f t="shared" si="23"/>
        <v>1226</v>
      </c>
      <c r="R52" s="111" t="s">
        <v>762</v>
      </c>
      <c r="S52" s="277" t="str">
        <f t="shared" si="24"/>
        <v>0501153000</v>
      </c>
      <c r="T52" s="111" t="s">
        <v>775</v>
      </c>
      <c r="U52" s="585" t="s">
        <v>769</v>
      </c>
      <c r="V52" s="111">
        <v>2014</v>
      </c>
      <c r="W52" s="111" t="s">
        <v>770</v>
      </c>
      <c r="X52" s="111">
        <f t="shared" si="25"/>
        <v>1226</v>
      </c>
      <c r="Y52" s="111">
        <f t="shared" si="26"/>
        <v>100</v>
      </c>
      <c r="Z52" s="111">
        <f t="shared" si="27"/>
        <v>101</v>
      </c>
      <c r="AA52" s="111">
        <f t="shared" si="28"/>
        <v>101</v>
      </c>
      <c r="AB52" s="111">
        <f t="shared" si="29"/>
        <v>101</v>
      </c>
      <c r="AC52" s="111">
        <f t="shared" si="30"/>
        <v>102</v>
      </c>
      <c r="AD52" s="111">
        <f t="shared" si="31"/>
        <v>102</v>
      </c>
      <c r="AE52" s="111">
        <f t="shared" si="32"/>
        <v>102</v>
      </c>
      <c r="AF52" s="111">
        <f t="shared" si="33"/>
        <v>103</v>
      </c>
      <c r="AG52" s="111">
        <f t="shared" si="34"/>
        <v>103</v>
      </c>
      <c r="AH52" s="111">
        <f t="shared" si="35"/>
        <v>103</v>
      </c>
      <c r="AI52" s="111">
        <f t="shared" si="36"/>
        <v>104</v>
      </c>
      <c r="AJ52" s="111">
        <f t="shared" si="37"/>
        <v>104</v>
      </c>
      <c r="AK52" s="111" t="s">
        <v>767</v>
      </c>
    </row>
    <row r="53" spans="1:37" ht="15" x14ac:dyDescent="0.25">
      <c r="A53" s="354"/>
      <c r="B53" s="333" t="s">
        <v>528</v>
      </c>
      <c r="C53" s="276" t="str">
        <f>VLOOKUP(B53,'Cat. cuentas'!$A$1:$B$195,2,FALSE)</f>
        <v>AUXILIO CARRETERA PLANA</v>
      </c>
      <c r="D53" s="316">
        <f>300*D2</f>
        <v>301</v>
      </c>
      <c r="E53" s="316">
        <f t="shared" ref="E53:O53" si="44">300*E2</f>
        <v>302</v>
      </c>
      <c r="F53" s="316">
        <f t="shared" si="44"/>
        <v>303</v>
      </c>
      <c r="G53" s="316">
        <f t="shared" si="44"/>
        <v>304</v>
      </c>
      <c r="H53" s="316">
        <f t="shared" si="44"/>
        <v>305</v>
      </c>
      <c r="I53" s="316">
        <f t="shared" si="44"/>
        <v>306</v>
      </c>
      <c r="J53" s="316">
        <f t="shared" si="44"/>
        <v>307</v>
      </c>
      <c r="K53" s="316">
        <f t="shared" si="44"/>
        <v>308</v>
      </c>
      <c r="L53" s="316">
        <f t="shared" si="44"/>
        <v>309</v>
      </c>
      <c r="M53" s="316">
        <f t="shared" si="44"/>
        <v>310.00000000000006</v>
      </c>
      <c r="N53" s="316">
        <f t="shared" si="44"/>
        <v>311</v>
      </c>
      <c r="O53" s="316">
        <f t="shared" si="44"/>
        <v>312</v>
      </c>
      <c r="P53" s="453">
        <f t="shared" si="23"/>
        <v>3678</v>
      </c>
      <c r="R53" s="111" t="s">
        <v>762</v>
      </c>
      <c r="S53" s="277" t="str">
        <f t="shared" si="24"/>
        <v>0501153100</v>
      </c>
      <c r="T53" s="111" t="s">
        <v>775</v>
      </c>
      <c r="U53" s="585" t="s">
        <v>769</v>
      </c>
      <c r="V53" s="111">
        <v>2014</v>
      </c>
      <c r="W53" s="111" t="s">
        <v>770</v>
      </c>
      <c r="X53" s="111">
        <f t="shared" si="25"/>
        <v>3678</v>
      </c>
      <c r="Y53" s="111">
        <f t="shared" si="26"/>
        <v>301</v>
      </c>
      <c r="Z53" s="111">
        <f t="shared" si="27"/>
        <v>302</v>
      </c>
      <c r="AA53" s="111">
        <f t="shared" si="28"/>
        <v>303</v>
      </c>
      <c r="AB53" s="111">
        <f t="shared" si="29"/>
        <v>304</v>
      </c>
      <c r="AC53" s="111">
        <f t="shared" si="30"/>
        <v>305</v>
      </c>
      <c r="AD53" s="111">
        <f t="shared" si="31"/>
        <v>306</v>
      </c>
      <c r="AE53" s="111">
        <f t="shared" si="32"/>
        <v>307</v>
      </c>
      <c r="AF53" s="111">
        <f t="shared" si="33"/>
        <v>308</v>
      </c>
      <c r="AG53" s="111">
        <f t="shared" si="34"/>
        <v>309</v>
      </c>
      <c r="AH53" s="111">
        <f t="shared" si="35"/>
        <v>310</v>
      </c>
      <c r="AI53" s="111">
        <f t="shared" si="36"/>
        <v>311</v>
      </c>
      <c r="AJ53" s="111">
        <f t="shared" si="37"/>
        <v>312</v>
      </c>
      <c r="AK53" s="111" t="s">
        <v>767</v>
      </c>
    </row>
    <row r="54" spans="1:37" ht="15" x14ac:dyDescent="0.25">
      <c r="A54" s="354"/>
      <c r="B54" s="333" t="s">
        <v>530</v>
      </c>
      <c r="C54" s="276" t="str">
        <f>VLOOKUP(B54,'Cat. cuentas'!$A$1:$B$195,2,FALSE)</f>
        <v>AUXILIO CARRETERA DOLLY</v>
      </c>
      <c r="D54" s="316">
        <f>(D$8*'Costo op 2013'!$Q108)*D2</f>
        <v>131.5251117962782</v>
      </c>
      <c r="E54" s="316">
        <f>(E$8*'Costo op 2013'!$Q108)*E2</f>
        <v>128.84709685620786</v>
      </c>
      <c r="F54" s="316">
        <f>(F$8*'Costo op 2013'!$Q108)*F2</f>
        <v>133.66252735979208</v>
      </c>
      <c r="G54" s="316">
        <f>(G$8*'Costo op 2013'!$Q108)*G2</f>
        <v>141.54658605480367</v>
      </c>
      <c r="H54" s="316">
        <f>(H$8*'Costo op 2013'!$Q108)*H2</f>
        <v>136.96197553564113</v>
      </c>
      <c r="I54" s="316">
        <f>(I$8*'Costo op 2013'!$Q108)*I2</f>
        <v>138.07908164683371</v>
      </c>
      <c r="J54" s="316">
        <f>(J$8*'Costo op 2013'!$Q108)*J2</f>
        <v>149.53635469316907</v>
      </c>
      <c r="K54" s="316">
        <f>(K$8*'Costo op 2013'!$Q108)*K2</f>
        <v>146.92484723038896</v>
      </c>
      <c r="L54" s="316">
        <f>(L$8*'Costo op 2013'!$Q108)*L2</f>
        <v>130.44833661526187</v>
      </c>
      <c r="M54" s="316">
        <f>(M$8*'Costo op 2013'!$Q108)*M2</f>
        <v>168.99522954386401</v>
      </c>
      <c r="N54" s="316">
        <f>(N$8*'Costo op 2013'!$Q108)*N2</f>
        <v>150.7025559516608</v>
      </c>
      <c r="O54" s="316">
        <f>(O$8*'Costo op 2013'!$Q108)*O2</f>
        <v>151.18713008655362</v>
      </c>
      <c r="P54" s="453">
        <f t="shared" si="23"/>
        <v>1708.4168333704552</v>
      </c>
      <c r="R54" s="111" t="s">
        <v>762</v>
      </c>
      <c r="S54" s="277" t="str">
        <f t="shared" si="24"/>
        <v>0501153200</v>
      </c>
      <c r="T54" s="111" t="s">
        <v>775</v>
      </c>
      <c r="U54" s="585" t="s">
        <v>769</v>
      </c>
      <c r="V54" s="111">
        <v>2014</v>
      </c>
      <c r="W54" s="111" t="s">
        <v>770</v>
      </c>
      <c r="X54" s="111">
        <f t="shared" si="25"/>
        <v>1710</v>
      </c>
      <c r="Y54" s="111">
        <f t="shared" si="26"/>
        <v>132</v>
      </c>
      <c r="Z54" s="111">
        <f t="shared" si="27"/>
        <v>129</v>
      </c>
      <c r="AA54" s="111">
        <f t="shared" si="28"/>
        <v>134</v>
      </c>
      <c r="AB54" s="111">
        <f t="shared" si="29"/>
        <v>142</v>
      </c>
      <c r="AC54" s="111">
        <f t="shared" si="30"/>
        <v>137</v>
      </c>
      <c r="AD54" s="111">
        <f t="shared" si="31"/>
        <v>138</v>
      </c>
      <c r="AE54" s="111">
        <f t="shared" si="32"/>
        <v>150</v>
      </c>
      <c r="AF54" s="111">
        <f t="shared" si="33"/>
        <v>147</v>
      </c>
      <c r="AG54" s="111">
        <f t="shared" si="34"/>
        <v>130</v>
      </c>
      <c r="AH54" s="111">
        <f t="shared" si="35"/>
        <v>169</v>
      </c>
      <c r="AI54" s="111">
        <f t="shared" si="36"/>
        <v>151</v>
      </c>
      <c r="AJ54" s="111">
        <f t="shared" si="37"/>
        <v>151</v>
      </c>
      <c r="AK54" s="111" t="s">
        <v>767</v>
      </c>
    </row>
    <row r="55" spans="1:37" ht="15" x14ac:dyDescent="0.25">
      <c r="A55" s="354"/>
      <c r="B55" s="336"/>
      <c r="C55" s="276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453">
        <f t="shared" si="23"/>
        <v>0</v>
      </c>
      <c r="R55" s="111" t="s">
        <v>762</v>
      </c>
      <c r="S55" s="277">
        <f t="shared" si="24"/>
        <v>0</v>
      </c>
      <c r="T55" s="111" t="s">
        <v>775</v>
      </c>
      <c r="U55" s="585" t="s">
        <v>769</v>
      </c>
      <c r="V55" s="111">
        <v>2014</v>
      </c>
      <c r="W55" s="111" t="s">
        <v>770</v>
      </c>
      <c r="X55" s="111">
        <f t="shared" si="25"/>
        <v>0</v>
      </c>
      <c r="Y55" s="111">
        <f t="shared" si="26"/>
        <v>0</v>
      </c>
      <c r="Z55" s="111">
        <f t="shared" si="27"/>
        <v>0</v>
      </c>
      <c r="AA55" s="111">
        <f t="shared" si="28"/>
        <v>0</v>
      </c>
      <c r="AB55" s="111">
        <f t="shared" si="29"/>
        <v>0</v>
      </c>
      <c r="AC55" s="111">
        <f t="shared" si="30"/>
        <v>0</v>
      </c>
      <c r="AD55" s="111">
        <f t="shared" si="31"/>
        <v>0</v>
      </c>
      <c r="AE55" s="111">
        <f t="shared" si="32"/>
        <v>0</v>
      </c>
      <c r="AF55" s="111">
        <f t="shared" si="33"/>
        <v>0</v>
      </c>
      <c r="AG55" s="111">
        <f t="shared" si="34"/>
        <v>0</v>
      </c>
      <c r="AH55" s="111">
        <f t="shared" si="35"/>
        <v>0</v>
      </c>
      <c r="AI55" s="111">
        <f t="shared" si="36"/>
        <v>0</v>
      </c>
      <c r="AJ55" s="111">
        <f t="shared" si="37"/>
        <v>0</v>
      </c>
      <c r="AK55" s="111" t="s">
        <v>767</v>
      </c>
    </row>
    <row r="56" spans="1:37" ht="15" x14ac:dyDescent="0.25">
      <c r="A56" s="349" t="s">
        <v>329</v>
      </c>
      <c r="B56" s="277" t="s">
        <v>308</v>
      </c>
      <c r="C56" s="276" t="str">
        <f>VLOOKUP(B56,'Cat. cuentas'!$A$1:$B$195,2,FALSE)</f>
        <v>MANTENIMIENTO DE EDIFICIOS</v>
      </c>
      <c r="D56" s="454">
        <f>8000+6700</f>
        <v>14700</v>
      </c>
      <c r="E56" s="454">
        <v>5700</v>
      </c>
      <c r="F56" s="454">
        <v>5700</v>
      </c>
      <c r="G56" s="454">
        <v>5700</v>
      </c>
      <c r="H56" s="454">
        <f>6700+17000</f>
        <v>23700</v>
      </c>
      <c r="I56" s="454">
        <v>5700</v>
      </c>
      <c r="J56" s="454">
        <v>5700</v>
      </c>
      <c r="K56" s="454">
        <v>5700</v>
      </c>
      <c r="L56" s="454">
        <v>5700</v>
      </c>
      <c r="M56" s="454">
        <v>5700</v>
      </c>
      <c r="N56" s="454">
        <v>5700</v>
      </c>
      <c r="O56" s="454">
        <v>5700</v>
      </c>
      <c r="P56" s="449">
        <f t="shared" si="23"/>
        <v>95400</v>
      </c>
      <c r="R56" s="111" t="s">
        <v>762</v>
      </c>
      <c r="S56" s="277" t="str">
        <f t="shared" si="24"/>
        <v>0501060100</v>
      </c>
      <c r="T56" s="111" t="s">
        <v>775</v>
      </c>
      <c r="U56" s="585" t="s">
        <v>769</v>
      </c>
      <c r="V56" s="111">
        <v>2014</v>
      </c>
      <c r="W56" s="111" t="s">
        <v>770</v>
      </c>
      <c r="X56" s="111">
        <f t="shared" si="25"/>
        <v>95400</v>
      </c>
      <c r="Y56" s="111">
        <f t="shared" si="26"/>
        <v>14700</v>
      </c>
      <c r="Z56" s="111">
        <f t="shared" si="27"/>
        <v>5700</v>
      </c>
      <c r="AA56" s="111">
        <f t="shared" si="28"/>
        <v>5700</v>
      </c>
      <c r="AB56" s="111">
        <f t="shared" si="29"/>
        <v>5700</v>
      </c>
      <c r="AC56" s="111">
        <f t="shared" si="30"/>
        <v>23700</v>
      </c>
      <c r="AD56" s="111">
        <f t="shared" si="31"/>
        <v>5700</v>
      </c>
      <c r="AE56" s="111">
        <f t="shared" si="32"/>
        <v>5700</v>
      </c>
      <c r="AF56" s="111">
        <f t="shared" si="33"/>
        <v>5700</v>
      </c>
      <c r="AG56" s="111">
        <f t="shared" si="34"/>
        <v>5700</v>
      </c>
      <c r="AH56" s="111">
        <f t="shared" si="35"/>
        <v>5700</v>
      </c>
      <c r="AI56" s="111">
        <f t="shared" si="36"/>
        <v>5700</v>
      </c>
      <c r="AJ56" s="111">
        <f t="shared" si="37"/>
        <v>5700</v>
      </c>
      <c r="AK56" s="111" t="s">
        <v>767</v>
      </c>
    </row>
    <row r="57" spans="1:37" ht="15" x14ac:dyDescent="0.25">
      <c r="A57" s="349" t="s">
        <v>330</v>
      </c>
      <c r="B57" s="277" t="s">
        <v>406</v>
      </c>
      <c r="C57" s="276" t="str">
        <f>VLOOKUP(B57,'Cat. cuentas'!$A$1:$B$195,2,FALSE)</f>
        <v>MTTO. DE EQUIPO DE OFICINA</v>
      </c>
      <c r="D57" s="316">
        <v>1300</v>
      </c>
      <c r="E57" s="316">
        <v>0</v>
      </c>
      <c r="F57" s="316">
        <v>0</v>
      </c>
      <c r="G57" s="316">
        <v>0</v>
      </c>
      <c r="H57" s="316">
        <v>0</v>
      </c>
      <c r="I57" s="316">
        <v>0</v>
      </c>
      <c r="J57" s="316">
        <v>0</v>
      </c>
      <c r="K57" s="316">
        <v>0</v>
      </c>
      <c r="L57" s="316">
        <v>0</v>
      </c>
      <c r="M57" s="316">
        <v>0</v>
      </c>
      <c r="N57" s="316">
        <v>0</v>
      </c>
      <c r="O57" s="316">
        <v>0</v>
      </c>
      <c r="P57" s="316">
        <f t="shared" si="23"/>
        <v>1300</v>
      </c>
      <c r="R57" s="111" t="s">
        <v>762</v>
      </c>
      <c r="S57" s="277" t="str">
        <f t="shared" si="24"/>
        <v>0501060200</v>
      </c>
      <c r="T57" s="111" t="s">
        <v>775</v>
      </c>
      <c r="U57" s="585" t="s">
        <v>769</v>
      </c>
      <c r="V57" s="111">
        <v>2014</v>
      </c>
      <c r="W57" s="111" t="s">
        <v>770</v>
      </c>
      <c r="X57" s="111">
        <f t="shared" si="25"/>
        <v>1300</v>
      </c>
      <c r="Y57" s="111">
        <f t="shared" si="26"/>
        <v>1300</v>
      </c>
      <c r="Z57" s="111">
        <f t="shared" si="27"/>
        <v>0</v>
      </c>
      <c r="AA57" s="111">
        <f t="shared" si="28"/>
        <v>0</v>
      </c>
      <c r="AB57" s="111">
        <f t="shared" si="29"/>
        <v>0</v>
      </c>
      <c r="AC57" s="111">
        <f t="shared" si="30"/>
        <v>0</v>
      </c>
      <c r="AD57" s="111">
        <f t="shared" si="31"/>
        <v>0</v>
      </c>
      <c r="AE57" s="111">
        <f t="shared" si="32"/>
        <v>0</v>
      </c>
      <c r="AF57" s="111">
        <f t="shared" si="33"/>
        <v>0</v>
      </c>
      <c r="AG57" s="111">
        <f t="shared" si="34"/>
        <v>0</v>
      </c>
      <c r="AH57" s="111">
        <f t="shared" si="35"/>
        <v>0</v>
      </c>
      <c r="AI57" s="111">
        <f t="shared" si="36"/>
        <v>0</v>
      </c>
      <c r="AJ57" s="111">
        <f t="shared" si="37"/>
        <v>0</v>
      </c>
      <c r="AK57" s="111" t="s">
        <v>767</v>
      </c>
    </row>
    <row r="58" spans="1:37" ht="15" x14ac:dyDescent="0.25">
      <c r="A58" s="349"/>
      <c r="B58" s="277" t="s">
        <v>413</v>
      </c>
      <c r="C58" s="276" t="str">
        <f>VLOOKUP(B58,'Cat. cuentas'!$A$1:$B$195,2,FALSE)</f>
        <v>MTTO. EQUIPO RADIOCOMUNICACION</v>
      </c>
      <c r="D58" s="316">
        <v>0</v>
      </c>
      <c r="E58" s="316">
        <v>0</v>
      </c>
      <c r="F58" s="316">
        <v>1500</v>
      </c>
      <c r="G58" s="316">
        <v>0</v>
      </c>
      <c r="H58" s="316">
        <v>0</v>
      </c>
      <c r="I58" s="316">
        <v>0</v>
      </c>
      <c r="J58" s="316">
        <v>0</v>
      </c>
      <c r="K58" s="316">
        <v>0</v>
      </c>
      <c r="L58" s="316">
        <v>0</v>
      </c>
      <c r="M58" s="316">
        <v>0</v>
      </c>
      <c r="N58" s="316">
        <v>0</v>
      </c>
      <c r="O58" s="316">
        <v>0</v>
      </c>
      <c r="P58" s="449">
        <f t="shared" si="23"/>
        <v>1500</v>
      </c>
      <c r="R58" s="111" t="s">
        <v>762</v>
      </c>
      <c r="S58" s="277" t="str">
        <f t="shared" si="24"/>
        <v>0501060600</v>
      </c>
      <c r="T58" s="111" t="s">
        <v>775</v>
      </c>
      <c r="U58" s="585" t="s">
        <v>769</v>
      </c>
      <c r="V58" s="111">
        <v>2014</v>
      </c>
      <c r="W58" s="111" t="s">
        <v>770</v>
      </c>
      <c r="X58" s="111">
        <f t="shared" si="25"/>
        <v>1500</v>
      </c>
      <c r="Y58" s="111">
        <f t="shared" si="26"/>
        <v>0</v>
      </c>
      <c r="Z58" s="111">
        <f t="shared" si="27"/>
        <v>0</v>
      </c>
      <c r="AA58" s="111">
        <f t="shared" si="28"/>
        <v>1500</v>
      </c>
      <c r="AB58" s="111">
        <f t="shared" si="29"/>
        <v>0</v>
      </c>
      <c r="AC58" s="111">
        <f t="shared" si="30"/>
        <v>0</v>
      </c>
      <c r="AD58" s="111">
        <f t="shared" si="31"/>
        <v>0</v>
      </c>
      <c r="AE58" s="111">
        <f t="shared" si="32"/>
        <v>0</v>
      </c>
      <c r="AF58" s="111">
        <f t="shared" si="33"/>
        <v>0</v>
      </c>
      <c r="AG58" s="111">
        <f t="shared" si="34"/>
        <v>0</v>
      </c>
      <c r="AH58" s="111">
        <f t="shared" si="35"/>
        <v>0</v>
      </c>
      <c r="AI58" s="111">
        <f t="shared" si="36"/>
        <v>0</v>
      </c>
      <c r="AJ58" s="111">
        <f t="shared" si="37"/>
        <v>0</v>
      </c>
      <c r="AK58" s="111" t="s">
        <v>767</v>
      </c>
    </row>
    <row r="59" spans="1:37" ht="15" x14ac:dyDescent="0.25">
      <c r="A59" s="349"/>
      <c r="B59" s="469" t="s">
        <v>417</v>
      </c>
      <c r="C59" s="276" t="str">
        <f>VLOOKUP(B59,'Cat. cuentas'!$A$1:$B$195,2,FALSE)</f>
        <v>MTTO. DE MAQUINARIA Y EQUIPO</v>
      </c>
      <c r="D59" s="316">
        <v>0</v>
      </c>
      <c r="E59" s="316">
        <v>0</v>
      </c>
      <c r="F59" s="316">
        <v>0</v>
      </c>
      <c r="G59" s="316">
        <v>0</v>
      </c>
      <c r="H59" s="316">
        <v>6700</v>
      </c>
      <c r="I59" s="316">
        <v>0</v>
      </c>
      <c r="J59" s="316">
        <v>0</v>
      </c>
      <c r="K59" s="316">
        <v>0</v>
      </c>
      <c r="L59" s="316">
        <v>0</v>
      </c>
      <c r="M59" s="316">
        <v>0</v>
      </c>
      <c r="N59" s="316">
        <v>0</v>
      </c>
      <c r="O59" s="316">
        <v>0</v>
      </c>
      <c r="P59" s="449">
        <f t="shared" si="23"/>
        <v>6700</v>
      </c>
      <c r="R59" s="111" t="s">
        <v>762</v>
      </c>
      <c r="S59" s="277" t="str">
        <f t="shared" si="24"/>
        <v>0501060800</v>
      </c>
      <c r="T59" s="111" t="s">
        <v>775</v>
      </c>
      <c r="U59" s="585" t="s">
        <v>769</v>
      </c>
      <c r="V59" s="111">
        <v>2014</v>
      </c>
      <c r="W59" s="111" t="s">
        <v>770</v>
      </c>
      <c r="X59" s="111">
        <f t="shared" si="25"/>
        <v>6700</v>
      </c>
      <c r="Y59" s="111">
        <f t="shared" si="26"/>
        <v>0</v>
      </c>
      <c r="Z59" s="111">
        <f t="shared" si="27"/>
        <v>0</v>
      </c>
      <c r="AA59" s="111">
        <f t="shared" si="28"/>
        <v>0</v>
      </c>
      <c r="AB59" s="111">
        <f t="shared" si="29"/>
        <v>0</v>
      </c>
      <c r="AC59" s="111">
        <f t="shared" si="30"/>
        <v>6700</v>
      </c>
      <c r="AD59" s="111">
        <f t="shared" si="31"/>
        <v>0</v>
      </c>
      <c r="AE59" s="111">
        <f t="shared" si="32"/>
        <v>0</v>
      </c>
      <c r="AF59" s="111">
        <f t="shared" si="33"/>
        <v>0</v>
      </c>
      <c r="AG59" s="111">
        <f t="shared" si="34"/>
        <v>0</v>
      </c>
      <c r="AH59" s="111">
        <f t="shared" si="35"/>
        <v>0</v>
      </c>
      <c r="AI59" s="111">
        <f t="shared" si="36"/>
        <v>0</v>
      </c>
      <c r="AJ59" s="111">
        <f t="shared" si="37"/>
        <v>0</v>
      </c>
      <c r="AK59" s="111" t="s">
        <v>767</v>
      </c>
    </row>
    <row r="60" spans="1:37" ht="15" x14ac:dyDescent="0.25">
      <c r="A60" s="349" t="s">
        <v>331</v>
      </c>
      <c r="B60" s="312" t="s">
        <v>314</v>
      </c>
      <c r="C60" s="276" t="str">
        <f>VLOOKUP(B60,'Cat. cuentas'!$A$1:$B$195,2,FALSE)</f>
        <v>LAVADO LOCAL</v>
      </c>
      <c r="D60" s="309">
        <f>8500*D2</f>
        <v>8528.3333333333339</v>
      </c>
      <c r="E60" s="309">
        <f>8500*E2</f>
        <v>8556.6666666666661</v>
      </c>
      <c r="F60" s="309">
        <f>600*F2</f>
        <v>606</v>
      </c>
      <c r="G60" s="309">
        <f>600*G2</f>
        <v>608</v>
      </c>
      <c r="H60" s="309">
        <f>8500*H2</f>
        <v>8641.6666666666661</v>
      </c>
      <c r="I60" s="309">
        <f>8500*I2</f>
        <v>8670</v>
      </c>
      <c r="J60" s="309">
        <f>600*J2</f>
        <v>614</v>
      </c>
      <c r="K60" s="309">
        <f>600*K2</f>
        <v>616</v>
      </c>
      <c r="L60" s="309">
        <f>8500*L2</f>
        <v>8755</v>
      </c>
      <c r="M60" s="309">
        <f>8500*M2</f>
        <v>8783.3333333333339</v>
      </c>
      <c r="N60" s="309">
        <f>600*N2</f>
        <v>622</v>
      </c>
      <c r="O60" s="309">
        <f>600*O2</f>
        <v>624</v>
      </c>
      <c r="P60" s="449">
        <f t="shared" si="23"/>
        <v>55625</v>
      </c>
      <c r="R60" s="111" t="s">
        <v>762</v>
      </c>
      <c r="S60" s="277" t="str">
        <f t="shared" si="24"/>
        <v>0501150100</v>
      </c>
      <c r="T60" s="111" t="s">
        <v>775</v>
      </c>
      <c r="U60" s="585" t="s">
        <v>769</v>
      </c>
      <c r="V60" s="111">
        <v>2014</v>
      </c>
      <c r="W60" s="111" t="s">
        <v>770</v>
      </c>
      <c r="X60" s="111">
        <f t="shared" si="25"/>
        <v>55625</v>
      </c>
      <c r="Y60" s="111">
        <f t="shared" si="26"/>
        <v>8528</v>
      </c>
      <c r="Z60" s="111">
        <f t="shared" si="27"/>
        <v>8557</v>
      </c>
      <c r="AA60" s="111">
        <f t="shared" si="28"/>
        <v>606</v>
      </c>
      <c r="AB60" s="111">
        <f t="shared" si="29"/>
        <v>608</v>
      </c>
      <c r="AC60" s="111">
        <f t="shared" si="30"/>
        <v>8642</v>
      </c>
      <c r="AD60" s="111">
        <f t="shared" si="31"/>
        <v>8670</v>
      </c>
      <c r="AE60" s="111">
        <f t="shared" si="32"/>
        <v>614</v>
      </c>
      <c r="AF60" s="111">
        <f t="shared" si="33"/>
        <v>616</v>
      </c>
      <c r="AG60" s="111">
        <f t="shared" si="34"/>
        <v>8755</v>
      </c>
      <c r="AH60" s="111">
        <f t="shared" si="35"/>
        <v>8783</v>
      </c>
      <c r="AI60" s="111">
        <f t="shared" si="36"/>
        <v>622</v>
      </c>
      <c r="AJ60" s="111">
        <f t="shared" si="37"/>
        <v>624</v>
      </c>
      <c r="AK60" s="111" t="s">
        <v>767</v>
      </c>
    </row>
    <row r="61" spans="1:37" ht="15" x14ac:dyDescent="0.25">
      <c r="A61" s="349" t="s">
        <v>332</v>
      </c>
      <c r="B61" s="277" t="s">
        <v>540</v>
      </c>
      <c r="C61" s="276" t="str">
        <f>VLOOKUP(B61,'Cat. cuentas'!$A$1:$B$195,2,FALSE)</f>
        <v>SANDBLASTEO</v>
      </c>
      <c r="D61" s="309">
        <v>8000</v>
      </c>
      <c r="E61" s="309">
        <v>8000</v>
      </c>
      <c r="F61" s="309">
        <v>8000</v>
      </c>
      <c r="G61" s="309">
        <v>8000</v>
      </c>
      <c r="H61" s="309">
        <v>8000</v>
      </c>
      <c r="I61" s="309">
        <v>8000</v>
      </c>
      <c r="J61" s="309">
        <v>8000</v>
      </c>
      <c r="K61" s="309">
        <v>8000</v>
      </c>
      <c r="L61" s="309">
        <v>8000</v>
      </c>
      <c r="M61" s="309">
        <v>8000</v>
      </c>
      <c r="N61" s="309">
        <v>8000</v>
      </c>
      <c r="O61" s="309">
        <v>8000</v>
      </c>
      <c r="P61" s="449">
        <f t="shared" si="23"/>
        <v>96000</v>
      </c>
      <c r="R61" s="111" t="s">
        <v>762</v>
      </c>
      <c r="S61" s="277" t="str">
        <f t="shared" si="24"/>
        <v>0501153700</v>
      </c>
      <c r="T61" s="111" t="s">
        <v>775</v>
      </c>
      <c r="U61" s="585" t="s">
        <v>769</v>
      </c>
      <c r="V61" s="111">
        <v>2014</v>
      </c>
      <c r="W61" s="111" t="s">
        <v>770</v>
      </c>
      <c r="X61" s="111">
        <f t="shared" si="25"/>
        <v>96000</v>
      </c>
      <c r="Y61" s="111">
        <f t="shared" si="26"/>
        <v>8000</v>
      </c>
      <c r="Z61" s="111">
        <f t="shared" si="27"/>
        <v>8000</v>
      </c>
      <c r="AA61" s="111">
        <f t="shared" si="28"/>
        <v>8000</v>
      </c>
      <c r="AB61" s="111">
        <f t="shared" si="29"/>
        <v>8000</v>
      </c>
      <c r="AC61" s="111">
        <f t="shared" si="30"/>
        <v>8000</v>
      </c>
      <c r="AD61" s="111">
        <f t="shared" si="31"/>
        <v>8000</v>
      </c>
      <c r="AE61" s="111">
        <f t="shared" si="32"/>
        <v>8000</v>
      </c>
      <c r="AF61" s="111">
        <f t="shared" si="33"/>
        <v>8000</v>
      </c>
      <c r="AG61" s="111">
        <f t="shared" si="34"/>
        <v>8000</v>
      </c>
      <c r="AH61" s="111">
        <f t="shared" si="35"/>
        <v>8000</v>
      </c>
      <c r="AI61" s="111">
        <f t="shared" si="36"/>
        <v>8000</v>
      </c>
      <c r="AJ61" s="111">
        <f t="shared" si="37"/>
        <v>8000</v>
      </c>
      <c r="AK61" s="111" t="s">
        <v>767</v>
      </c>
    </row>
    <row r="62" spans="1:37" ht="15" x14ac:dyDescent="0.25">
      <c r="A62" s="349"/>
      <c r="B62" s="277"/>
      <c r="C62" s="111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449">
        <f>SUM(D62:O62)</f>
        <v>0</v>
      </c>
    </row>
    <row r="63" spans="1:37" ht="15" x14ac:dyDescent="0.25">
      <c r="A63" s="350" t="s">
        <v>292</v>
      </c>
      <c r="B63" s="290"/>
      <c r="C63" s="292"/>
      <c r="D63" s="307">
        <f t="shared" ref="D63:P63" si="45">SUM(D34:D62)</f>
        <v>599089.32822783908</v>
      </c>
      <c r="E63" s="307">
        <f t="shared" si="45"/>
        <v>578357.35182325041</v>
      </c>
      <c r="F63" s="307">
        <f t="shared" si="45"/>
        <v>591121.92265054618</v>
      </c>
      <c r="G63" s="307">
        <f t="shared" si="45"/>
        <v>620991.54338617285</v>
      </c>
      <c r="H63" s="307">
        <f t="shared" si="45"/>
        <v>635714.39933577692</v>
      </c>
      <c r="I63" s="307">
        <f t="shared" si="45"/>
        <v>615611.86364098103</v>
      </c>
      <c r="J63" s="307">
        <f t="shared" si="45"/>
        <v>653074.13003749598</v>
      </c>
      <c r="K63" s="307">
        <f t="shared" si="45"/>
        <v>642879.2032518409</v>
      </c>
      <c r="L63" s="307">
        <f t="shared" si="45"/>
        <v>585913.08249700104</v>
      </c>
      <c r="M63" s="307">
        <f t="shared" si="45"/>
        <v>738740.01146321255</v>
      </c>
      <c r="N63" s="307">
        <f t="shared" si="45"/>
        <v>658281.18764174636</v>
      </c>
      <c r="O63" s="307">
        <f t="shared" si="45"/>
        <v>660347.36509397055</v>
      </c>
      <c r="P63" s="308">
        <f t="shared" si="45"/>
        <v>7580121.3890498346</v>
      </c>
      <c r="Q63" s="20">
        <f>P63+'Gtos Mtto 2014 (Otros)'!P63</f>
        <v>9108159.8258288242</v>
      </c>
    </row>
    <row r="64" spans="1:37" ht="15.75" thickBot="1" x14ac:dyDescent="0.3">
      <c r="A64" s="355" t="s">
        <v>333</v>
      </c>
      <c r="B64" s="340"/>
      <c r="C64" s="341"/>
      <c r="D64" s="356">
        <f t="shared" ref="D64:P64" si="46">D63+D32</f>
        <v>863185.79900770588</v>
      </c>
      <c r="E64" s="356">
        <f t="shared" si="46"/>
        <v>873201.47505385044</v>
      </c>
      <c r="F64" s="356">
        <f t="shared" si="46"/>
        <v>902117.55596219911</v>
      </c>
      <c r="G64" s="356">
        <f t="shared" si="46"/>
        <v>898497.76957382075</v>
      </c>
      <c r="H64" s="356">
        <f t="shared" si="46"/>
        <v>918212.85693302983</v>
      </c>
      <c r="I64" s="356">
        <f t="shared" si="46"/>
        <v>893125.81395966699</v>
      </c>
      <c r="J64" s="356">
        <f t="shared" si="46"/>
        <v>932276.90236243838</v>
      </c>
      <c r="K64" s="356">
        <f t="shared" si="46"/>
        <v>925601.99431561469</v>
      </c>
      <c r="L64" s="356">
        <f t="shared" si="46"/>
        <v>864878.01739353803</v>
      </c>
      <c r="M64" s="356">
        <f t="shared" si="46"/>
        <v>1016887.645206626</v>
      </c>
      <c r="N64" s="356">
        <f t="shared" si="46"/>
        <v>941082.8745750126</v>
      </c>
      <c r="O64" s="356">
        <f t="shared" si="46"/>
        <v>929580.49339969107</v>
      </c>
      <c r="P64" s="357">
        <f t="shared" si="46"/>
        <v>10958649.197743196</v>
      </c>
      <c r="Q64" s="10"/>
      <c r="R64" s="470"/>
    </row>
    <row r="67" spans="16:16" x14ac:dyDescent="0.2">
      <c r="P67" s="17">
        <f>P64-P14</f>
        <v>9763024.8777431957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workbookViewId="0">
      <pane xSplit="1" ySplit="11" topLeftCell="B12" activePane="bottomRight" state="frozen"/>
      <selection activeCell="F11" sqref="F11:Q16"/>
      <selection pane="topRight" activeCell="F11" sqref="F11:Q16"/>
      <selection pane="bottomLeft" activeCell="F11" sqref="F11:Q16"/>
      <selection pane="bottomRight" activeCell="B9" sqref="B9"/>
    </sheetView>
  </sheetViews>
  <sheetFormatPr baseColWidth="10" defaultRowHeight="12.75" x14ac:dyDescent="0.2"/>
  <cols>
    <col min="1" max="1" width="45.140625" style="111" customWidth="1"/>
    <col min="2" max="2" width="13.5703125" style="111" customWidth="1"/>
    <col min="3" max="3" width="39.42578125" style="111" customWidth="1"/>
    <col min="4" max="15" width="12.85546875" style="111" bestFit="1" customWidth="1"/>
    <col min="16" max="16" width="13.85546875" style="111" bestFit="1" customWidth="1"/>
    <col min="17" max="19" width="11.42578125" style="111"/>
    <col min="20" max="20" width="20.28515625" style="111" customWidth="1"/>
    <col min="21" max="21" width="15.5703125" style="111" customWidth="1"/>
    <col min="22" max="16384" width="11.42578125" style="111"/>
  </cols>
  <sheetData>
    <row r="1" spans="1:37" ht="18" x14ac:dyDescent="0.25">
      <c r="A1" s="483" t="s">
        <v>49</v>
      </c>
      <c r="B1" s="233"/>
      <c r="C1" s="436" t="s">
        <v>692</v>
      </c>
      <c r="D1" s="579">
        <f>'Gtos Transp 2014'!D1</f>
        <v>1.0033333333333334</v>
      </c>
      <c r="E1" s="579">
        <f>'Gtos Transp 2014'!E1</f>
        <v>1.0066666666666666</v>
      </c>
      <c r="F1" s="579">
        <f>'Gtos Transp 2014'!F1</f>
        <v>1.01</v>
      </c>
      <c r="G1" s="579">
        <f>'Gtos Transp 2014'!G1</f>
        <v>1.0133333333333334</v>
      </c>
      <c r="H1" s="579">
        <f>'Gtos Transp 2014'!H1</f>
        <v>1.0166666666666666</v>
      </c>
      <c r="I1" s="579">
        <f>'Gtos Transp 2014'!I1</f>
        <v>1.02</v>
      </c>
      <c r="J1" s="579">
        <f>'Gtos Transp 2014'!J1</f>
        <v>1.0233333333333334</v>
      </c>
      <c r="K1" s="579">
        <f>'Gtos Transp 2014'!K1</f>
        <v>1.0266666666666666</v>
      </c>
      <c r="L1" s="579">
        <f>'Gtos Transp 2014'!L1</f>
        <v>1.03</v>
      </c>
      <c r="M1" s="579">
        <f>'Gtos Transp 2014'!M1</f>
        <v>1.0333333333333334</v>
      </c>
      <c r="N1" s="579">
        <f>'Gtos Transp 2014'!N1</f>
        <v>1.0366666666666666</v>
      </c>
      <c r="O1" s="579">
        <f>'Gtos Transp 2014'!O1</f>
        <v>1.04</v>
      </c>
    </row>
    <row r="2" spans="1:37" ht="15.75" x14ac:dyDescent="0.25">
      <c r="A2" s="234" t="s">
        <v>715</v>
      </c>
      <c r="B2" s="233"/>
      <c r="C2" s="436" t="s">
        <v>693</v>
      </c>
      <c r="D2" s="437">
        <f>'Gtos Transp 2014'!D2</f>
        <v>1.0397000000000001</v>
      </c>
      <c r="E2" s="233"/>
      <c r="F2" s="233"/>
      <c r="G2" s="233"/>
      <c r="H2" s="233"/>
    </row>
    <row r="3" spans="1:37" x14ac:dyDescent="0.2">
      <c r="A3" s="488" t="s">
        <v>716</v>
      </c>
      <c r="B3" s="112" t="s">
        <v>100</v>
      </c>
      <c r="C3" s="436" t="s">
        <v>694</v>
      </c>
      <c r="D3" s="233">
        <v>45</v>
      </c>
      <c r="E3" s="438" t="s">
        <v>695</v>
      </c>
      <c r="F3" s="438">
        <v>112</v>
      </c>
      <c r="G3" s="438" t="s">
        <v>696</v>
      </c>
      <c r="H3" s="438">
        <v>3</v>
      </c>
      <c r="I3" s="439"/>
    </row>
    <row r="4" spans="1:37" x14ac:dyDescent="0.2">
      <c r="A4" s="488" t="s">
        <v>219</v>
      </c>
      <c r="B4" s="112" t="str">
        <f>caratula!B26</f>
        <v>PRESUPUESTO  2014</v>
      </c>
      <c r="C4" s="233"/>
      <c r="D4" s="233"/>
      <c r="E4" s="233"/>
      <c r="F4" s="233"/>
      <c r="G4" s="233"/>
      <c r="H4" s="233"/>
    </row>
    <row r="5" spans="1:37" ht="16.5" thickBot="1" x14ac:dyDescent="0.3">
      <c r="A5" s="234"/>
      <c r="B5" s="233"/>
      <c r="C5" s="233"/>
      <c r="D5" s="233"/>
      <c r="E5" s="233"/>
      <c r="F5" s="233"/>
      <c r="G5" s="233"/>
      <c r="H5" s="233"/>
    </row>
    <row r="6" spans="1:37" ht="26.25" thickTop="1" x14ac:dyDescent="0.2">
      <c r="A6" s="236" t="s">
        <v>2</v>
      </c>
      <c r="B6" s="237" t="s">
        <v>220</v>
      </c>
      <c r="C6" s="238" t="s">
        <v>221</v>
      </c>
      <c r="D6" s="239" t="s">
        <v>5</v>
      </c>
      <c r="E6" s="239" t="s">
        <v>6</v>
      </c>
      <c r="F6" s="239" t="s">
        <v>7</v>
      </c>
      <c r="G6" s="239" t="s">
        <v>8</v>
      </c>
      <c r="H6" s="239" t="s">
        <v>9</v>
      </c>
      <c r="I6" s="239" t="s">
        <v>10</v>
      </c>
      <c r="J6" s="239" t="s">
        <v>11</v>
      </c>
      <c r="K6" s="239" t="s">
        <v>12</v>
      </c>
      <c r="L6" s="239" t="s">
        <v>13</v>
      </c>
      <c r="M6" s="239" t="s">
        <v>14</v>
      </c>
      <c r="N6" s="239" t="s">
        <v>15</v>
      </c>
      <c r="O6" s="239" t="s">
        <v>16</v>
      </c>
      <c r="P6" s="240" t="s">
        <v>20</v>
      </c>
      <c r="R6" s="580" t="s">
        <v>743</v>
      </c>
      <c r="S6" s="580" t="s">
        <v>220</v>
      </c>
      <c r="T6" s="580" t="s">
        <v>744</v>
      </c>
      <c r="U6" s="580" t="s">
        <v>745</v>
      </c>
      <c r="V6" s="580" t="s">
        <v>746</v>
      </c>
      <c r="W6" s="580" t="s">
        <v>747</v>
      </c>
      <c r="X6" s="580" t="s">
        <v>748</v>
      </c>
      <c r="Y6" s="580" t="s">
        <v>749</v>
      </c>
      <c r="Z6" s="580" t="s">
        <v>750</v>
      </c>
      <c r="AA6" s="580" t="s">
        <v>751</v>
      </c>
      <c r="AB6" s="580" t="s">
        <v>752</v>
      </c>
      <c r="AC6" s="581" t="s">
        <v>753</v>
      </c>
      <c r="AD6" s="580" t="s">
        <v>754</v>
      </c>
      <c r="AE6" s="580" t="s">
        <v>755</v>
      </c>
      <c r="AF6" s="580" t="s">
        <v>756</v>
      </c>
      <c r="AG6" s="580" t="s">
        <v>757</v>
      </c>
      <c r="AH6" s="580" t="s">
        <v>758</v>
      </c>
      <c r="AI6" s="580" t="s">
        <v>759</v>
      </c>
      <c r="AJ6" s="580" t="s">
        <v>760</v>
      </c>
      <c r="AK6" s="580" t="s">
        <v>761</v>
      </c>
    </row>
    <row r="7" spans="1:37" ht="21" thickBot="1" x14ac:dyDescent="0.25">
      <c r="A7" s="241"/>
      <c r="B7" s="242"/>
      <c r="C7" s="243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5"/>
      <c r="R7" s="582" t="s">
        <v>762</v>
      </c>
      <c r="S7" s="583" t="s">
        <v>763</v>
      </c>
      <c r="T7" s="582" t="s">
        <v>764</v>
      </c>
      <c r="U7" s="582" t="s">
        <v>765</v>
      </c>
      <c r="V7" s="582">
        <v>2013</v>
      </c>
      <c r="W7" s="582" t="s">
        <v>766</v>
      </c>
      <c r="X7" s="582">
        <v>12000</v>
      </c>
      <c r="Y7" s="582">
        <v>1000</v>
      </c>
      <c r="Z7" s="582">
        <v>1000</v>
      </c>
      <c r="AA7" s="582">
        <v>1000</v>
      </c>
      <c r="AB7" s="582">
        <v>1000</v>
      </c>
      <c r="AC7" s="584">
        <v>1000</v>
      </c>
      <c r="AD7" s="582">
        <v>1000</v>
      </c>
      <c r="AE7" s="582">
        <v>1000</v>
      </c>
      <c r="AF7" s="582">
        <v>1000</v>
      </c>
      <c r="AG7" s="582">
        <v>1000</v>
      </c>
      <c r="AH7" s="582">
        <v>1000</v>
      </c>
      <c r="AI7" s="582">
        <v>1000</v>
      </c>
      <c r="AJ7" s="582">
        <v>1000</v>
      </c>
      <c r="AK7" s="582" t="s">
        <v>767</v>
      </c>
    </row>
    <row r="8" spans="1:37" ht="14.25" x14ac:dyDescent="0.2">
      <c r="A8" s="246" t="s">
        <v>35</v>
      </c>
      <c r="B8" s="172" t="s">
        <v>776</v>
      </c>
      <c r="C8" s="248"/>
      <c r="D8" s="249">
        <f>'Presupuesto Otros'!D8</f>
        <v>51609.079668903629</v>
      </c>
      <c r="E8" s="249">
        <f>'Presupuesto Otros'!E8</f>
        <v>51609.079668903629</v>
      </c>
      <c r="F8" s="249">
        <f>'Presupuesto Otros'!F8</f>
        <v>51609.079668903629</v>
      </c>
      <c r="G8" s="249">
        <f>'Presupuesto Otros'!G8</f>
        <v>51609.079668903629</v>
      </c>
      <c r="H8" s="249">
        <f>'Presupuesto Otros'!H8</f>
        <v>51609.079668903629</v>
      </c>
      <c r="I8" s="249">
        <f>'Presupuesto Otros'!I8</f>
        <v>51609.079668903629</v>
      </c>
      <c r="J8" s="249">
        <f>'Presupuesto Otros'!J8</f>
        <v>51609.079668903629</v>
      </c>
      <c r="K8" s="249">
        <f>'Presupuesto Otros'!K8</f>
        <v>51609.079668903629</v>
      </c>
      <c r="L8" s="249">
        <f>'Presupuesto Otros'!L8</f>
        <v>51609.079668903629</v>
      </c>
      <c r="M8" s="249">
        <f>'Presupuesto Otros'!M8</f>
        <v>51609.079668903629</v>
      </c>
      <c r="N8" s="249">
        <f>'Presupuesto Otros'!N8</f>
        <v>51609.079668903629</v>
      </c>
      <c r="O8" s="249">
        <f>'Presupuesto Otros'!O8</f>
        <v>51609.079668903629</v>
      </c>
      <c r="P8" s="250">
        <f>SUM(D8:O8)</f>
        <v>619308.9560268434</v>
      </c>
      <c r="R8" s="111" t="s">
        <v>762</v>
      </c>
      <c r="S8" s="277" t="str">
        <f t="shared" ref="S8:S10" si="0">B8</f>
        <v>0901010200</v>
      </c>
      <c r="T8" s="111" t="s">
        <v>783</v>
      </c>
      <c r="U8" s="585" t="s">
        <v>769</v>
      </c>
      <c r="V8" s="111">
        <v>2014</v>
      </c>
      <c r="W8" s="111" t="s">
        <v>770</v>
      </c>
      <c r="X8" s="111">
        <f t="shared" ref="X8:X10" si="1">SUM(Y8:AJ8)</f>
        <v>619308</v>
      </c>
      <c r="Y8" s="111">
        <f t="shared" ref="Y8:AJ10" si="2">ROUND(D8,0)</f>
        <v>51609</v>
      </c>
      <c r="Z8" s="111">
        <f t="shared" si="2"/>
        <v>51609</v>
      </c>
      <c r="AA8" s="111">
        <f t="shared" si="2"/>
        <v>51609</v>
      </c>
      <c r="AB8" s="111">
        <f t="shared" si="2"/>
        <v>51609</v>
      </c>
      <c r="AC8" s="111">
        <f t="shared" si="2"/>
        <v>51609</v>
      </c>
      <c r="AD8" s="111">
        <f t="shared" si="2"/>
        <v>51609</v>
      </c>
      <c r="AE8" s="111">
        <f t="shared" si="2"/>
        <v>51609</v>
      </c>
      <c r="AF8" s="111">
        <f t="shared" si="2"/>
        <v>51609</v>
      </c>
      <c r="AG8" s="111">
        <f t="shared" si="2"/>
        <v>51609</v>
      </c>
      <c r="AH8" s="111">
        <f t="shared" si="2"/>
        <v>51609</v>
      </c>
      <c r="AI8" s="111">
        <f t="shared" si="2"/>
        <v>51609</v>
      </c>
      <c r="AJ8" s="111">
        <f t="shared" si="2"/>
        <v>51609</v>
      </c>
      <c r="AK8" s="111" t="s">
        <v>767</v>
      </c>
    </row>
    <row r="9" spans="1:37" ht="14.25" x14ac:dyDescent="0.2">
      <c r="A9" s="246" t="s">
        <v>222</v>
      </c>
      <c r="B9" s="172" t="s">
        <v>778</v>
      </c>
      <c r="C9" s="248"/>
      <c r="D9" s="251">
        <f>'Presupuesto Otros'!D9</f>
        <v>70</v>
      </c>
      <c r="E9" s="251">
        <f>'Presupuesto Otros'!E9</f>
        <v>70</v>
      </c>
      <c r="F9" s="251">
        <f>'Presupuesto Otros'!F9</f>
        <v>70</v>
      </c>
      <c r="G9" s="251">
        <f>'Presupuesto Otros'!G9</f>
        <v>70</v>
      </c>
      <c r="H9" s="251">
        <f>'Presupuesto Otros'!H9</f>
        <v>70</v>
      </c>
      <c r="I9" s="251">
        <f>'Presupuesto Otros'!I9</f>
        <v>70</v>
      </c>
      <c r="J9" s="251">
        <f>'Presupuesto Otros'!J9</f>
        <v>70</v>
      </c>
      <c r="K9" s="251">
        <f>'Presupuesto Otros'!K9</f>
        <v>70</v>
      </c>
      <c r="L9" s="251">
        <f>'Presupuesto Otros'!L9</f>
        <v>70</v>
      </c>
      <c r="M9" s="251">
        <f>'Presupuesto Otros'!M9</f>
        <v>70</v>
      </c>
      <c r="N9" s="251">
        <f>'Presupuesto Otros'!N9</f>
        <v>70</v>
      </c>
      <c r="O9" s="251">
        <f>'Presupuesto Otros'!O9</f>
        <v>70</v>
      </c>
      <c r="P9" s="252">
        <f>SUM(D9:O9)</f>
        <v>840</v>
      </c>
      <c r="R9" s="111" t="s">
        <v>762</v>
      </c>
      <c r="S9" s="277" t="str">
        <f t="shared" si="0"/>
        <v>0901010100</v>
      </c>
      <c r="T9" s="111" t="s">
        <v>783</v>
      </c>
      <c r="U9" s="585" t="s">
        <v>769</v>
      </c>
      <c r="V9" s="111">
        <v>2014</v>
      </c>
      <c r="W9" s="111" t="s">
        <v>770</v>
      </c>
      <c r="X9" s="111">
        <f t="shared" si="1"/>
        <v>840</v>
      </c>
      <c r="Y9" s="111">
        <f t="shared" si="2"/>
        <v>70</v>
      </c>
      <c r="Z9" s="111">
        <f t="shared" si="2"/>
        <v>70</v>
      </c>
      <c r="AA9" s="111">
        <f t="shared" si="2"/>
        <v>70</v>
      </c>
      <c r="AB9" s="111">
        <f t="shared" si="2"/>
        <v>70</v>
      </c>
      <c r="AC9" s="111">
        <f t="shared" si="2"/>
        <v>70</v>
      </c>
      <c r="AD9" s="111">
        <f t="shared" si="2"/>
        <v>70</v>
      </c>
      <c r="AE9" s="111">
        <f t="shared" si="2"/>
        <v>70</v>
      </c>
      <c r="AF9" s="111">
        <f t="shared" si="2"/>
        <v>70</v>
      </c>
      <c r="AG9" s="111">
        <f t="shared" si="2"/>
        <v>70</v>
      </c>
      <c r="AH9" s="111">
        <f t="shared" si="2"/>
        <v>70</v>
      </c>
      <c r="AI9" s="111">
        <f t="shared" si="2"/>
        <v>70</v>
      </c>
      <c r="AJ9" s="111">
        <f t="shared" si="2"/>
        <v>70</v>
      </c>
      <c r="AK9" s="111" t="s">
        <v>767</v>
      </c>
    </row>
    <row r="10" spans="1:37" ht="14.25" x14ac:dyDescent="0.2">
      <c r="A10" s="246" t="s">
        <v>223</v>
      </c>
      <c r="B10" s="172" t="s">
        <v>777</v>
      </c>
      <c r="C10" s="248"/>
      <c r="D10" s="251">
        <f>'Presupuesto Otros'!D10</f>
        <v>2100</v>
      </c>
      <c r="E10" s="251">
        <f>'Presupuesto Otros'!E10</f>
        <v>2100</v>
      </c>
      <c r="F10" s="251">
        <f>'Presupuesto Otros'!F10</f>
        <v>2100</v>
      </c>
      <c r="G10" s="251">
        <f>'Presupuesto Otros'!G10</f>
        <v>2100</v>
      </c>
      <c r="H10" s="251">
        <f>'Presupuesto Otros'!H10</f>
        <v>2100</v>
      </c>
      <c r="I10" s="251">
        <f>'Presupuesto Otros'!I10</f>
        <v>2100</v>
      </c>
      <c r="J10" s="251">
        <f>'Presupuesto Otros'!J10</f>
        <v>2100</v>
      </c>
      <c r="K10" s="251">
        <f>'Presupuesto Otros'!K10</f>
        <v>2100</v>
      </c>
      <c r="L10" s="251">
        <f>'Presupuesto Otros'!L10</f>
        <v>2100</v>
      </c>
      <c r="M10" s="251">
        <f>'Presupuesto Otros'!M10</f>
        <v>2100</v>
      </c>
      <c r="N10" s="251">
        <f>'Presupuesto Otros'!N10</f>
        <v>2100</v>
      </c>
      <c r="O10" s="251">
        <f>'Presupuesto Otros'!O10</f>
        <v>2100</v>
      </c>
      <c r="P10" s="252">
        <f>SUM(D10:O10)</f>
        <v>25200</v>
      </c>
      <c r="R10" s="111" t="s">
        <v>762</v>
      </c>
      <c r="S10" s="277" t="str">
        <f t="shared" si="0"/>
        <v>0901010300</v>
      </c>
      <c r="T10" s="111" t="s">
        <v>783</v>
      </c>
      <c r="U10" s="585" t="s">
        <v>769</v>
      </c>
      <c r="V10" s="111">
        <v>2014</v>
      </c>
      <c r="W10" s="111" t="s">
        <v>770</v>
      </c>
      <c r="X10" s="111">
        <f t="shared" si="1"/>
        <v>25200</v>
      </c>
      <c r="Y10" s="111">
        <f t="shared" si="2"/>
        <v>2100</v>
      </c>
      <c r="Z10" s="111">
        <f t="shared" si="2"/>
        <v>2100</v>
      </c>
      <c r="AA10" s="111">
        <f t="shared" si="2"/>
        <v>2100</v>
      </c>
      <c r="AB10" s="111">
        <f t="shared" si="2"/>
        <v>2100</v>
      </c>
      <c r="AC10" s="111">
        <f t="shared" si="2"/>
        <v>2100</v>
      </c>
      <c r="AD10" s="111">
        <f t="shared" si="2"/>
        <v>2100</v>
      </c>
      <c r="AE10" s="111">
        <f t="shared" si="2"/>
        <v>2100</v>
      </c>
      <c r="AF10" s="111">
        <f t="shared" si="2"/>
        <v>2100</v>
      </c>
      <c r="AG10" s="111">
        <f t="shared" si="2"/>
        <v>2100</v>
      </c>
      <c r="AH10" s="111">
        <f t="shared" si="2"/>
        <v>2100</v>
      </c>
      <c r="AI10" s="111">
        <f t="shared" si="2"/>
        <v>2100</v>
      </c>
      <c r="AJ10" s="111">
        <f t="shared" si="2"/>
        <v>2100</v>
      </c>
      <c r="AK10" s="111" t="s">
        <v>767</v>
      </c>
    </row>
    <row r="11" spans="1:37" ht="15" thickBot="1" x14ac:dyDescent="0.25">
      <c r="A11" s="253"/>
      <c r="B11" s="247"/>
      <c r="C11" s="248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5"/>
    </row>
    <row r="12" spans="1:37" ht="15" x14ac:dyDescent="0.25">
      <c r="A12" s="256" t="s">
        <v>224</v>
      </c>
      <c r="B12" s="257"/>
      <c r="C12" s="258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60"/>
    </row>
    <row r="13" spans="1:37" ht="15" x14ac:dyDescent="0.25">
      <c r="A13" s="261" t="s">
        <v>225</v>
      </c>
      <c r="C13" s="262"/>
      <c r="D13" s="263"/>
      <c r="E13" s="263"/>
      <c r="F13" s="263"/>
      <c r="G13" s="263"/>
      <c r="H13" s="263"/>
      <c r="I13" s="263"/>
      <c r="J13" s="263"/>
      <c r="P13" s="262"/>
    </row>
    <row r="14" spans="1:37" ht="15" x14ac:dyDescent="0.25">
      <c r="A14" s="264" t="s">
        <v>226</v>
      </c>
      <c r="B14" s="265"/>
      <c r="C14" s="266"/>
      <c r="D14" s="315">
        <f>'Presupuesto Otros'!D20</f>
        <v>54989.125253713806</v>
      </c>
      <c r="E14" s="315">
        <f>'Presupuesto Otros'!E20</f>
        <v>54989.125253713806</v>
      </c>
      <c r="F14" s="315">
        <f>'Presupuesto Otros'!F20</f>
        <v>54989.125253713806</v>
      </c>
      <c r="G14" s="315">
        <f>'Presupuesto Otros'!G20</f>
        <v>54989.125253713806</v>
      </c>
      <c r="H14" s="315">
        <f>'Presupuesto Otros'!H20</f>
        <v>54989.125253713806</v>
      </c>
      <c r="I14" s="315">
        <f>'Presupuesto Otros'!I20</f>
        <v>54989.125253713806</v>
      </c>
      <c r="J14" s="315">
        <f>'Presupuesto Otros'!J20</f>
        <v>54989.125253713806</v>
      </c>
      <c r="K14" s="315">
        <f>'Presupuesto Otros'!K20</f>
        <v>54989.125253713806</v>
      </c>
      <c r="L14" s="315">
        <f>'Presupuesto Otros'!L20</f>
        <v>54989.125253713806</v>
      </c>
      <c r="M14" s="315">
        <f>'Presupuesto Otros'!M20</f>
        <v>54989.125253713806</v>
      </c>
      <c r="N14" s="315">
        <f>'Presupuesto Otros'!N20</f>
        <v>54989.125253713806</v>
      </c>
      <c r="O14" s="315">
        <f>'Presupuesto Otros'!O20</f>
        <v>54989.125253713806</v>
      </c>
      <c r="P14" s="298">
        <f t="shared" ref="P14:P33" si="3">SUM(D14:O14)</f>
        <v>659869.50304456567</v>
      </c>
    </row>
    <row r="15" spans="1:37" ht="15" x14ac:dyDescent="0.25">
      <c r="A15" s="267" t="s">
        <v>227</v>
      </c>
      <c r="B15" s="268" t="s">
        <v>228</v>
      </c>
      <c r="C15" s="269" t="str">
        <f>VLOOKUP(B15,'Cat. cuentas'!$A$1:$B$195,2,FALSE)</f>
        <v>PERMISOS Y PLACAS</v>
      </c>
      <c r="P15" s="298">
        <f t="shared" si="3"/>
        <v>0</v>
      </c>
      <c r="R15" s="111" t="s">
        <v>762</v>
      </c>
      <c r="S15" s="277" t="str">
        <f>B15</f>
        <v>0501080700</v>
      </c>
      <c r="T15" s="111" t="s">
        <v>785</v>
      </c>
      <c r="U15" s="585" t="s">
        <v>769</v>
      </c>
      <c r="V15" s="111">
        <v>2014</v>
      </c>
      <c r="W15" s="111" t="s">
        <v>770</v>
      </c>
      <c r="X15" s="111">
        <f>SUM(Y15:AJ15)</f>
        <v>0</v>
      </c>
      <c r="Y15" s="111">
        <f>ROUND(D15,0)</f>
        <v>0</v>
      </c>
      <c r="Z15" s="111">
        <f t="shared" ref="Z15:AJ15" si="4">ROUND(E15,0)</f>
        <v>0</v>
      </c>
      <c r="AA15" s="111">
        <f t="shared" si="4"/>
        <v>0</v>
      </c>
      <c r="AB15" s="111">
        <f t="shared" si="4"/>
        <v>0</v>
      </c>
      <c r="AC15" s="111">
        <f t="shared" si="4"/>
        <v>0</v>
      </c>
      <c r="AD15" s="111">
        <f t="shared" si="4"/>
        <v>0</v>
      </c>
      <c r="AE15" s="111">
        <f t="shared" si="4"/>
        <v>0</v>
      </c>
      <c r="AF15" s="111">
        <f t="shared" si="4"/>
        <v>0</v>
      </c>
      <c r="AG15" s="111">
        <f t="shared" si="4"/>
        <v>0</v>
      </c>
      <c r="AH15" s="111">
        <f t="shared" si="4"/>
        <v>0</v>
      </c>
      <c r="AI15" s="111">
        <f t="shared" si="4"/>
        <v>0</v>
      </c>
      <c r="AJ15" s="111">
        <f t="shared" si="4"/>
        <v>0</v>
      </c>
      <c r="AK15" s="111" t="s">
        <v>767</v>
      </c>
    </row>
    <row r="16" spans="1:37" ht="15" x14ac:dyDescent="0.25">
      <c r="A16" s="264" t="s">
        <v>229</v>
      </c>
      <c r="B16" s="270" t="s">
        <v>230</v>
      </c>
      <c r="C16" s="266" t="str">
        <f>VLOOKUP(B16,'Cat. cuentas'!$A$1:$B$195,2,FALSE)</f>
        <v>CUOTAS SINDICALES</v>
      </c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298">
        <f t="shared" si="3"/>
        <v>0</v>
      </c>
      <c r="R16" s="111" t="s">
        <v>762</v>
      </c>
      <c r="S16" s="277" t="str">
        <f t="shared" ref="S16:S47" si="5">B16</f>
        <v>0501170300</v>
      </c>
      <c r="T16" s="111" t="s">
        <v>784</v>
      </c>
      <c r="U16" s="585" t="s">
        <v>769</v>
      </c>
      <c r="V16" s="111">
        <v>2014</v>
      </c>
      <c r="W16" s="111" t="s">
        <v>770</v>
      </c>
      <c r="X16" s="111">
        <f t="shared" ref="X16:X47" si="6">SUM(Y16:AJ16)</f>
        <v>0</v>
      </c>
      <c r="Y16" s="111">
        <f t="shared" ref="Y16:Y47" si="7">ROUND(D16,0)</f>
        <v>0</v>
      </c>
      <c r="Z16" s="111">
        <f t="shared" ref="Z16:Z47" si="8">ROUND(E16,0)</f>
        <v>0</v>
      </c>
      <c r="AA16" s="111">
        <f t="shared" ref="AA16:AA47" si="9">ROUND(F16,0)</f>
        <v>0</v>
      </c>
      <c r="AB16" s="111">
        <f t="shared" ref="AB16:AB47" si="10">ROUND(G16,0)</f>
        <v>0</v>
      </c>
      <c r="AC16" s="111">
        <f t="shared" ref="AC16:AC47" si="11">ROUND(H16,0)</f>
        <v>0</v>
      </c>
      <c r="AD16" s="111">
        <f t="shared" ref="AD16:AD47" si="12">ROUND(I16,0)</f>
        <v>0</v>
      </c>
      <c r="AE16" s="111">
        <f t="shared" ref="AE16:AE47" si="13">ROUND(J16,0)</f>
        <v>0</v>
      </c>
      <c r="AF16" s="111">
        <f t="shared" ref="AF16:AF47" si="14">ROUND(K16,0)</f>
        <v>0</v>
      </c>
      <c r="AG16" s="111">
        <f t="shared" ref="AG16:AG47" si="15">ROUND(L16,0)</f>
        <v>0</v>
      </c>
      <c r="AH16" s="111">
        <f t="shared" ref="AH16:AH47" si="16">ROUND(M16,0)</f>
        <v>0</v>
      </c>
      <c r="AI16" s="111">
        <f t="shared" ref="AI16:AI47" si="17">ROUND(N16,0)</f>
        <v>0</v>
      </c>
      <c r="AJ16" s="111">
        <f t="shared" ref="AJ16:AJ47" si="18">ROUND(O16,0)</f>
        <v>0</v>
      </c>
      <c r="AK16" s="111" t="s">
        <v>767</v>
      </c>
    </row>
    <row r="17" spans="1:37" ht="15" x14ac:dyDescent="0.25">
      <c r="A17" s="267" t="s">
        <v>231</v>
      </c>
      <c r="B17" s="271" t="s">
        <v>232</v>
      </c>
      <c r="C17" s="269" t="str">
        <f>VLOOKUP(B17,'Cat. cuentas'!$A$1:$B$195,2,FALSE)</f>
        <v>SEGURO UNIDADES (FLOTILLA)</v>
      </c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298">
        <f t="shared" si="3"/>
        <v>0</v>
      </c>
      <c r="R17" s="111" t="s">
        <v>762</v>
      </c>
      <c r="S17" s="277" t="str">
        <f t="shared" si="5"/>
        <v>0501070300</v>
      </c>
      <c r="T17" s="111" t="s">
        <v>784</v>
      </c>
      <c r="U17" s="585" t="s">
        <v>769</v>
      </c>
      <c r="V17" s="111">
        <v>2014</v>
      </c>
      <c r="W17" s="111" t="s">
        <v>770</v>
      </c>
      <c r="X17" s="111">
        <f t="shared" si="6"/>
        <v>0</v>
      </c>
      <c r="Y17" s="111">
        <f t="shared" si="7"/>
        <v>0</v>
      </c>
      <c r="Z17" s="111">
        <f t="shared" si="8"/>
        <v>0</v>
      </c>
      <c r="AA17" s="111">
        <f t="shared" si="9"/>
        <v>0</v>
      </c>
      <c r="AB17" s="111">
        <f t="shared" si="10"/>
        <v>0</v>
      </c>
      <c r="AC17" s="111">
        <f t="shared" si="11"/>
        <v>0</v>
      </c>
      <c r="AD17" s="111">
        <f t="shared" si="12"/>
        <v>0</v>
      </c>
      <c r="AE17" s="111">
        <f t="shared" si="13"/>
        <v>0</v>
      </c>
      <c r="AF17" s="111">
        <f t="shared" si="14"/>
        <v>0</v>
      </c>
      <c r="AG17" s="111">
        <f t="shared" si="15"/>
        <v>0</v>
      </c>
      <c r="AH17" s="111">
        <f t="shared" si="16"/>
        <v>0</v>
      </c>
      <c r="AI17" s="111">
        <f t="shared" si="17"/>
        <v>0</v>
      </c>
      <c r="AJ17" s="111">
        <f t="shared" si="18"/>
        <v>0</v>
      </c>
      <c r="AK17" s="111" t="s">
        <v>767</v>
      </c>
    </row>
    <row r="18" spans="1:37" ht="15" x14ac:dyDescent="0.25">
      <c r="A18" s="264" t="s">
        <v>235</v>
      </c>
      <c r="B18" s="270" t="s">
        <v>236</v>
      </c>
      <c r="C18" s="266" t="str">
        <f>VLOOKUP(B18,'Cat. cuentas'!$A$1:$B$195,2,FALSE)</f>
        <v>ZAPATOS, UNIFORMES Y EQUIPO</v>
      </c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298">
        <f t="shared" si="3"/>
        <v>0</v>
      </c>
      <c r="R18" s="111" t="s">
        <v>762</v>
      </c>
      <c r="S18" s="277" t="str">
        <f t="shared" si="5"/>
        <v>0501050200</v>
      </c>
      <c r="T18" s="111" t="s">
        <v>784</v>
      </c>
      <c r="U18" s="585" t="s">
        <v>769</v>
      </c>
      <c r="V18" s="111">
        <v>2014</v>
      </c>
      <c r="W18" s="111" t="s">
        <v>770</v>
      </c>
      <c r="X18" s="111">
        <f t="shared" si="6"/>
        <v>0</v>
      </c>
      <c r="Y18" s="111">
        <f t="shared" si="7"/>
        <v>0</v>
      </c>
      <c r="Z18" s="111">
        <f t="shared" si="8"/>
        <v>0</v>
      </c>
      <c r="AA18" s="111">
        <f t="shared" si="9"/>
        <v>0</v>
      </c>
      <c r="AB18" s="111">
        <f t="shared" si="10"/>
        <v>0</v>
      </c>
      <c r="AC18" s="111">
        <f t="shared" si="11"/>
        <v>0</v>
      </c>
      <c r="AD18" s="111">
        <f t="shared" si="12"/>
        <v>0</v>
      </c>
      <c r="AE18" s="111">
        <f t="shared" si="13"/>
        <v>0</v>
      </c>
      <c r="AF18" s="111">
        <f t="shared" si="14"/>
        <v>0</v>
      </c>
      <c r="AG18" s="111">
        <f t="shared" si="15"/>
        <v>0</v>
      </c>
      <c r="AH18" s="111">
        <f t="shared" si="16"/>
        <v>0</v>
      </c>
      <c r="AI18" s="111">
        <f t="shared" si="17"/>
        <v>0</v>
      </c>
      <c r="AJ18" s="111">
        <f t="shared" si="18"/>
        <v>0</v>
      </c>
      <c r="AK18" s="111" t="s">
        <v>767</v>
      </c>
    </row>
    <row r="19" spans="1:37" ht="15" x14ac:dyDescent="0.25">
      <c r="A19" s="267" t="s">
        <v>237</v>
      </c>
      <c r="B19" s="271" t="s">
        <v>238</v>
      </c>
      <c r="C19" s="269" t="str">
        <f>VLOOKUP(B19,'Cat. cuentas'!$A$1:$B$195,2,FALSE)</f>
        <v>SEGURO DE VIDA</v>
      </c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298">
        <f t="shared" si="3"/>
        <v>0</v>
      </c>
      <c r="R19" s="111" t="s">
        <v>762</v>
      </c>
      <c r="S19" s="277" t="str">
        <f t="shared" si="5"/>
        <v>0501040400</v>
      </c>
      <c r="T19" s="111" t="s">
        <v>784</v>
      </c>
      <c r="U19" s="585" t="s">
        <v>769</v>
      </c>
      <c r="V19" s="111">
        <v>2014</v>
      </c>
      <c r="W19" s="111" t="s">
        <v>770</v>
      </c>
      <c r="X19" s="111">
        <f t="shared" si="6"/>
        <v>0</v>
      </c>
      <c r="Y19" s="111">
        <f t="shared" si="7"/>
        <v>0</v>
      </c>
      <c r="Z19" s="111">
        <f t="shared" si="8"/>
        <v>0</v>
      </c>
      <c r="AA19" s="111">
        <f t="shared" si="9"/>
        <v>0</v>
      </c>
      <c r="AB19" s="111">
        <f t="shared" si="10"/>
        <v>0</v>
      </c>
      <c r="AC19" s="111">
        <f t="shared" si="11"/>
        <v>0</v>
      </c>
      <c r="AD19" s="111">
        <f t="shared" si="12"/>
        <v>0</v>
      </c>
      <c r="AE19" s="111">
        <f t="shared" si="13"/>
        <v>0</v>
      </c>
      <c r="AF19" s="111">
        <f t="shared" si="14"/>
        <v>0</v>
      </c>
      <c r="AG19" s="111">
        <f t="shared" si="15"/>
        <v>0</v>
      </c>
      <c r="AH19" s="111">
        <f t="shared" si="16"/>
        <v>0</v>
      </c>
      <c r="AI19" s="111">
        <f t="shared" si="17"/>
        <v>0</v>
      </c>
      <c r="AJ19" s="111">
        <f t="shared" si="18"/>
        <v>0</v>
      </c>
      <c r="AK19" s="111" t="s">
        <v>767</v>
      </c>
    </row>
    <row r="20" spans="1:37" ht="15" x14ac:dyDescent="0.25">
      <c r="A20" s="264" t="s">
        <v>239</v>
      </c>
      <c r="B20" s="265" t="s">
        <v>240</v>
      </c>
      <c r="C20" s="266" t="str">
        <f>VLOOKUP(B20,'Cat. cuentas'!$A$1:$B$195,2,FALSE)</f>
        <v>GASTOS DE CAPACITACION</v>
      </c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298">
        <f t="shared" si="3"/>
        <v>0</v>
      </c>
      <c r="R20" s="111" t="s">
        <v>762</v>
      </c>
      <c r="S20" s="277" t="str">
        <f t="shared" si="5"/>
        <v>0501050400</v>
      </c>
      <c r="T20" s="111" t="s">
        <v>784</v>
      </c>
      <c r="U20" s="585" t="s">
        <v>769</v>
      </c>
      <c r="V20" s="111">
        <v>2014</v>
      </c>
      <c r="W20" s="111" t="s">
        <v>770</v>
      </c>
      <c r="X20" s="111">
        <f t="shared" si="6"/>
        <v>0</v>
      </c>
      <c r="Y20" s="111">
        <f t="shared" si="7"/>
        <v>0</v>
      </c>
      <c r="Z20" s="111">
        <f t="shared" si="8"/>
        <v>0</v>
      </c>
      <c r="AA20" s="111">
        <f t="shared" si="9"/>
        <v>0</v>
      </c>
      <c r="AB20" s="111">
        <f t="shared" si="10"/>
        <v>0</v>
      </c>
      <c r="AC20" s="111">
        <f t="shared" si="11"/>
        <v>0</v>
      </c>
      <c r="AD20" s="111">
        <f t="shared" si="12"/>
        <v>0</v>
      </c>
      <c r="AE20" s="111">
        <f t="shared" si="13"/>
        <v>0</v>
      </c>
      <c r="AF20" s="111">
        <f t="shared" si="14"/>
        <v>0</v>
      </c>
      <c r="AG20" s="111">
        <f t="shared" si="15"/>
        <v>0</v>
      </c>
      <c r="AH20" s="111">
        <f t="shared" si="16"/>
        <v>0</v>
      </c>
      <c r="AI20" s="111">
        <f t="shared" si="17"/>
        <v>0</v>
      </c>
      <c r="AJ20" s="111">
        <f t="shared" si="18"/>
        <v>0</v>
      </c>
      <c r="AK20" s="111" t="s">
        <v>767</v>
      </c>
    </row>
    <row r="21" spans="1:37" ht="15" x14ac:dyDescent="0.25">
      <c r="A21" s="267" t="s">
        <v>241</v>
      </c>
      <c r="B21" s="271" t="s">
        <v>242</v>
      </c>
      <c r="C21" s="269" t="str">
        <f>VLOOKUP(B21,'Cat. cuentas'!$A$1:$B$195,2,FALSE)</f>
        <v>GTOS DE VIAJE(HOSP.TRANS.VIAT)</v>
      </c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298">
        <f t="shared" si="3"/>
        <v>0</v>
      </c>
      <c r="R21" s="111" t="s">
        <v>762</v>
      </c>
      <c r="S21" s="277" t="str">
        <f t="shared" si="5"/>
        <v>0501140100</v>
      </c>
      <c r="T21" s="111" t="s">
        <v>784</v>
      </c>
      <c r="U21" s="585" t="s">
        <v>769</v>
      </c>
      <c r="V21" s="111">
        <v>2014</v>
      </c>
      <c r="W21" s="111" t="s">
        <v>770</v>
      </c>
      <c r="X21" s="111">
        <f t="shared" si="6"/>
        <v>0</v>
      </c>
      <c r="Y21" s="111">
        <f t="shared" si="7"/>
        <v>0</v>
      </c>
      <c r="Z21" s="111">
        <f t="shared" si="8"/>
        <v>0</v>
      </c>
      <c r="AA21" s="111">
        <f t="shared" si="9"/>
        <v>0</v>
      </c>
      <c r="AB21" s="111">
        <f t="shared" si="10"/>
        <v>0</v>
      </c>
      <c r="AC21" s="111">
        <f t="shared" si="11"/>
        <v>0</v>
      </c>
      <c r="AD21" s="111">
        <f t="shared" si="12"/>
        <v>0</v>
      </c>
      <c r="AE21" s="111">
        <f t="shared" si="13"/>
        <v>0</v>
      </c>
      <c r="AF21" s="111">
        <f t="shared" si="14"/>
        <v>0</v>
      </c>
      <c r="AG21" s="111">
        <f t="shared" si="15"/>
        <v>0</v>
      </c>
      <c r="AH21" s="111">
        <f t="shared" si="16"/>
        <v>0</v>
      </c>
      <c r="AI21" s="111">
        <f t="shared" si="17"/>
        <v>0</v>
      </c>
      <c r="AJ21" s="111">
        <f t="shared" si="18"/>
        <v>0</v>
      </c>
      <c r="AK21" s="111" t="s">
        <v>767</v>
      </c>
    </row>
    <row r="22" spans="1:37" ht="15" x14ac:dyDescent="0.25">
      <c r="A22" s="264" t="s">
        <v>243</v>
      </c>
      <c r="B22" s="265" t="s">
        <v>244</v>
      </c>
      <c r="C22" s="266" t="str">
        <f>VLOOKUP(B22,'Cat. cuentas'!$A$1:$B$195,2,FALSE)</f>
        <v>BECAS Y FOMENTO DEPORTIVO</v>
      </c>
      <c r="D22" s="315"/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298">
        <f t="shared" si="3"/>
        <v>0</v>
      </c>
      <c r="R22" s="111" t="s">
        <v>762</v>
      </c>
      <c r="S22" s="277" t="str">
        <f t="shared" si="5"/>
        <v>0501040700</v>
      </c>
      <c r="T22" s="111" t="s">
        <v>784</v>
      </c>
      <c r="U22" s="585" t="s">
        <v>769</v>
      </c>
      <c r="V22" s="111">
        <v>2014</v>
      </c>
      <c r="W22" s="111" t="s">
        <v>770</v>
      </c>
      <c r="X22" s="111">
        <f t="shared" si="6"/>
        <v>0</v>
      </c>
      <c r="Y22" s="111">
        <f t="shared" si="7"/>
        <v>0</v>
      </c>
      <c r="Z22" s="111">
        <f t="shared" si="8"/>
        <v>0</v>
      </c>
      <c r="AA22" s="111">
        <f t="shared" si="9"/>
        <v>0</v>
      </c>
      <c r="AB22" s="111">
        <f t="shared" si="10"/>
        <v>0</v>
      </c>
      <c r="AC22" s="111">
        <f t="shared" si="11"/>
        <v>0</v>
      </c>
      <c r="AD22" s="111">
        <f t="shared" si="12"/>
        <v>0</v>
      </c>
      <c r="AE22" s="111">
        <f t="shared" si="13"/>
        <v>0</v>
      </c>
      <c r="AF22" s="111">
        <f t="shared" si="14"/>
        <v>0</v>
      </c>
      <c r="AG22" s="111">
        <f t="shared" si="15"/>
        <v>0</v>
      </c>
      <c r="AH22" s="111">
        <f t="shared" si="16"/>
        <v>0</v>
      </c>
      <c r="AI22" s="111">
        <f t="shared" si="17"/>
        <v>0</v>
      </c>
      <c r="AJ22" s="111">
        <f t="shared" si="18"/>
        <v>0</v>
      </c>
      <c r="AK22" s="111" t="s">
        <v>767</v>
      </c>
    </row>
    <row r="23" spans="1:37" x14ac:dyDescent="0.2">
      <c r="A23" s="273" t="s">
        <v>245</v>
      </c>
      <c r="B23" s="274" t="s">
        <v>246</v>
      </c>
      <c r="C23" s="262" t="str">
        <f>VLOOKUP(B23,'Cat. cuentas'!$A$1:$B$195,2,FALSE)</f>
        <v>MTTO PREV.VEHÍCULO UTILITARIO</v>
      </c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298">
        <f t="shared" si="3"/>
        <v>0</v>
      </c>
      <c r="R23" s="111" t="s">
        <v>762</v>
      </c>
      <c r="S23" s="277" t="str">
        <f t="shared" si="5"/>
        <v>0501151000</v>
      </c>
      <c r="T23" s="111" t="s">
        <v>784</v>
      </c>
      <c r="U23" s="585" t="s">
        <v>769</v>
      </c>
      <c r="V23" s="111">
        <v>2014</v>
      </c>
      <c r="W23" s="111" t="s">
        <v>770</v>
      </c>
      <c r="X23" s="111">
        <f t="shared" si="6"/>
        <v>0</v>
      </c>
      <c r="Y23" s="111">
        <f t="shared" si="7"/>
        <v>0</v>
      </c>
      <c r="Z23" s="111">
        <f t="shared" si="8"/>
        <v>0</v>
      </c>
      <c r="AA23" s="111">
        <f t="shared" si="9"/>
        <v>0</v>
      </c>
      <c r="AB23" s="111">
        <f t="shared" si="10"/>
        <v>0</v>
      </c>
      <c r="AC23" s="111">
        <f t="shared" si="11"/>
        <v>0</v>
      </c>
      <c r="AD23" s="111">
        <f t="shared" si="12"/>
        <v>0</v>
      </c>
      <c r="AE23" s="111">
        <f t="shared" si="13"/>
        <v>0</v>
      </c>
      <c r="AF23" s="111">
        <f t="shared" si="14"/>
        <v>0</v>
      </c>
      <c r="AG23" s="111">
        <f t="shared" si="15"/>
        <v>0</v>
      </c>
      <c r="AH23" s="111">
        <f t="shared" si="16"/>
        <v>0</v>
      </c>
      <c r="AI23" s="111">
        <f t="shared" si="17"/>
        <v>0</v>
      </c>
      <c r="AJ23" s="111">
        <f t="shared" si="18"/>
        <v>0</v>
      </c>
      <c r="AK23" s="111" t="s">
        <v>767</v>
      </c>
    </row>
    <row r="24" spans="1:37" ht="15" x14ac:dyDescent="0.25">
      <c r="A24" s="264" t="s">
        <v>99</v>
      </c>
      <c r="B24" s="275" t="s">
        <v>247</v>
      </c>
      <c r="C24" s="276" t="str">
        <f>VLOOKUP(B24,'Cat. cuentas'!$A$1:$B$195,2,FALSE)</f>
        <v>PROGRAMAS Y GASTOS  SEGURIDAD</v>
      </c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298">
        <f t="shared" si="3"/>
        <v>0</v>
      </c>
      <c r="R24" s="111" t="s">
        <v>762</v>
      </c>
      <c r="S24" s="277" t="str">
        <f t="shared" si="5"/>
        <v>0501170500</v>
      </c>
      <c r="T24" s="111" t="s">
        <v>784</v>
      </c>
      <c r="U24" s="585" t="s">
        <v>769</v>
      </c>
      <c r="V24" s="111">
        <v>2014</v>
      </c>
      <c r="W24" s="111" t="s">
        <v>770</v>
      </c>
      <c r="X24" s="111">
        <f t="shared" si="6"/>
        <v>0</v>
      </c>
      <c r="Y24" s="111">
        <f t="shared" si="7"/>
        <v>0</v>
      </c>
      <c r="Z24" s="111">
        <f t="shared" si="8"/>
        <v>0</v>
      </c>
      <c r="AA24" s="111">
        <f t="shared" si="9"/>
        <v>0</v>
      </c>
      <c r="AB24" s="111">
        <f t="shared" si="10"/>
        <v>0</v>
      </c>
      <c r="AC24" s="111">
        <f t="shared" si="11"/>
        <v>0</v>
      </c>
      <c r="AD24" s="111">
        <f t="shared" si="12"/>
        <v>0</v>
      </c>
      <c r="AE24" s="111">
        <f t="shared" si="13"/>
        <v>0</v>
      </c>
      <c r="AF24" s="111">
        <f t="shared" si="14"/>
        <v>0</v>
      </c>
      <c r="AG24" s="111">
        <f t="shared" si="15"/>
        <v>0</v>
      </c>
      <c r="AH24" s="111">
        <f t="shared" si="16"/>
        <v>0</v>
      </c>
      <c r="AI24" s="111">
        <f t="shared" si="17"/>
        <v>0</v>
      </c>
      <c r="AJ24" s="111">
        <f t="shared" si="18"/>
        <v>0</v>
      </c>
      <c r="AK24" s="111" t="s">
        <v>767</v>
      </c>
    </row>
    <row r="25" spans="1:37" ht="15" x14ac:dyDescent="0.25">
      <c r="A25" s="267" t="s">
        <v>248</v>
      </c>
      <c r="B25" s="271" t="s">
        <v>249</v>
      </c>
      <c r="C25" s="269" t="str">
        <f>VLOOKUP(B25,'Cat. cuentas'!$A$1:$B$195,2,FALSE)</f>
        <v>PAPELERÍA Y ARTICULOS DE ESC.</v>
      </c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298">
        <f t="shared" si="3"/>
        <v>0</v>
      </c>
      <c r="R25" s="111" t="s">
        <v>762</v>
      </c>
      <c r="S25" s="277" t="str">
        <f t="shared" si="5"/>
        <v>0501130200</v>
      </c>
      <c r="T25" s="111" t="s">
        <v>784</v>
      </c>
      <c r="U25" s="585" t="s">
        <v>769</v>
      </c>
      <c r="V25" s="111">
        <v>2014</v>
      </c>
      <c r="W25" s="111" t="s">
        <v>770</v>
      </c>
      <c r="X25" s="111">
        <f t="shared" si="6"/>
        <v>0</v>
      </c>
      <c r="Y25" s="111">
        <f t="shared" si="7"/>
        <v>0</v>
      </c>
      <c r="Z25" s="111">
        <f t="shared" si="8"/>
        <v>0</v>
      </c>
      <c r="AA25" s="111">
        <f t="shared" si="9"/>
        <v>0</v>
      </c>
      <c r="AB25" s="111">
        <f t="shared" si="10"/>
        <v>0</v>
      </c>
      <c r="AC25" s="111">
        <f t="shared" si="11"/>
        <v>0</v>
      </c>
      <c r="AD25" s="111">
        <f t="shared" si="12"/>
        <v>0</v>
      </c>
      <c r="AE25" s="111">
        <f t="shared" si="13"/>
        <v>0</v>
      </c>
      <c r="AF25" s="111">
        <f t="shared" si="14"/>
        <v>0</v>
      </c>
      <c r="AG25" s="111">
        <f t="shared" si="15"/>
        <v>0</v>
      </c>
      <c r="AH25" s="111">
        <f t="shared" si="16"/>
        <v>0</v>
      </c>
      <c r="AI25" s="111">
        <f t="shared" si="17"/>
        <v>0</v>
      </c>
      <c r="AJ25" s="111">
        <f t="shared" si="18"/>
        <v>0</v>
      </c>
      <c r="AK25" s="111" t="s">
        <v>767</v>
      </c>
    </row>
    <row r="26" spans="1:37" ht="15" x14ac:dyDescent="0.25">
      <c r="A26" s="264" t="s">
        <v>250</v>
      </c>
      <c r="B26" s="275" t="s">
        <v>251</v>
      </c>
      <c r="C26" s="276" t="str">
        <f>VLOOKUP(B26,'Cat. cuentas'!$A$1:$B$195,2,FALSE)</f>
        <v>TELEFONIA CELULAR</v>
      </c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298">
        <f t="shared" si="3"/>
        <v>0</v>
      </c>
      <c r="R26" s="111" t="s">
        <v>762</v>
      </c>
      <c r="S26" s="277" t="str">
        <f t="shared" si="5"/>
        <v>0501090200</v>
      </c>
      <c r="T26" s="111" t="s">
        <v>784</v>
      </c>
      <c r="U26" s="585" t="s">
        <v>769</v>
      </c>
      <c r="V26" s="111">
        <v>2014</v>
      </c>
      <c r="W26" s="111" t="s">
        <v>770</v>
      </c>
      <c r="X26" s="111">
        <f t="shared" si="6"/>
        <v>0</v>
      </c>
      <c r="Y26" s="111">
        <f t="shared" si="7"/>
        <v>0</v>
      </c>
      <c r="Z26" s="111">
        <f t="shared" si="8"/>
        <v>0</v>
      </c>
      <c r="AA26" s="111">
        <f t="shared" si="9"/>
        <v>0</v>
      </c>
      <c r="AB26" s="111">
        <f t="shared" si="10"/>
        <v>0</v>
      </c>
      <c r="AC26" s="111">
        <f t="shared" si="11"/>
        <v>0</v>
      </c>
      <c r="AD26" s="111">
        <f t="shared" si="12"/>
        <v>0</v>
      </c>
      <c r="AE26" s="111">
        <f t="shared" si="13"/>
        <v>0</v>
      </c>
      <c r="AF26" s="111">
        <f t="shared" si="14"/>
        <v>0</v>
      </c>
      <c r="AG26" s="111">
        <f t="shared" si="15"/>
        <v>0</v>
      </c>
      <c r="AH26" s="111">
        <f t="shared" si="16"/>
        <v>0</v>
      </c>
      <c r="AI26" s="111">
        <f t="shared" si="17"/>
        <v>0</v>
      </c>
      <c r="AJ26" s="111">
        <f t="shared" si="18"/>
        <v>0</v>
      </c>
      <c r="AK26" s="111" t="s">
        <v>767</v>
      </c>
    </row>
    <row r="27" spans="1:37" ht="15" x14ac:dyDescent="0.25">
      <c r="A27" s="264" t="s">
        <v>258</v>
      </c>
      <c r="B27" s="275" t="s">
        <v>259</v>
      </c>
      <c r="C27" s="276" t="str">
        <f>VLOOKUP(B27,'Cat. cuentas'!$A$1:$B$195,2,FALSE)</f>
        <v>SERVICIO LOCALIZADOR SATELITAL</v>
      </c>
      <c r="D27" s="440"/>
      <c r="E27" s="440"/>
      <c r="F27" s="440"/>
      <c r="G27" s="440"/>
      <c r="H27" s="440"/>
      <c r="I27" s="440"/>
      <c r="J27" s="440"/>
      <c r="K27" s="440"/>
      <c r="L27" s="440"/>
      <c r="M27" s="440"/>
      <c r="N27" s="440"/>
      <c r="O27" s="440"/>
      <c r="P27" s="298">
        <f t="shared" si="3"/>
        <v>0</v>
      </c>
      <c r="R27" s="111" t="s">
        <v>762</v>
      </c>
      <c r="S27" s="277" t="str">
        <f t="shared" si="5"/>
        <v>0501160900</v>
      </c>
      <c r="T27" s="111" t="s">
        <v>784</v>
      </c>
      <c r="U27" s="585" t="s">
        <v>769</v>
      </c>
      <c r="V27" s="111">
        <v>2014</v>
      </c>
      <c r="W27" s="111" t="s">
        <v>770</v>
      </c>
      <c r="X27" s="111">
        <f t="shared" si="6"/>
        <v>0</v>
      </c>
      <c r="Y27" s="111">
        <f t="shared" si="7"/>
        <v>0</v>
      </c>
      <c r="Z27" s="111">
        <f t="shared" si="8"/>
        <v>0</v>
      </c>
      <c r="AA27" s="111">
        <f t="shared" si="9"/>
        <v>0</v>
      </c>
      <c r="AB27" s="111">
        <f t="shared" si="10"/>
        <v>0</v>
      </c>
      <c r="AC27" s="111">
        <f t="shared" si="11"/>
        <v>0</v>
      </c>
      <c r="AD27" s="111">
        <f t="shared" si="12"/>
        <v>0</v>
      </c>
      <c r="AE27" s="111">
        <f t="shared" si="13"/>
        <v>0</v>
      </c>
      <c r="AF27" s="111">
        <f t="shared" si="14"/>
        <v>0</v>
      </c>
      <c r="AG27" s="111">
        <f t="shared" si="15"/>
        <v>0</v>
      </c>
      <c r="AH27" s="111">
        <f t="shared" si="16"/>
        <v>0</v>
      </c>
      <c r="AI27" s="111">
        <f t="shared" si="17"/>
        <v>0</v>
      </c>
      <c r="AJ27" s="111">
        <f t="shared" si="18"/>
        <v>0</v>
      </c>
      <c r="AK27" s="111" t="s">
        <v>767</v>
      </c>
    </row>
    <row r="28" spans="1:37" ht="15" x14ac:dyDescent="0.25">
      <c r="A28" s="264" t="s">
        <v>261</v>
      </c>
      <c r="B28" s="275" t="s">
        <v>262</v>
      </c>
      <c r="C28" s="276" t="str">
        <f>VLOOKUP(B28,'Cat. cuentas'!$A$1:$B$195,2,FALSE)</f>
        <v>GASTOS DE COMEDOR</v>
      </c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298">
        <f t="shared" si="3"/>
        <v>0</v>
      </c>
      <c r="R28" s="111" t="s">
        <v>762</v>
      </c>
      <c r="S28" s="277" t="str">
        <f t="shared" si="5"/>
        <v>0501040600</v>
      </c>
      <c r="T28" s="111" t="s">
        <v>784</v>
      </c>
      <c r="U28" s="585" t="s">
        <v>769</v>
      </c>
      <c r="V28" s="111">
        <v>2014</v>
      </c>
      <c r="W28" s="111" t="s">
        <v>770</v>
      </c>
      <c r="X28" s="111">
        <f t="shared" si="6"/>
        <v>0</v>
      </c>
      <c r="Y28" s="111">
        <f t="shared" si="7"/>
        <v>0</v>
      </c>
      <c r="Z28" s="111">
        <f t="shared" si="8"/>
        <v>0</v>
      </c>
      <c r="AA28" s="111">
        <f t="shared" si="9"/>
        <v>0</v>
      </c>
      <c r="AB28" s="111">
        <f t="shared" si="10"/>
        <v>0</v>
      </c>
      <c r="AC28" s="111">
        <f t="shared" si="11"/>
        <v>0</v>
      </c>
      <c r="AD28" s="111">
        <f t="shared" si="12"/>
        <v>0</v>
      </c>
      <c r="AE28" s="111">
        <f t="shared" si="13"/>
        <v>0</v>
      </c>
      <c r="AF28" s="111">
        <f t="shared" si="14"/>
        <v>0</v>
      </c>
      <c r="AG28" s="111">
        <f t="shared" si="15"/>
        <v>0</v>
      </c>
      <c r="AH28" s="111">
        <f t="shared" si="16"/>
        <v>0</v>
      </c>
      <c r="AI28" s="111">
        <f t="shared" si="17"/>
        <v>0</v>
      </c>
      <c r="AJ28" s="111">
        <f t="shared" si="18"/>
        <v>0</v>
      </c>
      <c r="AK28" s="111" t="s">
        <v>767</v>
      </c>
    </row>
    <row r="29" spans="1:37" ht="15" x14ac:dyDescent="0.25">
      <c r="A29" s="264"/>
      <c r="B29" s="275" t="s">
        <v>263</v>
      </c>
      <c r="C29" s="276" t="str">
        <f>VLOOKUP(B29,'Cat. cuentas'!$A$1:$B$195,2,FALSE)</f>
        <v>COCHES, PASAJES Y TAXIS</v>
      </c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298">
        <f t="shared" si="3"/>
        <v>0</v>
      </c>
      <c r="R29" s="111" t="s">
        <v>762</v>
      </c>
      <c r="S29" s="277" t="str">
        <f t="shared" si="5"/>
        <v>0501140300</v>
      </c>
      <c r="T29" s="111" t="s">
        <v>784</v>
      </c>
      <c r="U29" s="585" t="s">
        <v>769</v>
      </c>
      <c r="V29" s="111">
        <v>2014</v>
      </c>
      <c r="W29" s="111" t="s">
        <v>770</v>
      </c>
      <c r="X29" s="111">
        <f t="shared" si="6"/>
        <v>0</v>
      </c>
      <c r="Y29" s="111">
        <f t="shared" si="7"/>
        <v>0</v>
      </c>
      <c r="Z29" s="111">
        <f t="shared" si="8"/>
        <v>0</v>
      </c>
      <c r="AA29" s="111">
        <f t="shared" si="9"/>
        <v>0</v>
      </c>
      <c r="AB29" s="111">
        <f t="shared" si="10"/>
        <v>0</v>
      </c>
      <c r="AC29" s="111">
        <f t="shared" si="11"/>
        <v>0</v>
      </c>
      <c r="AD29" s="111">
        <f t="shared" si="12"/>
        <v>0</v>
      </c>
      <c r="AE29" s="111">
        <f t="shared" si="13"/>
        <v>0</v>
      </c>
      <c r="AF29" s="111">
        <f t="shared" si="14"/>
        <v>0</v>
      </c>
      <c r="AG29" s="111">
        <f t="shared" si="15"/>
        <v>0</v>
      </c>
      <c r="AH29" s="111">
        <f t="shared" si="16"/>
        <v>0</v>
      </c>
      <c r="AI29" s="111">
        <f t="shared" si="17"/>
        <v>0</v>
      </c>
      <c r="AJ29" s="111">
        <f t="shared" si="18"/>
        <v>0</v>
      </c>
      <c r="AK29" s="111" t="s">
        <v>767</v>
      </c>
    </row>
    <row r="30" spans="1:37" ht="15" x14ac:dyDescent="0.25">
      <c r="A30" s="264"/>
      <c r="B30" s="278" t="s">
        <v>264</v>
      </c>
      <c r="C30" s="276" t="str">
        <f>VLOOKUP(B30,'Cat. cuentas'!$A$1:$B$195,2,FALSE)</f>
        <v>FLETES DIESEL</v>
      </c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298">
        <f t="shared" si="3"/>
        <v>0</v>
      </c>
      <c r="R30" s="111" t="s">
        <v>762</v>
      </c>
      <c r="S30" s="277" t="str">
        <f t="shared" si="5"/>
        <v>0501160800</v>
      </c>
      <c r="T30" s="111" t="s">
        <v>784</v>
      </c>
      <c r="U30" s="585" t="s">
        <v>769</v>
      </c>
      <c r="V30" s="111">
        <v>2014</v>
      </c>
      <c r="W30" s="111" t="s">
        <v>770</v>
      </c>
      <c r="X30" s="111">
        <f t="shared" si="6"/>
        <v>0</v>
      </c>
      <c r="Y30" s="111">
        <f t="shared" si="7"/>
        <v>0</v>
      </c>
      <c r="Z30" s="111">
        <f t="shared" si="8"/>
        <v>0</v>
      </c>
      <c r="AA30" s="111">
        <f t="shared" si="9"/>
        <v>0</v>
      </c>
      <c r="AB30" s="111">
        <f t="shared" si="10"/>
        <v>0</v>
      </c>
      <c r="AC30" s="111">
        <f t="shared" si="11"/>
        <v>0</v>
      </c>
      <c r="AD30" s="111">
        <f t="shared" si="12"/>
        <v>0</v>
      </c>
      <c r="AE30" s="111">
        <f t="shared" si="13"/>
        <v>0</v>
      </c>
      <c r="AF30" s="111">
        <f t="shared" si="14"/>
        <v>0</v>
      </c>
      <c r="AG30" s="111">
        <f t="shared" si="15"/>
        <v>0</v>
      </c>
      <c r="AH30" s="111">
        <f t="shared" si="16"/>
        <v>0</v>
      </c>
      <c r="AI30" s="111">
        <f t="shared" si="17"/>
        <v>0</v>
      </c>
      <c r="AJ30" s="111">
        <f t="shared" si="18"/>
        <v>0</v>
      </c>
      <c r="AK30" s="111" t="s">
        <v>767</v>
      </c>
    </row>
    <row r="31" spans="1:37" ht="15" x14ac:dyDescent="0.25">
      <c r="A31" s="264"/>
      <c r="B31" s="278" t="s">
        <v>265</v>
      </c>
      <c r="C31" s="276" t="str">
        <f>VLOOKUP(B31,'Cat. cuentas'!$A$1:$B$195,2,FALSE)</f>
        <v>EXAMENES MEDICOS</v>
      </c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298">
        <f t="shared" si="3"/>
        <v>0</v>
      </c>
      <c r="R31" s="111" t="s">
        <v>762</v>
      </c>
      <c r="S31" s="277" t="str">
        <f t="shared" si="5"/>
        <v>0501050100</v>
      </c>
      <c r="T31" s="111" t="s">
        <v>784</v>
      </c>
      <c r="U31" s="585" t="s">
        <v>769</v>
      </c>
      <c r="V31" s="111">
        <v>2014</v>
      </c>
      <c r="W31" s="111" t="s">
        <v>770</v>
      </c>
      <c r="X31" s="111">
        <f t="shared" si="6"/>
        <v>0</v>
      </c>
      <c r="Y31" s="111">
        <f t="shared" si="7"/>
        <v>0</v>
      </c>
      <c r="Z31" s="111">
        <f t="shared" si="8"/>
        <v>0</v>
      </c>
      <c r="AA31" s="111">
        <f t="shared" si="9"/>
        <v>0</v>
      </c>
      <c r="AB31" s="111">
        <f t="shared" si="10"/>
        <v>0</v>
      </c>
      <c r="AC31" s="111">
        <f t="shared" si="11"/>
        <v>0</v>
      </c>
      <c r="AD31" s="111">
        <f t="shared" si="12"/>
        <v>0</v>
      </c>
      <c r="AE31" s="111">
        <f t="shared" si="13"/>
        <v>0</v>
      </c>
      <c r="AF31" s="111">
        <f t="shared" si="14"/>
        <v>0</v>
      </c>
      <c r="AG31" s="111">
        <f t="shared" si="15"/>
        <v>0</v>
      </c>
      <c r="AH31" s="111">
        <f t="shared" si="16"/>
        <v>0</v>
      </c>
      <c r="AI31" s="111">
        <f t="shared" si="17"/>
        <v>0</v>
      </c>
      <c r="AJ31" s="111">
        <f t="shared" si="18"/>
        <v>0</v>
      </c>
      <c r="AK31" s="111" t="s">
        <v>767</v>
      </c>
    </row>
    <row r="32" spans="1:37" ht="15" x14ac:dyDescent="0.25">
      <c r="A32" s="264"/>
      <c r="B32" s="278" t="s">
        <v>266</v>
      </c>
      <c r="C32" s="276" t="str">
        <f>VLOOKUP(B32,'Cat. cuentas'!$A$1:$B$195,2,FALSE)</f>
        <v>GASTOS DE CONTRATACION</v>
      </c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298">
        <f t="shared" si="3"/>
        <v>0</v>
      </c>
      <c r="R32" s="111" t="s">
        <v>762</v>
      </c>
      <c r="S32" s="277" t="str">
        <f t="shared" si="5"/>
        <v>0501050300</v>
      </c>
      <c r="T32" s="111" t="s">
        <v>784</v>
      </c>
      <c r="U32" s="585" t="s">
        <v>769</v>
      </c>
      <c r="V32" s="111">
        <v>2014</v>
      </c>
      <c r="W32" s="111" t="s">
        <v>770</v>
      </c>
      <c r="X32" s="111">
        <f t="shared" si="6"/>
        <v>0</v>
      </c>
      <c r="Y32" s="111">
        <f t="shared" si="7"/>
        <v>0</v>
      </c>
      <c r="Z32" s="111">
        <f t="shared" si="8"/>
        <v>0</v>
      </c>
      <c r="AA32" s="111">
        <f t="shared" si="9"/>
        <v>0</v>
      </c>
      <c r="AB32" s="111">
        <f t="shared" si="10"/>
        <v>0</v>
      </c>
      <c r="AC32" s="111">
        <f t="shared" si="11"/>
        <v>0</v>
      </c>
      <c r="AD32" s="111">
        <f t="shared" si="12"/>
        <v>0</v>
      </c>
      <c r="AE32" s="111">
        <f t="shared" si="13"/>
        <v>0</v>
      </c>
      <c r="AF32" s="111">
        <f t="shared" si="14"/>
        <v>0</v>
      </c>
      <c r="AG32" s="111">
        <f t="shared" si="15"/>
        <v>0</v>
      </c>
      <c r="AH32" s="111">
        <f t="shared" si="16"/>
        <v>0</v>
      </c>
      <c r="AI32" s="111">
        <f t="shared" si="17"/>
        <v>0</v>
      </c>
      <c r="AJ32" s="111">
        <f t="shared" si="18"/>
        <v>0</v>
      </c>
      <c r="AK32" s="111" t="s">
        <v>767</v>
      </c>
    </row>
    <row r="33" spans="1:37" ht="15.75" thickBot="1" x14ac:dyDescent="0.3">
      <c r="A33" s="264"/>
      <c r="B33" s="278" t="s">
        <v>267</v>
      </c>
      <c r="C33" s="276" t="str">
        <f>VLOOKUP(B33,'Cat. cuentas'!$A$1:$B$195,2,FALSE)</f>
        <v>TENENCIAS DE CAMIONETAS</v>
      </c>
      <c r="D33" s="441"/>
      <c r="E33" s="441"/>
      <c r="F33" s="441"/>
      <c r="G33" s="441"/>
      <c r="H33" s="441"/>
      <c r="I33" s="441"/>
      <c r="J33" s="441"/>
      <c r="K33" s="441"/>
      <c r="L33" s="441"/>
      <c r="M33" s="441"/>
      <c r="N33" s="441"/>
      <c r="O33" s="441"/>
      <c r="P33" s="298">
        <f t="shared" si="3"/>
        <v>0</v>
      </c>
      <c r="R33" s="111" t="s">
        <v>762</v>
      </c>
      <c r="S33" s="277" t="str">
        <f t="shared" si="5"/>
        <v>0501080400</v>
      </c>
      <c r="T33" s="111" t="s">
        <v>784</v>
      </c>
      <c r="U33" s="585" t="s">
        <v>769</v>
      </c>
      <c r="V33" s="111">
        <v>2014</v>
      </c>
      <c r="W33" s="111" t="s">
        <v>770</v>
      </c>
      <c r="X33" s="111">
        <f t="shared" si="6"/>
        <v>0</v>
      </c>
      <c r="Y33" s="111">
        <f t="shared" si="7"/>
        <v>0</v>
      </c>
      <c r="Z33" s="111">
        <f t="shared" si="8"/>
        <v>0</v>
      </c>
      <c r="AA33" s="111">
        <f t="shared" si="9"/>
        <v>0</v>
      </c>
      <c r="AB33" s="111">
        <f t="shared" si="10"/>
        <v>0</v>
      </c>
      <c r="AC33" s="111">
        <f t="shared" si="11"/>
        <v>0</v>
      </c>
      <c r="AD33" s="111">
        <f t="shared" si="12"/>
        <v>0</v>
      </c>
      <c r="AE33" s="111">
        <f t="shared" si="13"/>
        <v>0</v>
      </c>
      <c r="AF33" s="111">
        <f t="shared" si="14"/>
        <v>0</v>
      </c>
      <c r="AG33" s="111">
        <f t="shared" si="15"/>
        <v>0</v>
      </c>
      <c r="AH33" s="111">
        <f t="shared" si="16"/>
        <v>0</v>
      </c>
      <c r="AI33" s="111">
        <f t="shared" si="17"/>
        <v>0</v>
      </c>
      <c r="AJ33" s="111">
        <f t="shared" si="18"/>
        <v>0</v>
      </c>
      <c r="AK33" s="111" t="s">
        <v>767</v>
      </c>
    </row>
    <row r="34" spans="1:37" ht="15.75" thickBot="1" x14ac:dyDescent="0.3">
      <c r="A34" s="279" t="s">
        <v>270</v>
      </c>
      <c r="B34" s="280"/>
      <c r="C34" s="281"/>
      <c r="D34" s="282">
        <f t="shared" ref="D34:P34" si="19">SUM(D14:D33)</f>
        <v>54989.125253713806</v>
      </c>
      <c r="E34" s="282">
        <f t="shared" si="19"/>
        <v>54989.125253713806</v>
      </c>
      <c r="F34" s="282">
        <f t="shared" si="19"/>
        <v>54989.125253713806</v>
      </c>
      <c r="G34" s="282">
        <f t="shared" si="19"/>
        <v>54989.125253713806</v>
      </c>
      <c r="H34" s="282">
        <f t="shared" si="19"/>
        <v>54989.125253713806</v>
      </c>
      <c r="I34" s="282">
        <f t="shared" si="19"/>
        <v>54989.125253713806</v>
      </c>
      <c r="J34" s="282">
        <f t="shared" si="19"/>
        <v>54989.125253713806</v>
      </c>
      <c r="K34" s="282">
        <f t="shared" si="19"/>
        <v>54989.125253713806</v>
      </c>
      <c r="L34" s="282">
        <f t="shared" si="19"/>
        <v>54989.125253713806</v>
      </c>
      <c r="M34" s="282">
        <f t="shared" si="19"/>
        <v>54989.125253713806</v>
      </c>
      <c r="N34" s="282">
        <f t="shared" si="19"/>
        <v>54989.125253713806</v>
      </c>
      <c r="O34" s="282">
        <f t="shared" si="19"/>
        <v>54989.125253713806</v>
      </c>
      <c r="P34" s="465">
        <f t="shared" si="19"/>
        <v>659869.50304456567</v>
      </c>
      <c r="R34" s="111" t="s">
        <v>762</v>
      </c>
      <c r="S34" s="277">
        <f t="shared" si="5"/>
        <v>0</v>
      </c>
      <c r="T34" s="111" t="s">
        <v>784</v>
      </c>
      <c r="U34" s="585" t="s">
        <v>769</v>
      </c>
      <c r="V34" s="111">
        <v>2014</v>
      </c>
      <c r="W34" s="111" t="s">
        <v>770</v>
      </c>
      <c r="X34" s="111">
        <f t="shared" si="6"/>
        <v>659868</v>
      </c>
      <c r="Y34" s="111">
        <f t="shared" si="7"/>
        <v>54989</v>
      </c>
      <c r="Z34" s="111">
        <f t="shared" si="8"/>
        <v>54989</v>
      </c>
      <c r="AA34" s="111">
        <f t="shared" si="9"/>
        <v>54989</v>
      </c>
      <c r="AB34" s="111">
        <f t="shared" si="10"/>
        <v>54989</v>
      </c>
      <c r="AC34" s="111">
        <f t="shared" si="11"/>
        <v>54989</v>
      </c>
      <c r="AD34" s="111">
        <f t="shared" si="12"/>
        <v>54989</v>
      </c>
      <c r="AE34" s="111">
        <f t="shared" si="13"/>
        <v>54989</v>
      </c>
      <c r="AF34" s="111">
        <f t="shared" si="14"/>
        <v>54989</v>
      </c>
      <c r="AG34" s="111">
        <f t="shared" si="15"/>
        <v>54989</v>
      </c>
      <c r="AH34" s="111">
        <f t="shared" si="16"/>
        <v>54989</v>
      </c>
      <c r="AI34" s="111">
        <f t="shared" si="17"/>
        <v>54989</v>
      </c>
      <c r="AJ34" s="111">
        <f t="shared" si="18"/>
        <v>54989</v>
      </c>
      <c r="AK34" s="111" t="s">
        <v>767</v>
      </c>
    </row>
    <row r="35" spans="1:37" x14ac:dyDescent="0.2">
      <c r="A35" s="283"/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466"/>
      <c r="R35" s="111" t="s">
        <v>762</v>
      </c>
      <c r="S35" s="277">
        <f t="shared" si="5"/>
        <v>0</v>
      </c>
      <c r="T35" s="111" t="s">
        <v>784</v>
      </c>
      <c r="U35" s="585" t="s">
        <v>769</v>
      </c>
      <c r="V35" s="111">
        <v>2014</v>
      </c>
      <c r="W35" s="111" t="s">
        <v>770</v>
      </c>
      <c r="X35" s="111">
        <f t="shared" si="6"/>
        <v>0</v>
      </c>
      <c r="Y35" s="111">
        <f t="shared" si="7"/>
        <v>0</v>
      </c>
      <c r="Z35" s="111">
        <f t="shared" si="8"/>
        <v>0</v>
      </c>
      <c r="AA35" s="111">
        <f t="shared" si="9"/>
        <v>0</v>
      </c>
      <c r="AB35" s="111">
        <f t="shared" si="10"/>
        <v>0</v>
      </c>
      <c r="AC35" s="111">
        <f t="shared" si="11"/>
        <v>0</v>
      </c>
      <c r="AD35" s="111">
        <f t="shared" si="12"/>
        <v>0</v>
      </c>
      <c r="AE35" s="111">
        <f t="shared" si="13"/>
        <v>0</v>
      </c>
      <c r="AF35" s="111">
        <f t="shared" si="14"/>
        <v>0</v>
      </c>
      <c r="AG35" s="111">
        <f t="shared" si="15"/>
        <v>0</v>
      </c>
      <c r="AH35" s="111">
        <f t="shared" si="16"/>
        <v>0</v>
      </c>
      <c r="AI35" s="111">
        <f t="shared" si="17"/>
        <v>0</v>
      </c>
      <c r="AJ35" s="111">
        <f t="shared" si="18"/>
        <v>0</v>
      </c>
      <c r="AK35" s="111" t="s">
        <v>767</v>
      </c>
    </row>
    <row r="36" spans="1:37" ht="15" x14ac:dyDescent="0.25">
      <c r="A36" s="261" t="s">
        <v>271</v>
      </c>
      <c r="B36" s="274"/>
      <c r="C36" s="262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467"/>
      <c r="R36" s="111" t="s">
        <v>762</v>
      </c>
      <c r="S36" s="277">
        <f t="shared" si="5"/>
        <v>0</v>
      </c>
      <c r="T36" s="111" t="s">
        <v>784</v>
      </c>
      <c r="U36" s="585" t="s">
        <v>769</v>
      </c>
      <c r="V36" s="111">
        <v>2014</v>
      </c>
      <c r="W36" s="111" t="s">
        <v>770</v>
      </c>
      <c r="X36" s="111">
        <f t="shared" si="6"/>
        <v>0</v>
      </c>
      <c r="Y36" s="111">
        <f t="shared" si="7"/>
        <v>0</v>
      </c>
      <c r="Z36" s="111">
        <f t="shared" si="8"/>
        <v>0</v>
      </c>
      <c r="AA36" s="111">
        <f t="shared" si="9"/>
        <v>0</v>
      </c>
      <c r="AB36" s="111">
        <f t="shared" si="10"/>
        <v>0</v>
      </c>
      <c r="AC36" s="111">
        <f t="shared" si="11"/>
        <v>0</v>
      </c>
      <c r="AD36" s="111">
        <f t="shared" si="12"/>
        <v>0</v>
      </c>
      <c r="AE36" s="111">
        <f t="shared" si="13"/>
        <v>0</v>
      </c>
      <c r="AF36" s="111">
        <f t="shared" si="14"/>
        <v>0</v>
      </c>
      <c r="AG36" s="111">
        <f t="shared" si="15"/>
        <v>0</v>
      </c>
      <c r="AH36" s="111">
        <f t="shared" si="16"/>
        <v>0</v>
      </c>
      <c r="AI36" s="111">
        <f t="shared" si="17"/>
        <v>0</v>
      </c>
      <c r="AJ36" s="111">
        <f t="shared" si="18"/>
        <v>0</v>
      </c>
      <c r="AK36" s="111" t="s">
        <v>767</v>
      </c>
    </row>
    <row r="37" spans="1:37" ht="15" x14ac:dyDescent="0.25">
      <c r="A37" s="264" t="s">
        <v>272</v>
      </c>
      <c r="B37" s="285" t="s">
        <v>273</v>
      </c>
      <c r="C37" s="276" t="str">
        <f>VLOOKUP(B37,'Cat. cuentas'!$A$1:$B$195,2,FALSE)</f>
        <v>DIESEL Y COMBUSTIBLES CON IVA</v>
      </c>
      <c r="D37" s="486">
        <f>((D8/'Premisas Presupuesto 2014'!$C$38)*'Premisas Presupuesto 2014'!D76)</f>
        <v>307478.34344914957</v>
      </c>
      <c r="E37" s="486">
        <f>((E8/'Premisas Presupuesto 2014'!$C$38)*'Premisas Presupuesto 2014'!E76)</f>
        <v>310135.26550566225</v>
      </c>
      <c r="F37" s="486">
        <f>((F8/'Premisas Presupuesto 2014'!$C$38)*'Premisas Presupuesto 2014'!F76)</f>
        <v>312792.18756217498</v>
      </c>
      <c r="G37" s="486">
        <f>((G8/'Premisas Presupuesto 2014'!$C$38)*'Premisas Presupuesto 2014'!G76)</f>
        <v>315449.10961868759</v>
      </c>
      <c r="H37" s="486">
        <f>((H8/'Premisas Presupuesto 2014'!$C$38)*'Premisas Presupuesto 2014'!H76)</f>
        <v>318106.03167520027</v>
      </c>
      <c r="I37" s="486">
        <f>((I8/'Premisas Presupuesto 2014'!$C$38)*'Premisas Presupuesto 2014'!I76)</f>
        <v>320762.95373171294</v>
      </c>
      <c r="J37" s="486">
        <f>((J8/'Premisas Presupuesto 2014'!$C$38)*'Premisas Presupuesto 2014'!J76)</f>
        <v>323419.87578822562</v>
      </c>
      <c r="K37" s="486">
        <f>((K8/'Premisas Presupuesto 2014'!$C$38)*'Premisas Presupuesto 2014'!K76)</f>
        <v>326076.79784473829</v>
      </c>
      <c r="L37" s="486">
        <f>((L8/'Premisas Presupuesto 2014'!$C$38)*'Premisas Presupuesto 2014'!L76)</f>
        <v>328733.71990125097</v>
      </c>
      <c r="M37" s="486">
        <f>((M8/'Premisas Presupuesto 2014'!$C$38)*'Premisas Presupuesto 2014'!M76)</f>
        <v>331390.64195776364</v>
      </c>
      <c r="N37" s="486">
        <f>((N8/'Premisas Presupuesto 2014'!$C$38)*'Premisas Presupuesto 2014'!N76)</f>
        <v>334047.56401427631</v>
      </c>
      <c r="O37" s="486">
        <f>((O8/'Premisas Presupuesto 2014'!$C$38)*'Premisas Presupuesto 2014'!O76)</f>
        <v>336704.48607078899</v>
      </c>
      <c r="P37" s="468">
        <f t="shared" ref="P37:P47" si="20">SUM(D37:O37)</f>
        <v>3865096.9771196316</v>
      </c>
      <c r="R37" s="111" t="s">
        <v>762</v>
      </c>
      <c r="S37" s="277" t="str">
        <f t="shared" si="5"/>
        <v>0501160301</v>
      </c>
      <c r="T37" s="111" t="s">
        <v>785</v>
      </c>
      <c r="U37" s="585" t="s">
        <v>769</v>
      </c>
      <c r="V37" s="111">
        <v>2014</v>
      </c>
      <c r="W37" s="111" t="s">
        <v>770</v>
      </c>
      <c r="X37" s="111">
        <f t="shared" si="6"/>
        <v>3865097</v>
      </c>
      <c r="Y37" s="111">
        <f t="shared" si="7"/>
        <v>307478</v>
      </c>
      <c r="Z37" s="111">
        <f t="shared" si="8"/>
        <v>310135</v>
      </c>
      <c r="AA37" s="111">
        <f t="shared" si="9"/>
        <v>312792</v>
      </c>
      <c r="AB37" s="111">
        <f t="shared" si="10"/>
        <v>315449</v>
      </c>
      <c r="AC37" s="111">
        <f t="shared" si="11"/>
        <v>318106</v>
      </c>
      <c r="AD37" s="111">
        <f t="shared" si="12"/>
        <v>320763</v>
      </c>
      <c r="AE37" s="111">
        <f t="shared" si="13"/>
        <v>323420</v>
      </c>
      <c r="AF37" s="111">
        <f t="shared" si="14"/>
        <v>326077</v>
      </c>
      <c r="AG37" s="111">
        <f t="shared" si="15"/>
        <v>328734</v>
      </c>
      <c r="AH37" s="111">
        <f t="shared" si="16"/>
        <v>331391</v>
      </c>
      <c r="AI37" s="111">
        <f t="shared" si="17"/>
        <v>334048</v>
      </c>
      <c r="AJ37" s="111">
        <f t="shared" si="18"/>
        <v>336704</v>
      </c>
      <c r="AK37" s="111" t="s">
        <v>767</v>
      </c>
    </row>
    <row r="38" spans="1:37" ht="15" x14ac:dyDescent="0.25">
      <c r="A38" s="267" t="s">
        <v>275</v>
      </c>
      <c r="B38" s="274" t="s">
        <v>276</v>
      </c>
      <c r="C38" s="262" t="str">
        <f>VLOOKUP(B38,'Cat. cuentas'!$A$1:$B$195,2,FALSE)</f>
        <v>SUELDOS Y SALARIOS</v>
      </c>
      <c r="D38" s="485">
        <f>'Gtos Transp 2014'!D38/'Gtos Transp 2014'!D8*D8</f>
        <v>150760.10548098493</v>
      </c>
      <c r="E38" s="485">
        <f>'Gtos Transp 2014'!E38/'Gtos Transp 2014'!E8*E8</f>
        <v>155661.98497177183</v>
      </c>
      <c r="F38" s="485">
        <f>'Gtos Transp 2014'!F38/'Gtos Transp 2014'!F8*F8</f>
        <v>161409.41949425259</v>
      </c>
      <c r="G38" s="485">
        <f>'Gtos Transp 2014'!G38/'Gtos Transp 2014'!G8*G8</f>
        <v>159572.81381276823</v>
      </c>
      <c r="H38" s="485">
        <f>'Gtos Transp 2014'!H38/'Gtos Transp 2014'!H8*H8</f>
        <v>168781.64505021795</v>
      </c>
      <c r="I38" s="485">
        <f>'Gtos Transp 2014'!I38/'Gtos Transp 2014'!I8*I8</f>
        <v>166747.39842554351</v>
      </c>
      <c r="J38" s="485">
        <f>'Gtos Transp 2014'!J38/'Gtos Transp 2014'!J8*J8</f>
        <v>162067.74530979208</v>
      </c>
      <c r="K38" s="485">
        <f>'Gtos Transp 2014'!K38/'Gtos Transp 2014'!K8*K8</f>
        <v>161453.63995309098</v>
      </c>
      <c r="L38" s="485">
        <f>'Gtos Transp 2014'!L38/'Gtos Transp 2014'!L8*L8</f>
        <v>168370.04045608075</v>
      </c>
      <c r="M38" s="485">
        <f>'Gtos Transp 2014'!M38/'Gtos Transp 2014'!M8*M8</f>
        <v>157178.29721534404</v>
      </c>
      <c r="N38" s="485">
        <f>'Gtos Transp 2014'!N38/'Gtos Transp 2014'!N8*N8</f>
        <v>161836.78214954172</v>
      </c>
      <c r="O38" s="485">
        <f>'Gtos Transp 2014'!O38/'Gtos Transp 2014'!O8*O8</f>
        <v>162255.7388161541</v>
      </c>
      <c r="P38" s="468">
        <f t="shared" si="20"/>
        <v>1936095.6111355429</v>
      </c>
      <c r="R38" s="111" t="s">
        <v>762</v>
      </c>
      <c r="S38" s="277" t="str">
        <f t="shared" si="5"/>
        <v>0501010100</v>
      </c>
      <c r="T38" s="111" t="s">
        <v>785</v>
      </c>
      <c r="U38" s="585" t="s">
        <v>769</v>
      </c>
      <c r="V38" s="111">
        <v>2014</v>
      </c>
      <c r="W38" s="111" t="s">
        <v>770</v>
      </c>
      <c r="X38" s="111">
        <f t="shared" si="6"/>
        <v>1936096</v>
      </c>
      <c r="Y38" s="111">
        <f t="shared" si="7"/>
        <v>150760</v>
      </c>
      <c r="Z38" s="111">
        <f t="shared" si="8"/>
        <v>155662</v>
      </c>
      <c r="AA38" s="111">
        <f t="shared" si="9"/>
        <v>161409</v>
      </c>
      <c r="AB38" s="111">
        <f t="shared" si="10"/>
        <v>159573</v>
      </c>
      <c r="AC38" s="111">
        <f t="shared" si="11"/>
        <v>168782</v>
      </c>
      <c r="AD38" s="111">
        <f t="shared" si="12"/>
        <v>166747</v>
      </c>
      <c r="AE38" s="111">
        <f t="shared" si="13"/>
        <v>162068</v>
      </c>
      <c r="AF38" s="111">
        <f t="shared" si="14"/>
        <v>161454</v>
      </c>
      <c r="AG38" s="111">
        <f t="shared" si="15"/>
        <v>168370</v>
      </c>
      <c r="AH38" s="111">
        <f t="shared" si="16"/>
        <v>157178</v>
      </c>
      <c r="AI38" s="111">
        <f t="shared" si="17"/>
        <v>161837</v>
      </c>
      <c r="AJ38" s="111">
        <f t="shared" si="18"/>
        <v>162256</v>
      </c>
      <c r="AK38" s="111" t="s">
        <v>767</v>
      </c>
    </row>
    <row r="39" spans="1:37" ht="15" x14ac:dyDescent="0.25">
      <c r="A39" s="264" t="s">
        <v>277</v>
      </c>
      <c r="B39" s="285" t="s">
        <v>278</v>
      </c>
      <c r="C39" s="276" t="str">
        <f>VLOOKUP(B39,'Cat. cuentas'!$A$1:$B$195,2,FALSE)</f>
        <v>LLANTAS Y CAMARAS NUEVAS</v>
      </c>
      <c r="D39" s="443">
        <f>'Gtos Transp 2014'!D39/'Gtos Transp 2014'!D8*'Gtos Transp 2014 (Otros)'!D8</f>
        <v>6423.7510477715496</v>
      </c>
      <c r="E39" s="442">
        <f>'Gtos Transp 2014'!E39/'Gtos Transp 2014'!E8*'Gtos Transp 2014 (Otros)'!E8</f>
        <v>6423.7510477715496</v>
      </c>
      <c r="F39" s="442">
        <f>'Gtos Transp 2014'!F39/'Gtos Transp 2014'!F8*'Gtos Transp 2014 (Otros)'!F8</f>
        <v>6678.7739643680807</v>
      </c>
      <c r="G39" s="442">
        <f>'Gtos Transp 2014'!G39/'Gtos Transp 2014'!G8*'Gtos Transp 2014 (Otros)'!G8</f>
        <v>6678.7739643680807</v>
      </c>
      <c r="H39" s="442">
        <f>'Gtos Transp 2014'!H39/'Gtos Transp 2014'!H8*'Gtos Transp 2014 (Otros)'!H8</f>
        <v>6678.7739643680807</v>
      </c>
      <c r="I39" s="442">
        <f>'Gtos Transp 2014'!I39/'Gtos Transp 2014'!I8*'Gtos Transp 2014 (Otros)'!I8</f>
        <v>6678.7739643680807</v>
      </c>
      <c r="J39" s="442">
        <f>'Gtos Transp 2014'!J39/'Gtos Transp 2014'!J8*'Gtos Transp 2014 (Otros)'!J8</f>
        <v>6678.7739643680789</v>
      </c>
      <c r="K39" s="442">
        <f>'Gtos Transp 2014'!K39/'Gtos Transp 2014'!K8*'Gtos Transp 2014 (Otros)'!K8</f>
        <v>6678.7739643680789</v>
      </c>
      <c r="L39" s="442">
        <f>'Gtos Transp 2014'!L39/'Gtos Transp 2014'!L8*'Gtos Transp 2014 (Otros)'!L8</f>
        <v>6678.7739643680807</v>
      </c>
      <c r="M39" s="442">
        <f>'Gtos Transp 2014'!M39/'Gtos Transp 2014'!M8*'Gtos Transp 2014 (Otros)'!M8</f>
        <v>6678.7739643680807</v>
      </c>
      <c r="N39" s="442">
        <f>'Gtos Transp 2014'!N39/'Gtos Transp 2014'!N8*'Gtos Transp 2014 (Otros)'!N8</f>
        <v>6678.7739643680807</v>
      </c>
      <c r="O39" s="442">
        <f>'Gtos Transp 2014'!O39/'Gtos Transp 2014'!O8*'Gtos Transp 2014 (Otros)'!O8</f>
        <v>6678.7739643680807</v>
      </c>
      <c r="P39" s="468">
        <f t="shared" si="20"/>
        <v>79635.2417392239</v>
      </c>
      <c r="R39" s="111" t="s">
        <v>762</v>
      </c>
      <c r="S39" s="277" t="str">
        <f t="shared" si="5"/>
        <v>0501160200</v>
      </c>
      <c r="T39" s="111" t="s">
        <v>785</v>
      </c>
      <c r="U39" s="585" t="s">
        <v>769</v>
      </c>
      <c r="V39" s="111">
        <v>2014</v>
      </c>
      <c r="W39" s="111" t="s">
        <v>770</v>
      </c>
      <c r="X39" s="111">
        <f t="shared" si="6"/>
        <v>79638</v>
      </c>
      <c r="Y39" s="111">
        <f t="shared" si="7"/>
        <v>6424</v>
      </c>
      <c r="Z39" s="111">
        <f t="shared" si="8"/>
        <v>6424</v>
      </c>
      <c r="AA39" s="111">
        <f t="shared" si="9"/>
        <v>6679</v>
      </c>
      <c r="AB39" s="111">
        <f t="shared" si="10"/>
        <v>6679</v>
      </c>
      <c r="AC39" s="111">
        <f t="shared" si="11"/>
        <v>6679</v>
      </c>
      <c r="AD39" s="111">
        <f t="shared" si="12"/>
        <v>6679</v>
      </c>
      <c r="AE39" s="111">
        <f t="shared" si="13"/>
        <v>6679</v>
      </c>
      <c r="AF39" s="111">
        <f t="shared" si="14"/>
        <v>6679</v>
      </c>
      <c r="AG39" s="111">
        <f t="shared" si="15"/>
        <v>6679</v>
      </c>
      <c r="AH39" s="111">
        <f t="shared" si="16"/>
        <v>6679</v>
      </c>
      <c r="AI39" s="111">
        <f t="shared" si="17"/>
        <v>6679</v>
      </c>
      <c r="AJ39" s="111">
        <f t="shared" si="18"/>
        <v>6679</v>
      </c>
      <c r="AK39" s="111" t="s">
        <v>767</v>
      </c>
    </row>
    <row r="40" spans="1:37" ht="15" x14ac:dyDescent="0.25">
      <c r="A40" s="264"/>
      <c r="B40" s="286" t="s">
        <v>279</v>
      </c>
      <c r="C40" s="276" t="str">
        <f>VLOOKUP(B40,'Cat. cuentas'!$A$1:$B$195,2,FALSE)</f>
        <v>LLANTAS RENOVADAS</v>
      </c>
      <c r="D40" s="442">
        <f>'Gtos Transp 2014'!D40/'Gtos Transp 2014'!D8*'Gtos Transp 2014 (Otros)'!D8</f>
        <v>9310.1252201489497</v>
      </c>
      <c r="E40" s="442">
        <f>E$8*'Costo op 2013'!$Q$46</f>
        <v>9310.1252201489497</v>
      </c>
      <c r="F40" s="442">
        <f>(F$8*'Costo op 2013'!$Q$46)*$D$2</f>
        <v>9679.7371913888637</v>
      </c>
      <c r="G40" s="442">
        <f>(G$8*'Costo op 2013'!$Q$46)*$D$2</f>
        <v>9679.7371913888637</v>
      </c>
      <c r="H40" s="442">
        <f>(H$8*'Costo op 2013'!$Q$46)*$D$2</f>
        <v>9679.7371913888637</v>
      </c>
      <c r="I40" s="442">
        <f>(I$8*'Costo op 2013'!$Q$46)*$D$2</f>
        <v>9679.7371913888637</v>
      </c>
      <c r="J40" s="442">
        <f>(J$8*'Costo op 2013'!$Q$46)*$D$2</f>
        <v>9679.7371913888637</v>
      </c>
      <c r="K40" s="442">
        <f>(K$8*'Costo op 2013'!$Q$46)*$D$2</f>
        <v>9679.7371913888637</v>
      </c>
      <c r="L40" s="442">
        <f>(L$8*'Costo op 2013'!$Q$46)*$D$2</f>
        <v>9679.7371913888637</v>
      </c>
      <c r="M40" s="442">
        <f>(M$8*'Costo op 2013'!$Q$46)*$D$2</f>
        <v>9679.7371913888637</v>
      </c>
      <c r="N40" s="442">
        <f>(N$8*'Costo op 2013'!$Q$46)*$D$2</f>
        <v>9679.7371913888637</v>
      </c>
      <c r="O40" s="442">
        <f>(O$8*'Costo op 2013'!$Q$46)*$D$2</f>
        <v>9679.7371913888637</v>
      </c>
      <c r="P40" s="468">
        <f t="shared" si="20"/>
        <v>115417.62235418653</v>
      </c>
      <c r="R40" s="111" t="s">
        <v>762</v>
      </c>
      <c r="S40" s="277" t="str">
        <f t="shared" si="5"/>
        <v>0501160100</v>
      </c>
      <c r="T40" s="111" t="s">
        <v>785</v>
      </c>
      <c r="U40" s="585" t="s">
        <v>769</v>
      </c>
      <c r="V40" s="111">
        <v>2014</v>
      </c>
      <c r="W40" s="111" t="s">
        <v>770</v>
      </c>
      <c r="X40" s="111">
        <f t="shared" si="6"/>
        <v>115420</v>
      </c>
      <c r="Y40" s="111">
        <f t="shared" si="7"/>
        <v>9310</v>
      </c>
      <c r="Z40" s="111">
        <f t="shared" si="8"/>
        <v>9310</v>
      </c>
      <c r="AA40" s="111">
        <f t="shared" si="9"/>
        <v>9680</v>
      </c>
      <c r="AB40" s="111">
        <f t="shared" si="10"/>
        <v>9680</v>
      </c>
      <c r="AC40" s="111">
        <f t="shared" si="11"/>
        <v>9680</v>
      </c>
      <c r="AD40" s="111">
        <f t="shared" si="12"/>
        <v>9680</v>
      </c>
      <c r="AE40" s="111">
        <f t="shared" si="13"/>
        <v>9680</v>
      </c>
      <c r="AF40" s="111">
        <f t="shared" si="14"/>
        <v>9680</v>
      </c>
      <c r="AG40" s="111">
        <f t="shared" si="15"/>
        <v>9680</v>
      </c>
      <c r="AH40" s="111">
        <f t="shared" si="16"/>
        <v>9680</v>
      </c>
      <c r="AI40" s="111">
        <f t="shared" si="17"/>
        <v>9680</v>
      </c>
      <c r="AJ40" s="111">
        <f t="shared" si="18"/>
        <v>9680</v>
      </c>
      <c r="AK40" s="111" t="s">
        <v>767</v>
      </c>
    </row>
    <row r="41" spans="1:37" ht="15" x14ac:dyDescent="0.25">
      <c r="A41" s="267" t="s">
        <v>280</v>
      </c>
      <c r="B41" s="287" t="s">
        <v>281</v>
      </c>
      <c r="C41" s="269" t="str">
        <f>VLOOKUP(B41,'Cat. cuentas'!$A$1:$B$195,2,FALSE)</f>
        <v>CASETAS SUJETAS ESTIMULO</v>
      </c>
      <c r="D41" s="442">
        <f>'Gtos Transp 2014'!D41/'Gtos Transp 2014'!D8*'Gtos Transp 2014 (Otros)'!D8</f>
        <v>140011.84807526582</v>
      </c>
      <c r="E41" s="442">
        <f>'Gtos Transp 2014'!E41/'Gtos Transp 2014'!E8*'Gtos Transp 2014 (Otros)'!E8</f>
        <v>140477.00371671189</v>
      </c>
      <c r="F41" s="442">
        <f>'Gtos Transp 2014'!F41/'Gtos Transp 2014'!F8*'Gtos Transp 2014 (Otros)'!F8</f>
        <v>140942.15935815792</v>
      </c>
      <c r="G41" s="442">
        <f>'Gtos Transp 2014'!G41/'Gtos Transp 2014'!G8*'Gtos Transp 2014 (Otros)'!G8</f>
        <v>141407.31499960402</v>
      </c>
      <c r="H41" s="442">
        <f>'Gtos Transp 2014'!H41/'Gtos Transp 2014'!H8*'Gtos Transp 2014 (Otros)'!H8</f>
        <v>141872.47064105005</v>
      </c>
      <c r="I41" s="442">
        <f>'Gtos Transp 2014'!I41/'Gtos Transp 2014'!I8*'Gtos Transp 2014 (Otros)'!I8</f>
        <v>142337.62628249614</v>
      </c>
      <c r="J41" s="442">
        <f>'Gtos Transp 2014'!J41/'Gtos Transp 2014'!J8*'Gtos Transp 2014 (Otros)'!J8</f>
        <v>142802.78192394221</v>
      </c>
      <c r="K41" s="442">
        <f>'Gtos Transp 2014'!K41/'Gtos Transp 2014'!K8*'Gtos Transp 2014 (Otros)'!K8</f>
        <v>143267.93756538827</v>
      </c>
      <c r="L41" s="442">
        <f>'Gtos Transp 2014'!L41/'Gtos Transp 2014'!L8*'Gtos Transp 2014 (Otros)'!L8</f>
        <v>143733.09320683437</v>
      </c>
      <c r="M41" s="442">
        <f>'Gtos Transp 2014'!M41/'Gtos Transp 2014'!M8*'Gtos Transp 2014 (Otros)'!M8</f>
        <v>144198.24884828043</v>
      </c>
      <c r="N41" s="442">
        <f>'Gtos Transp 2014'!N41/'Gtos Transp 2014'!N8*'Gtos Transp 2014 (Otros)'!N8</f>
        <v>144663.40448972647</v>
      </c>
      <c r="O41" s="442">
        <f>'Gtos Transp 2014'!O41/'Gtos Transp 2014'!O8*'Gtos Transp 2014 (Otros)'!O8</f>
        <v>145128.56013117253</v>
      </c>
      <c r="P41" s="468">
        <f t="shared" si="20"/>
        <v>1710842.44923863</v>
      </c>
      <c r="R41" s="111" t="s">
        <v>762</v>
      </c>
      <c r="S41" s="277" t="str">
        <f t="shared" si="5"/>
        <v>0501160401</v>
      </c>
      <c r="T41" s="111" t="s">
        <v>785</v>
      </c>
      <c r="U41" s="585" t="s">
        <v>769</v>
      </c>
      <c r="V41" s="111">
        <v>2014</v>
      </c>
      <c r="W41" s="111" t="s">
        <v>770</v>
      </c>
      <c r="X41" s="111">
        <f t="shared" si="6"/>
        <v>1710842</v>
      </c>
      <c r="Y41" s="111">
        <f t="shared" si="7"/>
        <v>140012</v>
      </c>
      <c r="Z41" s="111">
        <f t="shared" si="8"/>
        <v>140477</v>
      </c>
      <c r="AA41" s="111">
        <f t="shared" si="9"/>
        <v>140942</v>
      </c>
      <c r="AB41" s="111">
        <f t="shared" si="10"/>
        <v>141407</v>
      </c>
      <c r="AC41" s="111">
        <f t="shared" si="11"/>
        <v>141872</v>
      </c>
      <c r="AD41" s="111">
        <f t="shared" si="12"/>
        <v>142338</v>
      </c>
      <c r="AE41" s="111">
        <f t="shared" si="13"/>
        <v>142803</v>
      </c>
      <c r="AF41" s="111">
        <f t="shared" si="14"/>
        <v>143268</v>
      </c>
      <c r="AG41" s="111">
        <f t="shared" si="15"/>
        <v>143733</v>
      </c>
      <c r="AH41" s="111">
        <f t="shared" si="16"/>
        <v>144198</v>
      </c>
      <c r="AI41" s="111">
        <f t="shared" si="17"/>
        <v>144663</v>
      </c>
      <c r="AJ41" s="111">
        <f t="shared" si="18"/>
        <v>145129</v>
      </c>
      <c r="AK41" s="111" t="s">
        <v>767</v>
      </c>
    </row>
    <row r="42" spans="1:37" ht="15" x14ac:dyDescent="0.25">
      <c r="A42" s="267"/>
      <c r="B42" s="287" t="s">
        <v>282</v>
      </c>
      <c r="C42" s="269" t="str">
        <f>VLOOKUP(B42,'Cat. cuentas'!$A$1:$B$195,2,FALSE)</f>
        <v>CASETAS NO SUJETAS ESTIMULO</v>
      </c>
      <c r="D42" s="442">
        <f>'Gtos Transp 2014'!D42/'Gtos Transp 2014'!D8*'Gtos Transp 2014 (Otros)'!D8</f>
        <v>15109.156934700031</v>
      </c>
      <c r="E42" s="442">
        <f>'Gtos Transp 2014'!E42/'Gtos Transp 2014'!E8*'Gtos Transp 2014 (Otros)'!E8</f>
        <v>15159.353469366804</v>
      </c>
      <c r="F42" s="442">
        <f>'Gtos Transp 2014'!F42/'Gtos Transp 2014'!F8*'Gtos Transp 2014 (Otros)'!F8</f>
        <v>15209.550004033585</v>
      </c>
      <c r="G42" s="442">
        <f>'Gtos Transp 2014'!G42/'Gtos Transp 2014'!G8*'Gtos Transp 2014 (Otros)'!G8</f>
        <v>15259.746538700361</v>
      </c>
      <c r="H42" s="442">
        <f>'Gtos Transp 2014'!H42/'Gtos Transp 2014'!H8*'Gtos Transp 2014 (Otros)'!H8</f>
        <v>15309.94307336714</v>
      </c>
      <c r="I42" s="442">
        <f>'Gtos Transp 2014'!I42/'Gtos Transp 2014'!I8*'Gtos Transp 2014 (Otros)'!I8</f>
        <v>15360.139608033915</v>
      </c>
      <c r="J42" s="442">
        <f>'Gtos Transp 2014'!J42/'Gtos Transp 2014'!J8*'Gtos Transp 2014 (Otros)'!J8</f>
        <v>15410.336142700695</v>
      </c>
      <c r="K42" s="442">
        <f>'Gtos Transp 2014'!K42/'Gtos Transp 2014'!K8*'Gtos Transp 2014 (Otros)'!K8</f>
        <v>15460.53267736747</v>
      </c>
      <c r="L42" s="442">
        <f>'Gtos Transp 2014'!L42/'Gtos Transp 2014'!L8*'Gtos Transp 2014 (Otros)'!L8</f>
        <v>15510.729212034248</v>
      </c>
      <c r="M42" s="442">
        <f>'Gtos Transp 2014'!M42/'Gtos Transp 2014'!M8*'Gtos Transp 2014 (Otros)'!M8</f>
        <v>15560.925746701027</v>
      </c>
      <c r="N42" s="442">
        <f>'Gtos Transp 2014'!N42/'Gtos Transp 2014'!N8*'Gtos Transp 2014 (Otros)'!N8</f>
        <v>15611.122281367801</v>
      </c>
      <c r="O42" s="442">
        <f>'Gtos Transp 2014'!O42/'Gtos Transp 2014'!O8*'Gtos Transp 2014 (Otros)'!O8</f>
        <v>15661.318816034578</v>
      </c>
      <c r="P42" s="468">
        <f t="shared" si="20"/>
        <v>184622.85450440767</v>
      </c>
      <c r="R42" s="111" t="s">
        <v>762</v>
      </c>
      <c r="S42" s="277" t="str">
        <f t="shared" si="5"/>
        <v>0501160402</v>
      </c>
      <c r="T42" s="111" t="s">
        <v>785</v>
      </c>
      <c r="U42" s="585" t="s">
        <v>769</v>
      </c>
      <c r="V42" s="111">
        <v>2014</v>
      </c>
      <c r="W42" s="111" t="s">
        <v>770</v>
      </c>
      <c r="X42" s="111">
        <f t="shared" si="6"/>
        <v>184623</v>
      </c>
      <c r="Y42" s="111">
        <f t="shared" si="7"/>
        <v>15109</v>
      </c>
      <c r="Z42" s="111">
        <f t="shared" si="8"/>
        <v>15159</v>
      </c>
      <c r="AA42" s="111">
        <f t="shared" si="9"/>
        <v>15210</v>
      </c>
      <c r="AB42" s="111">
        <f t="shared" si="10"/>
        <v>15260</v>
      </c>
      <c r="AC42" s="111">
        <f t="shared" si="11"/>
        <v>15310</v>
      </c>
      <c r="AD42" s="111">
        <f t="shared" si="12"/>
        <v>15360</v>
      </c>
      <c r="AE42" s="111">
        <f t="shared" si="13"/>
        <v>15410</v>
      </c>
      <c r="AF42" s="111">
        <f t="shared" si="14"/>
        <v>15461</v>
      </c>
      <c r="AG42" s="111">
        <f t="shared" si="15"/>
        <v>15511</v>
      </c>
      <c r="AH42" s="111">
        <f t="shared" si="16"/>
        <v>15561</v>
      </c>
      <c r="AI42" s="111">
        <f t="shared" si="17"/>
        <v>15611</v>
      </c>
      <c r="AJ42" s="111">
        <f t="shared" si="18"/>
        <v>15661</v>
      </c>
      <c r="AK42" s="111" t="s">
        <v>767</v>
      </c>
    </row>
    <row r="43" spans="1:37" ht="15" x14ac:dyDescent="0.25">
      <c r="A43" s="264" t="s">
        <v>283</v>
      </c>
      <c r="B43" s="285" t="s">
        <v>284</v>
      </c>
      <c r="C43" s="276" t="str">
        <f>VLOOKUP(B43,'Cat. cuentas'!$A$1:$B$195,2,FALSE)</f>
        <v>GASTOS NO DEDUCIBLES</v>
      </c>
      <c r="D43" s="442">
        <f>'Gtos Transp 2014'!D43/'Gtos Transp 2014'!D8*'Gtos Transp 2014 (Otros)'!D8</f>
        <v>1482.5050924549948</v>
      </c>
      <c r="E43" s="442">
        <f>'Gtos Transp 2014'!E43/'Gtos Transp 2014'!E8*'Gtos Transp 2014 (Otros)'!E8</f>
        <v>1487.430358542885</v>
      </c>
      <c r="F43" s="442">
        <f>'Gtos Transp 2014'!F43/'Gtos Transp 2014'!F8*'Gtos Transp 2014 (Otros)'!F8</f>
        <v>1492.3556246307753</v>
      </c>
      <c r="G43" s="442">
        <f>'Gtos Transp 2014'!G43/'Gtos Transp 2014'!G8*'Gtos Transp 2014 (Otros)'!G8</f>
        <v>1497.2808907186661</v>
      </c>
      <c r="H43" s="442">
        <f>'Gtos Transp 2014'!H43/'Gtos Transp 2014'!H8*'Gtos Transp 2014 (Otros)'!H8</f>
        <v>1502.2061568065562</v>
      </c>
      <c r="I43" s="442">
        <f>'Gtos Transp 2014'!I43/'Gtos Transp 2014'!I8*'Gtos Transp 2014 (Otros)'!I8</f>
        <v>1507.1314228944466</v>
      </c>
      <c r="J43" s="442">
        <f>'Gtos Transp 2014'!J43/'Gtos Transp 2014'!J8*'Gtos Transp 2014 (Otros)'!J8</f>
        <v>1512.0566889823372</v>
      </c>
      <c r="K43" s="442">
        <f>'Gtos Transp 2014'!K43/'Gtos Transp 2014'!K8*'Gtos Transp 2014 (Otros)'!K8</f>
        <v>1516.9819550702273</v>
      </c>
      <c r="L43" s="442">
        <f>'Gtos Transp 2014'!L43/'Gtos Transp 2014'!L8*'Gtos Transp 2014 (Otros)'!L8</f>
        <v>1521.9072211581176</v>
      </c>
      <c r="M43" s="442">
        <f>'Gtos Transp 2014'!M43/'Gtos Transp 2014'!M8*'Gtos Transp 2014 (Otros)'!M8</f>
        <v>1526.832487246008</v>
      </c>
      <c r="N43" s="442">
        <f>'Gtos Transp 2014'!N43/'Gtos Transp 2014'!N8*'Gtos Transp 2014 (Otros)'!N8</f>
        <v>1531.7577533338983</v>
      </c>
      <c r="O43" s="442">
        <f>'Gtos Transp 2014'!O43/'Gtos Transp 2014'!O8*'Gtos Transp 2014 (Otros)'!O8</f>
        <v>1536.6830194217887</v>
      </c>
      <c r="P43" s="468">
        <f t="shared" si="20"/>
        <v>18115.1286712607</v>
      </c>
      <c r="R43" s="111" t="s">
        <v>762</v>
      </c>
      <c r="S43" s="277" t="str">
        <f t="shared" si="5"/>
        <v>0501171000</v>
      </c>
      <c r="T43" s="111" t="s">
        <v>785</v>
      </c>
      <c r="U43" s="585" t="s">
        <v>769</v>
      </c>
      <c r="V43" s="111">
        <v>2014</v>
      </c>
      <c r="W43" s="111" t="s">
        <v>770</v>
      </c>
      <c r="X43" s="111">
        <f t="shared" si="6"/>
        <v>18115</v>
      </c>
      <c r="Y43" s="111">
        <f t="shared" si="7"/>
        <v>1483</v>
      </c>
      <c r="Z43" s="111">
        <f t="shared" si="8"/>
        <v>1487</v>
      </c>
      <c r="AA43" s="111">
        <f t="shared" si="9"/>
        <v>1492</v>
      </c>
      <c r="AB43" s="111">
        <f t="shared" si="10"/>
        <v>1497</v>
      </c>
      <c r="AC43" s="111">
        <f t="shared" si="11"/>
        <v>1502</v>
      </c>
      <c r="AD43" s="111">
        <f t="shared" si="12"/>
        <v>1507</v>
      </c>
      <c r="AE43" s="111">
        <f t="shared" si="13"/>
        <v>1512</v>
      </c>
      <c r="AF43" s="111">
        <f t="shared" si="14"/>
        <v>1517</v>
      </c>
      <c r="AG43" s="111">
        <f t="shared" si="15"/>
        <v>1522</v>
      </c>
      <c r="AH43" s="111">
        <f t="shared" si="16"/>
        <v>1527</v>
      </c>
      <c r="AI43" s="111">
        <f t="shared" si="17"/>
        <v>1532</v>
      </c>
      <c r="AJ43" s="111">
        <f t="shared" si="18"/>
        <v>1537</v>
      </c>
      <c r="AK43" s="111" t="s">
        <v>767</v>
      </c>
    </row>
    <row r="44" spans="1:37" ht="15" x14ac:dyDescent="0.25">
      <c r="A44" s="267" t="s">
        <v>285</v>
      </c>
      <c r="B44" s="287" t="s">
        <v>286</v>
      </c>
      <c r="C44" s="269" t="str">
        <f>VLOOKUP(B44,'Cat. cuentas'!$A$1:$B$195,2,FALSE)</f>
        <v>INSPECCIONES FISICO MECANICAS</v>
      </c>
      <c r="D44" s="442">
        <f>'Gtos Transp 2014'!D44/'Gtos Transp 2014'!D8*'Gtos Transp 2014 (Otros)'!D8</f>
        <v>1927.8697742633599</v>
      </c>
      <c r="E44" s="442">
        <f>'Gtos Transp 2014'!E44/'Gtos Transp 2014'!E8*'Gtos Transp 2014 (Otros)'!E8</f>
        <v>1974.477475587734</v>
      </c>
      <c r="F44" s="442">
        <f>'Gtos Transp 2014'!F44/'Gtos Transp 2014'!F8*'Gtos Transp 2014 (Otros)'!F8</f>
        <v>1909.6458710463978</v>
      </c>
      <c r="G44" s="442">
        <f>'Gtos Transp 2014'!G44/'Gtos Transp 2014'!G8*'Gtos Transp 2014 (Otros)'!G8</f>
        <v>1809.2311766240698</v>
      </c>
      <c r="H44" s="442">
        <f>'Gtos Transp 2014'!H44/'Gtos Transp 2014'!H8*'Gtos Transp 2014 (Otros)'!H8</f>
        <v>1875.943292866649</v>
      </c>
      <c r="I44" s="442">
        <f>'Gtos Transp 2014'!I44/'Gtos Transp 2014'!I8*'Gtos Transp 2014 (Otros)'!I8</f>
        <v>1866.8671550985989</v>
      </c>
      <c r="J44" s="442">
        <f>'Gtos Transp 2014'!J44/'Gtos Transp 2014'!J8*'Gtos Transp 2014 (Otros)'!J8</f>
        <v>1729.4637535608256</v>
      </c>
      <c r="K44" s="442">
        <f>'Gtos Transp 2014'!K44/'Gtos Transp 2014'!K8*'Gtos Transp 2014 (Otros)'!K8</f>
        <v>1765.9375736726013</v>
      </c>
      <c r="L44" s="442">
        <f>'Gtos Transp 2014'!L44/'Gtos Transp 2014'!L8*'Gtos Transp 2014 (Otros)'!L8</f>
        <v>1995.445230909874</v>
      </c>
      <c r="M44" s="442">
        <f>'Gtos Transp 2014'!M44/'Gtos Transp 2014'!M8*'Gtos Transp 2014 (Otros)'!M8</f>
        <v>1545.2797977357552</v>
      </c>
      <c r="N44" s="442">
        <f>'Gtos Transp 2014'!N44/'Gtos Transp 2014'!N8*'Gtos Transp 2014 (Otros)'!N8</f>
        <v>1738.4397724527246</v>
      </c>
      <c r="O44" s="442">
        <f>'Gtos Transp 2014'!O44/'Gtos Transp 2014'!O8*'Gtos Transp 2014 (Otros)'!O8</f>
        <v>1738.4397724527246</v>
      </c>
      <c r="P44" s="468">
        <f t="shared" si="20"/>
        <v>21877.040646271314</v>
      </c>
      <c r="R44" s="111" t="s">
        <v>762</v>
      </c>
      <c r="S44" s="277" t="str">
        <f t="shared" si="5"/>
        <v>0501080900</v>
      </c>
      <c r="T44" s="111" t="s">
        <v>785</v>
      </c>
      <c r="U44" s="585" t="s">
        <v>769</v>
      </c>
      <c r="V44" s="111">
        <v>2014</v>
      </c>
      <c r="W44" s="111" t="s">
        <v>770</v>
      </c>
      <c r="X44" s="111">
        <f t="shared" si="6"/>
        <v>21875</v>
      </c>
      <c r="Y44" s="111">
        <f t="shared" si="7"/>
        <v>1928</v>
      </c>
      <c r="Z44" s="111">
        <f t="shared" si="8"/>
        <v>1974</v>
      </c>
      <c r="AA44" s="111">
        <f t="shared" si="9"/>
        <v>1910</v>
      </c>
      <c r="AB44" s="111">
        <f t="shared" si="10"/>
        <v>1809</v>
      </c>
      <c r="AC44" s="111">
        <f t="shared" si="11"/>
        <v>1876</v>
      </c>
      <c r="AD44" s="111">
        <f t="shared" si="12"/>
        <v>1867</v>
      </c>
      <c r="AE44" s="111">
        <f t="shared" si="13"/>
        <v>1729</v>
      </c>
      <c r="AF44" s="111">
        <f t="shared" si="14"/>
        <v>1766</v>
      </c>
      <c r="AG44" s="111">
        <f t="shared" si="15"/>
        <v>1995</v>
      </c>
      <c r="AH44" s="111">
        <f t="shared" si="16"/>
        <v>1545</v>
      </c>
      <c r="AI44" s="111">
        <f t="shared" si="17"/>
        <v>1738</v>
      </c>
      <c r="AJ44" s="111">
        <f t="shared" si="18"/>
        <v>1738</v>
      </c>
      <c r="AK44" s="111" t="s">
        <v>767</v>
      </c>
    </row>
    <row r="45" spans="1:37" ht="15" x14ac:dyDescent="0.25">
      <c r="A45" s="267"/>
      <c r="B45" s="287" t="s">
        <v>287</v>
      </c>
      <c r="C45" s="269" t="str">
        <f>VLOOKUP(B45,'Cat. cuentas'!$A$1:$B$195,2,FALSE)</f>
        <v>VERIFICACIONES</v>
      </c>
      <c r="D45" s="442">
        <f>'Gtos Transp 2014'!D45/'Gtos Transp 2014'!D8*'Gtos Transp 2014 (Otros)'!D8</f>
        <v>706.72412471138148</v>
      </c>
      <c r="E45" s="442">
        <f>'Gtos Transp 2014'!E45/'Gtos Transp 2014'!E8*'Gtos Transp 2014 (Otros)'!E8</f>
        <v>723.80971179978508</v>
      </c>
      <c r="F45" s="442">
        <f>'Gtos Transp 2014'!F45/'Gtos Transp 2014'!F8*'Gtos Transp 2014 (Otros)'!F8</f>
        <v>700.0435531179221</v>
      </c>
      <c r="G45" s="442">
        <f>'Gtos Transp 2014'!G45/'Gtos Transp 2014'!G8*'Gtos Transp 2014 (Otros)'!G8</f>
        <v>663.23324156516355</v>
      </c>
      <c r="H45" s="442">
        <f>'Gtos Transp 2014'!H45/'Gtos Transp 2014'!H8*'Gtos Transp 2014 (Otros)'!H8</f>
        <v>687.68876371120473</v>
      </c>
      <c r="I45" s="442">
        <f>'Gtos Transp 2014'!I45/'Gtos Transp 2014'!I8*'Gtos Transp 2014 (Otros)'!I8</f>
        <v>684.36160665655552</v>
      </c>
      <c r="J45" s="442">
        <f>'Gtos Transp 2014'!J45/'Gtos Transp 2014'!J8*'Gtos Transp 2014 (Otros)'!J8</f>
        <v>633.99186696744516</v>
      </c>
      <c r="K45" s="442">
        <f>'Gtos Transp 2014'!K45/'Gtos Transp 2014'!K8*'Gtos Transp 2014 (Otros)'!K8</f>
        <v>647.36254632426244</v>
      </c>
      <c r="L45" s="442">
        <f>'Gtos Transp 2014'!L45/'Gtos Transp 2014'!L8*'Gtos Transp 2014 (Otros)'!L8</f>
        <v>731.49613270073201</v>
      </c>
      <c r="M45" s="442">
        <f>'Gtos Transp 2014'!M45/'Gtos Transp 2014'!M8*'Gtos Transp 2014 (Otros)'!M8</f>
        <v>566.47317524663663</v>
      </c>
      <c r="N45" s="442">
        <f>'Gtos Transp 2014'!N45/'Gtos Transp 2014'!N8*'Gtos Transp 2014 (Otros)'!N8</f>
        <v>637.28232215246624</v>
      </c>
      <c r="O45" s="442">
        <f>'Gtos Transp 2014'!O45/'Gtos Transp 2014'!O8*'Gtos Transp 2014 (Otros)'!O8</f>
        <v>637.28232215246624</v>
      </c>
      <c r="P45" s="468">
        <f t="shared" si="20"/>
        <v>8019.7493671060211</v>
      </c>
      <c r="R45" s="111" t="s">
        <v>762</v>
      </c>
      <c r="S45" s="277" t="str">
        <f t="shared" si="5"/>
        <v>0501080800</v>
      </c>
      <c r="T45" s="111" t="s">
        <v>785</v>
      </c>
      <c r="U45" s="585" t="s">
        <v>769</v>
      </c>
      <c r="V45" s="111">
        <v>2014</v>
      </c>
      <c r="W45" s="111" t="s">
        <v>770</v>
      </c>
      <c r="X45" s="111">
        <f t="shared" si="6"/>
        <v>8018</v>
      </c>
      <c r="Y45" s="111">
        <f t="shared" si="7"/>
        <v>707</v>
      </c>
      <c r="Z45" s="111">
        <f t="shared" si="8"/>
        <v>724</v>
      </c>
      <c r="AA45" s="111">
        <f t="shared" si="9"/>
        <v>700</v>
      </c>
      <c r="AB45" s="111">
        <f t="shared" si="10"/>
        <v>663</v>
      </c>
      <c r="AC45" s="111">
        <f t="shared" si="11"/>
        <v>688</v>
      </c>
      <c r="AD45" s="111">
        <f t="shared" si="12"/>
        <v>684</v>
      </c>
      <c r="AE45" s="111">
        <f t="shared" si="13"/>
        <v>634</v>
      </c>
      <c r="AF45" s="111">
        <f t="shared" si="14"/>
        <v>647</v>
      </c>
      <c r="AG45" s="111">
        <f t="shared" si="15"/>
        <v>731</v>
      </c>
      <c r="AH45" s="111">
        <f t="shared" si="16"/>
        <v>566</v>
      </c>
      <c r="AI45" s="111">
        <f t="shared" si="17"/>
        <v>637</v>
      </c>
      <c r="AJ45" s="111">
        <f t="shared" si="18"/>
        <v>637</v>
      </c>
      <c r="AK45" s="111" t="s">
        <v>767</v>
      </c>
    </row>
    <row r="46" spans="1:37" ht="15" x14ac:dyDescent="0.25">
      <c r="A46" s="267"/>
      <c r="B46" s="287" t="s">
        <v>288</v>
      </c>
      <c r="C46" s="269" t="str">
        <f>VLOOKUP(B46,'Cat. cuentas'!$A$1:$B$195,2,FALSE)</f>
        <v>ENLONADAS</v>
      </c>
      <c r="D46" s="442">
        <f>'Gtos Transp 2014'!D46/'Gtos Transp 2014'!D8*'Gtos Transp 2014 (Otros)'!D8</f>
        <v>2654.9057118814626</v>
      </c>
      <c r="E46" s="442">
        <f>'Gtos Transp 2014'!E46/'Gtos Transp 2014'!E8*'Gtos Transp 2014 (Otros)'!E8</f>
        <v>2719.0900536433569</v>
      </c>
      <c r="F46" s="442">
        <f>'Gtos Transp 2014'!F46/'Gtos Transp 2014'!F8*'Gtos Transp 2014 (Otros)'!F8</f>
        <v>2629.8092321350673</v>
      </c>
      <c r="G46" s="442">
        <f>'Gtos Transp 2014'!G46/'Gtos Transp 2014'!G8*'Gtos Transp 2014 (Otros)'!G8</f>
        <v>2491.5262685565058</v>
      </c>
      <c r="H46" s="442">
        <f>'Gtos Transp 2014'!H46/'Gtos Transp 2014'!H8*'Gtos Transp 2014 (Otros)'!H8</f>
        <v>2583.3967780839453</v>
      </c>
      <c r="I46" s="442">
        <f>'Gtos Transp 2014'!I46/'Gtos Transp 2014'!I8*'Gtos Transp 2014 (Otros)'!I8</f>
        <v>2570.8978581237379</v>
      </c>
      <c r="J46" s="442">
        <f>'Gtos Transp 2014'!J46/'Gtos Transp 2014'!J8*'Gtos Transp 2014 (Otros)'!J8</f>
        <v>2381.6770505544282</v>
      </c>
      <c r="K46" s="442">
        <f>'Gtos Transp 2014'!K46/'Gtos Transp 2014'!K8*'Gtos Transp 2014 (Otros)'!K8</f>
        <v>2431.9058339720686</v>
      </c>
      <c r="L46" s="442">
        <f>'Gtos Transp 2014'!L46/'Gtos Transp 2014'!L8*'Gtos Transp 2014 (Otros)'!L8</f>
        <v>2747.9651437107623</v>
      </c>
      <c r="M46" s="442">
        <f>'Gtos Transp 2014'!M46/'Gtos Transp 2014'!M8*'Gtos Transp 2014 (Otros)'!M8</f>
        <v>2128.0338621581859</v>
      </c>
      <c r="N46" s="442">
        <f>'Gtos Transp 2014'!N46/'Gtos Transp 2014'!N8*'Gtos Transp 2014 (Otros)'!N8</f>
        <v>2394.0380949279588</v>
      </c>
      <c r="O46" s="442">
        <f>'Gtos Transp 2014'!O46/'Gtos Transp 2014'!O8*'Gtos Transp 2014 (Otros)'!O8</f>
        <v>2394.0380949279588</v>
      </c>
      <c r="P46" s="468">
        <f t="shared" si="20"/>
        <v>30127.283982675443</v>
      </c>
      <c r="R46" s="111" t="s">
        <v>762</v>
      </c>
      <c r="S46" s="277" t="str">
        <f t="shared" si="5"/>
        <v>0501161000</v>
      </c>
      <c r="T46" s="111" t="s">
        <v>785</v>
      </c>
      <c r="U46" s="585" t="s">
        <v>769</v>
      </c>
      <c r="V46" s="111">
        <v>2014</v>
      </c>
      <c r="W46" s="111" t="s">
        <v>770</v>
      </c>
      <c r="X46" s="111">
        <f t="shared" si="6"/>
        <v>30128</v>
      </c>
      <c r="Y46" s="111">
        <f t="shared" si="7"/>
        <v>2655</v>
      </c>
      <c r="Z46" s="111">
        <f t="shared" si="8"/>
        <v>2719</v>
      </c>
      <c r="AA46" s="111">
        <f t="shared" si="9"/>
        <v>2630</v>
      </c>
      <c r="AB46" s="111">
        <f t="shared" si="10"/>
        <v>2492</v>
      </c>
      <c r="AC46" s="111">
        <f t="shared" si="11"/>
        <v>2583</v>
      </c>
      <c r="AD46" s="111">
        <f t="shared" si="12"/>
        <v>2571</v>
      </c>
      <c r="AE46" s="111">
        <f t="shared" si="13"/>
        <v>2382</v>
      </c>
      <c r="AF46" s="111">
        <f t="shared" si="14"/>
        <v>2432</v>
      </c>
      <c r="AG46" s="111">
        <f t="shared" si="15"/>
        <v>2748</v>
      </c>
      <c r="AH46" s="111">
        <f t="shared" si="16"/>
        <v>2128</v>
      </c>
      <c r="AI46" s="111">
        <f t="shared" si="17"/>
        <v>2394</v>
      </c>
      <c r="AJ46" s="111">
        <f t="shared" si="18"/>
        <v>2394</v>
      </c>
      <c r="AK46" s="111" t="s">
        <v>767</v>
      </c>
    </row>
    <row r="47" spans="1:37" ht="15" x14ac:dyDescent="0.25">
      <c r="A47" s="264" t="s">
        <v>289</v>
      </c>
      <c r="B47" s="285" t="s">
        <v>291</v>
      </c>
      <c r="C47" s="288" t="str">
        <f>VLOOKUP(B47,'Cat. cuentas'!$A$1:$B$195,2,FALSE)</f>
        <v>FACILIDADES ADMINISTRATIVAS</v>
      </c>
      <c r="D47" s="442">
        <f>'Gtos Transp 2014'!D47/'Gtos Transp 2014'!D8*'Gtos Transp 2014 (Otros)'!D8</f>
        <v>2792.6467877935925</v>
      </c>
      <c r="E47" s="442">
        <f>'Gtos Transp 2014'!E47/'Gtos Transp 2014'!E8*'Gtos Transp 2014 (Otros)'!E8</f>
        <v>2869.6633200547903</v>
      </c>
      <c r="F47" s="442">
        <f>'Gtos Transp 2014'!F47/'Gtos Transp 2014'!F8*'Gtos Transp 2014 (Otros)'!F8</f>
        <v>2784.6286466075353</v>
      </c>
      <c r="G47" s="442">
        <f>'Gtos Transp 2014'!G47/'Gtos Transp 2014'!G8*'Gtos Transp 2014 (Otros)'!G8</f>
        <v>2646.9117777783099</v>
      </c>
      <c r="H47" s="442">
        <f>'Gtos Transp 2014'!H47/'Gtos Transp 2014'!H8*'Gtos Transp 2014 (Otros)'!H8</f>
        <v>2753.539845457753</v>
      </c>
      <c r="I47" s="442">
        <f>'Gtos Transp 2014'!I47/'Gtos Transp 2014'!I8*'Gtos Transp 2014 (Otros)'!I8</f>
        <v>2749.2020644129652</v>
      </c>
      <c r="J47" s="442">
        <f>'Gtos Transp 2014'!J47/'Gtos Transp 2014'!J8*'Gtos Transp 2014 (Otros)'!J8</f>
        <v>2555.1809432157856</v>
      </c>
      <c r="K47" s="442">
        <f>'Gtos Transp 2014'!K47/'Gtos Transp 2014'!K8*'Gtos Transp 2014 (Otros)'!K8</f>
        <v>2617.5674621570329</v>
      </c>
      <c r="L47" s="442">
        <f>'Gtos Transp 2014'!L47/'Gtos Transp 2014'!L8*'Gtos Transp 2014 (Otros)'!L8</f>
        <v>2967.3591350231536</v>
      </c>
      <c r="M47" s="442">
        <f>'Gtos Transp 2014'!M47/'Gtos Transp 2014'!M8*'Gtos Transp 2014 (Otros)'!M8</f>
        <v>2305.3700173380348</v>
      </c>
      <c r="N47" s="442">
        <f>'Gtos Transp 2014'!N47/'Gtos Transp 2014'!N8*'Gtos Transp 2014 (Otros)'!N8</f>
        <v>2601.9075316649833</v>
      </c>
      <c r="O47" s="442">
        <f>'Gtos Transp 2014'!O47/'Gtos Transp 2014'!O8*'Gtos Transp 2014 (Otros)'!O8</f>
        <v>2610.2737938246778</v>
      </c>
      <c r="P47" s="468">
        <f t="shared" si="20"/>
        <v>32254.251325328616</v>
      </c>
      <c r="R47" s="111" t="s">
        <v>762</v>
      </c>
      <c r="S47" s="277" t="str">
        <f t="shared" si="5"/>
        <v>0501170600</v>
      </c>
      <c r="T47" s="111" t="s">
        <v>785</v>
      </c>
      <c r="U47" s="585" t="s">
        <v>769</v>
      </c>
      <c r="V47" s="111">
        <v>2014</v>
      </c>
      <c r="W47" s="111" t="s">
        <v>770</v>
      </c>
      <c r="X47" s="111">
        <f t="shared" si="6"/>
        <v>32255</v>
      </c>
      <c r="Y47" s="111">
        <f t="shared" si="7"/>
        <v>2793</v>
      </c>
      <c r="Z47" s="111">
        <f t="shared" si="8"/>
        <v>2870</v>
      </c>
      <c r="AA47" s="111">
        <f t="shared" si="9"/>
        <v>2785</v>
      </c>
      <c r="AB47" s="111">
        <f t="shared" si="10"/>
        <v>2647</v>
      </c>
      <c r="AC47" s="111">
        <f t="shared" si="11"/>
        <v>2754</v>
      </c>
      <c r="AD47" s="111">
        <f t="shared" si="12"/>
        <v>2749</v>
      </c>
      <c r="AE47" s="111">
        <f t="shared" si="13"/>
        <v>2555</v>
      </c>
      <c r="AF47" s="111">
        <f t="shared" si="14"/>
        <v>2618</v>
      </c>
      <c r="AG47" s="111">
        <f t="shared" si="15"/>
        <v>2967</v>
      </c>
      <c r="AH47" s="111">
        <f t="shared" si="16"/>
        <v>2305</v>
      </c>
      <c r="AI47" s="111">
        <f t="shared" si="17"/>
        <v>2602</v>
      </c>
      <c r="AJ47" s="111">
        <f t="shared" si="18"/>
        <v>2610</v>
      </c>
      <c r="AK47" s="111" t="s">
        <v>767</v>
      </c>
    </row>
    <row r="48" spans="1:37" ht="15" x14ac:dyDescent="0.25">
      <c r="A48" s="289" t="s">
        <v>292</v>
      </c>
      <c r="B48" s="290"/>
      <c r="C48" s="291"/>
      <c r="D48" s="444">
        <f t="shared" ref="D48:P48" si="21">SUM(D37:D47)</f>
        <v>638657.98169912549</v>
      </c>
      <c r="E48" s="445">
        <f t="shared" si="21"/>
        <v>646941.9548510618</v>
      </c>
      <c r="F48" s="445">
        <f t="shared" si="21"/>
        <v>656228.31050191366</v>
      </c>
      <c r="G48" s="445">
        <f t="shared" si="21"/>
        <v>657155.67948075989</v>
      </c>
      <c r="H48" s="445">
        <f t="shared" si="21"/>
        <v>669831.37643251859</v>
      </c>
      <c r="I48" s="445">
        <f t="shared" si="21"/>
        <v>670945.08931072988</v>
      </c>
      <c r="J48" s="445">
        <f t="shared" si="21"/>
        <v>668871.62062369823</v>
      </c>
      <c r="K48" s="445">
        <f t="shared" si="21"/>
        <v>671597.1745675382</v>
      </c>
      <c r="L48" s="445">
        <f t="shared" si="21"/>
        <v>682670.2667954599</v>
      </c>
      <c r="M48" s="445">
        <f t="shared" si="21"/>
        <v>672758.61426357075</v>
      </c>
      <c r="N48" s="445">
        <f t="shared" si="21"/>
        <v>681420.80956520117</v>
      </c>
      <c r="O48" s="445">
        <f t="shared" si="21"/>
        <v>685025.33199268684</v>
      </c>
      <c r="P48" s="446">
        <f t="shared" si="21"/>
        <v>8002104.2100842632</v>
      </c>
    </row>
    <row r="49" spans="1:16" ht="15.75" thickBot="1" x14ac:dyDescent="0.3">
      <c r="A49" s="293" t="s">
        <v>293</v>
      </c>
      <c r="B49" s="294"/>
      <c r="C49" s="295"/>
      <c r="D49" s="447">
        <f t="shared" ref="D49:P49" si="22">D34+D48</f>
        <v>693647.1069528393</v>
      </c>
      <c r="E49" s="447">
        <f t="shared" si="22"/>
        <v>701931.08010477561</v>
      </c>
      <c r="F49" s="447">
        <f t="shared" si="22"/>
        <v>711217.43575562746</v>
      </c>
      <c r="G49" s="447">
        <f t="shared" si="22"/>
        <v>712144.8047344737</v>
      </c>
      <c r="H49" s="447">
        <f t="shared" si="22"/>
        <v>724820.5016862324</v>
      </c>
      <c r="I49" s="447">
        <f t="shared" si="22"/>
        <v>725934.21456444368</v>
      </c>
      <c r="J49" s="447">
        <f t="shared" si="22"/>
        <v>723860.74587741203</v>
      </c>
      <c r="K49" s="447">
        <f t="shared" si="22"/>
        <v>726586.299821252</v>
      </c>
      <c r="L49" s="447">
        <f t="shared" si="22"/>
        <v>737659.39204917371</v>
      </c>
      <c r="M49" s="447">
        <f t="shared" si="22"/>
        <v>727747.73951728456</v>
      </c>
      <c r="N49" s="447">
        <f t="shared" si="22"/>
        <v>736409.93481891498</v>
      </c>
      <c r="O49" s="447">
        <f t="shared" si="22"/>
        <v>740014.45724640065</v>
      </c>
      <c r="P49" s="448">
        <f t="shared" si="22"/>
        <v>8661973.7131288294</v>
      </c>
    </row>
    <row r="53" spans="1:16" x14ac:dyDescent="0.2">
      <c r="D53" s="464"/>
      <c r="P53" s="487"/>
    </row>
    <row r="55" spans="1:16" x14ac:dyDescent="0.2">
      <c r="D55" s="464"/>
      <c r="E55" s="464"/>
      <c r="F55" s="464"/>
      <c r="G55" s="464"/>
      <c r="H55" s="464"/>
      <c r="I55" s="464"/>
      <c r="J55" s="464"/>
      <c r="K55" s="464"/>
      <c r="L55" s="464"/>
      <c r="M55" s="464"/>
      <c r="N55" s="464"/>
      <c r="O55" s="464"/>
    </row>
  </sheetData>
  <pageMargins left="0.7" right="0.7" top="0.75" bottom="0.75" header="0.3" footer="0.3"/>
  <pageSetup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67"/>
  <sheetViews>
    <sheetView workbookViewId="0">
      <pane xSplit="3" ySplit="10" topLeftCell="N29" activePane="bottomRight" state="frozen"/>
      <selection activeCell="F11" sqref="F11:Q16"/>
      <selection pane="topRight" activeCell="F11" sqref="F11:Q16"/>
      <selection pane="bottomLeft" activeCell="F11" sqref="F11:Q16"/>
      <selection pane="bottomRight" activeCell="B1" sqref="B1:B1048576"/>
    </sheetView>
  </sheetViews>
  <sheetFormatPr baseColWidth="10" defaultRowHeight="12.75" x14ac:dyDescent="0.2"/>
  <cols>
    <col min="1" max="1" width="48.28515625" customWidth="1"/>
    <col min="3" max="3" width="33" customWidth="1"/>
    <col min="4" max="15" width="11.5703125" bestFit="1" customWidth="1"/>
    <col min="16" max="16" width="12.85546875" bestFit="1" customWidth="1"/>
    <col min="17" max="17" width="13.85546875" bestFit="1" customWidth="1"/>
  </cols>
  <sheetData>
    <row r="1" spans="1:37" ht="23.25" x14ac:dyDescent="0.35">
      <c r="A1" s="84" t="s">
        <v>49</v>
      </c>
      <c r="B1" s="233"/>
    </row>
    <row r="2" spans="1:37" ht="15.75" x14ac:dyDescent="0.25">
      <c r="A2" s="234" t="s">
        <v>217</v>
      </c>
      <c r="B2" s="233"/>
      <c r="C2" s="436" t="s">
        <v>692</v>
      </c>
      <c r="D2" s="579">
        <f>'Gtos Transp 2014'!D1</f>
        <v>1.0033333333333334</v>
      </c>
      <c r="E2" s="579">
        <f>'Gtos Transp 2014'!E1</f>
        <v>1.0066666666666666</v>
      </c>
      <c r="F2" s="579">
        <f>'Gtos Transp 2014'!F1</f>
        <v>1.01</v>
      </c>
      <c r="G2" s="579">
        <f>'Gtos Transp 2014'!G1</f>
        <v>1.0133333333333334</v>
      </c>
      <c r="H2" s="579">
        <f>'Gtos Transp 2014'!H1</f>
        <v>1.0166666666666666</v>
      </c>
      <c r="I2" s="579">
        <f>'Gtos Transp 2014'!I1</f>
        <v>1.02</v>
      </c>
      <c r="J2" s="579">
        <f>'Gtos Transp 2014'!J1</f>
        <v>1.0233333333333334</v>
      </c>
      <c r="K2" s="579">
        <f>'Gtos Transp 2014'!K1</f>
        <v>1.0266666666666666</v>
      </c>
      <c r="L2" s="579">
        <f>'Gtos Transp 2014'!L1</f>
        <v>1.03</v>
      </c>
      <c r="M2" s="579">
        <f>'Gtos Transp 2014'!M1</f>
        <v>1.0333333333333334</v>
      </c>
      <c r="N2" s="579">
        <f>'Gtos Transp 2014'!N1</f>
        <v>1.0366666666666666</v>
      </c>
      <c r="O2" s="579">
        <f>'Gtos Transp 2014'!O1</f>
        <v>1.04</v>
      </c>
    </row>
    <row r="3" spans="1:37" x14ac:dyDescent="0.2">
      <c r="A3" s="235" t="s">
        <v>218</v>
      </c>
      <c r="B3" s="233"/>
      <c r="C3" s="436" t="s">
        <v>693</v>
      </c>
      <c r="D3" s="437">
        <v>1.0357000000000001</v>
      </c>
    </row>
    <row r="4" spans="1:37" x14ac:dyDescent="0.2">
      <c r="A4" s="235" t="s">
        <v>219</v>
      </c>
      <c r="B4" s="233" t="str">
        <f>caratula!B26</f>
        <v>PRESUPUESTO  2014</v>
      </c>
      <c r="C4" s="13" t="s">
        <v>694</v>
      </c>
      <c r="D4" s="233">
        <v>45</v>
      </c>
    </row>
    <row r="5" spans="1:37" ht="13.5" thickBot="1" x14ac:dyDescent="0.25"/>
    <row r="6" spans="1:37" ht="26.25" thickTop="1" x14ac:dyDescent="0.2">
      <c r="A6" s="236" t="s">
        <v>2</v>
      </c>
      <c r="B6" s="297" t="s">
        <v>220</v>
      </c>
      <c r="C6" s="238" t="s">
        <v>221</v>
      </c>
      <c r="D6" s="239" t="s">
        <v>5</v>
      </c>
      <c r="E6" s="239" t="s">
        <v>6</v>
      </c>
      <c r="F6" s="239" t="s">
        <v>7</v>
      </c>
      <c r="G6" s="239" t="s">
        <v>8</v>
      </c>
      <c r="H6" s="239" t="s">
        <v>9</v>
      </c>
      <c r="I6" s="239" t="s">
        <v>10</v>
      </c>
      <c r="J6" s="239" t="s">
        <v>11</v>
      </c>
      <c r="K6" s="239" t="s">
        <v>12</v>
      </c>
      <c r="L6" s="239" t="s">
        <v>13</v>
      </c>
      <c r="M6" s="239" t="s">
        <v>14</v>
      </c>
      <c r="N6" s="239" t="s">
        <v>15</v>
      </c>
      <c r="O6" s="239" t="s">
        <v>16</v>
      </c>
      <c r="P6" s="240" t="s">
        <v>20</v>
      </c>
      <c r="R6" s="580" t="s">
        <v>743</v>
      </c>
      <c r="S6" s="580" t="s">
        <v>220</v>
      </c>
      <c r="T6" s="580" t="s">
        <v>744</v>
      </c>
      <c r="U6" s="580" t="s">
        <v>745</v>
      </c>
      <c r="V6" s="580" t="s">
        <v>746</v>
      </c>
      <c r="W6" s="580" t="s">
        <v>747</v>
      </c>
      <c r="X6" s="580" t="s">
        <v>748</v>
      </c>
      <c r="Y6" s="580" t="s">
        <v>749</v>
      </c>
      <c r="Z6" s="580" t="s">
        <v>750</v>
      </c>
      <c r="AA6" s="580" t="s">
        <v>751</v>
      </c>
      <c r="AB6" s="580" t="s">
        <v>752</v>
      </c>
      <c r="AC6" s="581" t="s">
        <v>753</v>
      </c>
      <c r="AD6" s="580" t="s">
        <v>754</v>
      </c>
      <c r="AE6" s="580" t="s">
        <v>755</v>
      </c>
      <c r="AF6" s="580" t="s">
        <v>756</v>
      </c>
      <c r="AG6" s="580" t="s">
        <v>757</v>
      </c>
      <c r="AH6" s="580" t="s">
        <v>758</v>
      </c>
      <c r="AI6" s="580" t="s">
        <v>759</v>
      </c>
      <c r="AJ6" s="580" t="s">
        <v>760</v>
      </c>
      <c r="AK6" s="580" t="s">
        <v>761</v>
      </c>
    </row>
    <row r="7" spans="1:37" ht="21" thickBot="1" x14ac:dyDescent="0.25">
      <c r="A7" s="241"/>
      <c r="B7" s="351"/>
      <c r="C7" s="352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R7" s="582" t="s">
        <v>762</v>
      </c>
      <c r="S7" s="583" t="s">
        <v>763</v>
      </c>
      <c r="T7" s="582" t="s">
        <v>764</v>
      </c>
      <c r="U7" s="582" t="s">
        <v>765</v>
      </c>
      <c r="V7" s="582">
        <v>2013</v>
      </c>
      <c r="W7" s="582" t="s">
        <v>766</v>
      </c>
      <c r="X7" s="582">
        <v>12000</v>
      </c>
      <c r="Y7" s="582">
        <v>1000</v>
      </c>
      <c r="Z7" s="582">
        <v>1000</v>
      </c>
      <c r="AA7" s="582">
        <v>1000</v>
      </c>
      <c r="AB7" s="582">
        <v>1000</v>
      </c>
      <c r="AC7" s="584">
        <v>1000</v>
      </c>
      <c r="AD7" s="582">
        <v>1000</v>
      </c>
      <c r="AE7" s="582">
        <v>1000</v>
      </c>
      <c r="AF7" s="582">
        <v>1000</v>
      </c>
      <c r="AG7" s="582">
        <v>1000</v>
      </c>
      <c r="AH7" s="582">
        <v>1000</v>
      </c>
      <c r="AI7" s="582">
        <v>1000</v>
      </c>
      <c r="AJ7" s="582">
        <v>1000</v>
      </c>
      <c r="AK7" s="582" t="s">
        <v>767</v>
      </c>
    </row>
    <row r="8" spans="1:37" ht="14.25" x14ac:dyDescent="0.2">
      <c r="A8" s="246" t="s">
        <v>35</v>
      </c>
      <c r="B8" s="247"/>
      <c r="C8" s="248"/>
      <c r="D8" s="249">
        <f>'Gtos Transp 2014 (Otros)'!D8</f>
        <v>51609.079668903629</v>
      </c>
      <c r="E8" s="249">
        <f>'Gtos Transp 2014 (Otros)'!E8</f>
        <v>51609.079668903629</v>
      </c>
      <c r="F8" s="249">
        <f>'Gtos Transp 2014 (Otros)'!F8</f>
        <v>51609.079668903629</v>
      </c>
      <c r="G8" s="249">
        <f>'Gtos Transp 2014 (Otros)'!G8</f>
        <v>51609.079668903629</v>
      </c>
      <c r="H8" s="249">
        <f>'Gtos Transp 2014 (Otros)'!H8</f>
        <v>51609.079668903629</v>
      </c>
      <c r="I8" s="249">
        <f>'Gtos Transp 2014 (Otros)'!I8</f>
        <v>51609.079668903629</v>
      </c>
      <c r="J8" s="249">
        <f>'Gtos Transp 2014 (Otros)'!J8</f>
        <v>51609.079668903629</v>
      </c>
      <c r="K8" s="249">
        <f>'Gtos Transp 2014 (Otros)'!K8</f>
        <v>51609.079668903629</v>
      </c>
      <c r="L8" s="249">
        <f>'Gtos Transp 2014 (Otros)'!L8</f>
        <v>51609.079668903629</v>
      </c>
      <c r="M8" s="249">
        <f>'Gtos Transp 2014 (Otros)'!M8</f>
        <v>51609.079668903629</v>
      </c>
      <c r="N8" s="249">
        <f>'Gtos Transp 2014 (Otros)'!N8</f>
        <v>51609.079668903629</v>
      </c>
      <c r="O8" s="249">
        <f>'Gtos Transp 2014 (Otros)'!O8</f>
        <v>51609.079668903629</v>
      </c>
      <c r="P8" s="250">
        <f>SUM(D8:O8)</f>
        <v>619308.9560268434</v>
      </c>
      <c r="Q8" s="246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</row>
    <row r="9" spans="1:37" ht="14.25" x14ac:dyDescent="0.2">
      <c r="A9" s="246" t="s">
        <v>222</v>
      </c>
      <c r="B9" s="247"/>
      <c r="C9" s="248"/>
      <c r="D9" s="251">
        <f>'Gtos Transp 2014 (Otros)'!D9</f>
        <v>70</v>
      </c>
      <c r="E9" s="251">
        <f>'Gtos Transp 2014 (Otros)'!E9</f>
        <v>70</v>
      </c>
      <c r="F9" s="251">
        <f>'Gtos Transp 2014 (Otros)'!F9</f>
        <v>70</v>
      </c>
      <c r="G9" s="251">
        <f>'Gtos Transp 2014 (Otros)'!G9</f>
        <v>70</v>
      </c>
      <c r="H9" s="251">
        <f>'Gtos Transp 2014 (Otros)'!H9</f>
        <v>70</v>
      </c>
      <c r="I9" s="251">
        <f>'Gtos Transp 2014 (Otros)'!I9</f>
        <v>70</v>
      </c>
      <c r="J9" s="251">
        <f>'Gtos Transp 2014 (Otros)'!J9</f>
        <v>70</v>
      </c>
      <c r="K9" s="251">
        <f>'Gtos Transp 2014 (Otros)'!K9</f>
        <v>70</v>
      </c>
      <c r="L9" s="251">
        <f>'Gtos Transp 2014 (Otros)'!L9</f>
        <v>70</v>
      </c>
      <c r="M9" s="251">
        <f>'Gtos Transp 2014 (Otros)'!M9</f>
        <v>70</v>
      </c>
      <c r="N9" s="251">
        <f>'Gtos Transp 2014 (Otros)'!N9</f>
        <v>70</v>
      </c>
      <c r="O9" s="251">
        <f>'Gtos Transp 2014 (Otros)'!O9</f>
        <v>70</v>
      </c>
      <c r="P9" s="252">
        <f>SUM(D9:O9)</f>
        <v>840</v>
      </c>
      <c r="Q9" s="246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</row>
    <row r="10" spans="1:37" ht="14.25" x14ac:dyDescent="0.2">
      <c r="A10" s="246" t="s">
        <v>223</v>
      </c>
      <c r="B10" s="247"/>
      <c r="C10" s="248"/>
      <c r="D10" s="251">
        <f>'Vol e Ingresos 2014'!B11</f>
        <v>17896.561572742881</v>
      </c>
      <c r="E10" s="251">
        <f>'Vol e Ingresos 2014'!C11</f>
        <v>17474.111781935626</v>
      </c>
      <c r="F10" s="251">
        <f>'Vol e Ingresos 2014'!D11</f>
        <v>18067.349890599613</v>
      </c>
      <c r="G10" s="251">
        <f>'Vol e Ingresos 2014'!E11</f>
        <v>19070.111418107168</v>
      </c>
      <c r="H10" s="251">
        <f>'Vol e Ingresos 2014'!F11</f>
        <v>18391.941936907322</v>
      </c>
      <c r="I10" s="251">
        <f>'Vol e Ingresos 2014'!G11</f>
        <v>18481.357939746867</v>
      </c>
      <c r="J10" s="251">
        <f>'Vol e Ingresos 2014'!H11</f>
        <v>19949.675180122638</v>
      </c>
      <c r="K10" s="251">
        <f>'Vol e Ingresos 2014'!I11</f>
        <v>19537.632945642697</v>
      </c>
      <c r="L10" s="251">
        <f>'Vol e Ingresos 2014'!J11</f>
        <v>17290.497170700077</v>
      </c>
      <c r="M10" s="251">
        <f>'Vol e Ingresos 2014'!K11</f>
        <v>22327.503517414174</v>
      </c>
      <c r="N10" s="251">
        <f>'Vol e Ingresos 2014'!L11</f>
        <v>19846.669793257046</v>
      </c>
      <c r="O10" s="251">
        <f>'Vol e Ingresos 2014'!M11</f>
        <v>19846.669793257046</v>
      </c>
      <c r="P10" s="252">
        <f>SUM(D10:O10)</f>
        <v>228180.08294043317</v>
      </c>
      <c r="Q10" s="246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</row>
    <row r="11" spans="1:37" ht="14.25" x14ac:dyDescent="0.2">
      <c r="A11" s="246"/>
      <c r="B11" s="247"/>
      <c r="C11" s="352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46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</row>
    <row r="12" spans="1:37" ht="15" x14ac:dyDescent="0.2">
      <c r="A12" s="353" t="s">
        <v>295</v>
      </c>
      <c r="B12" s="247"/>
      <c r="C12" s="352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46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</row>
    <row r="13" spans="1:37" ht="15" x14ac:dyDescent="0.25">
      <c r="A13" s="348" t="s">
        <v>225</v>
      </c>
      <c r="B13" s="277"/>
      <c r="C13" s="111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309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</row>
    <row r="14" spans="1:37" ht="15" x14ac:dyDescent="0.25">
      <c r="A14" s="349" t="s">
        <v>296</v>
      </c>
      <c r="B14" s="277"/>
      <c r="C14" s="111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 s="316"/>
      <c r="O14" s="316"/>
      <c r="P14" s="316">
        <f>SUM(D14:O14)</f>
        <v>0</v>
      </c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</row>
    <row r="15" spans="1:37" x14ac:dyDescent="0.2">
      <c r="B15" s="312" t="s">
        <v>321</v>
      </c>
      <c r="C15" s="276" t="str">
        <f>VLOOKUP(B15,'Cat. cuentas'!$A$1:$B$195,2,FALSE)</f>
        <v>SERVICIO  OUTSORCING</v>
      </c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 s="316"/>
      <c r="O15" s="316"/>
      <c r="P15" s="449">
        <f>SUM(D15:O15)</f>
        <v>0</v>
      </c>
      <c r="R15" s="111" t="s">
        <v>762</v>
      </c>
      <c r="S15" s="277" t="str">
        <f>B15</f>
        <v>0501100300</v>
      </c>
      <c r="T15" s="111" t="s">
        <v>786</v>
      </c>
      <c r="U15" s="585" t="s">
        <v>769</v>
      </c>
      <c r="V15" s="111">
        <v>2014</v>
      </c>
      <c r="W15" s="111" t="s">
        <v>770</v>
      </c>
      <c r="X15" s="111">
        <f>SUM(Y15:AJ15)</f>
        <v>0</v>
      </c>
      <c r="Y15" s="111">
        <f>ROUND(D15,0)</f>
        <v>0</v>
      </c>
      <c r="Z15" s="111">
        <f t="shared" ref="Z15:AJ15" si="0">ROUND(E15,0)</f>
        <v>0</v>
      </c>
      <c r="AA15" s="111">
        <f t="shared" si="0"/>
        <v>0</v>
      </c>
      <c r="AB15" s="111">
        <f t="shared" si="0"/>
        <v>0</v>
      </c>
      <c r="AC15" s="111">
        <f t="shared" si="0"/>
        <v>0</v>
      </c>
      <c r="AD15" s="111">
        <f t="shared" si="0"/>
        <v>0</v>
      </c>
      <c r="AE15" s="111">
        <f t="shared" si="0"/>
        <v>0</v>
      </c>
      <c r="AF15" s="111">
        <f t="shared" si="0"/>
        <v>0</v>
      </c>
      <c r="AG15" s="111">
        <f t="shared" si="0"/>
        <v>0</v>
      </c>
      <c r="AH15" s="111">
        <f t="shared" si="0"/>
        <v>0</v>
      </c>
      <c r="AI15" s="111">
        <f t="shared" si="0"/>
        <v>0</v>
      </c>
      <c r="AJ15" s="111">
        <f t="shared" si="0"/>
        <v>0</v>
      </c>
      <c r="AK15" s="111" t="s">
        <v>767</v>
      </c>
    </row>
    <row r="16" spans="1:37" ht="15" x14ac:dyDescent="0.25">
      <c r="A16" s="349" t="s">
        <v>298</v>
      </c>
      <c r="B16" s="277" t="s">
        <v>297</v>
      </c>
      <c r="C16" s="276" t="str">
        <f>VLOOKUP(B16,'Cat. cuentas'!$A$1:$B$195,2,FALSE)</f>
        <v>MTTO. DE VEHICULOS UTILITARIOS</v>
      </c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6"/>
      <c r="P16" s="316">
        <f t="shared" ref="P16:P31" si="1">SUM(D16:O16)</f>
        <v>0</v>
      </c>
      <c r="R16" s="111" t="s">
        <v>762</v>
      </c>
      <c r="S16" s="277" t="str">
        <f t="shared" ref="S16:S61" si="2">B16</f>
        <v>0501060400</v>
      </c>
      <c r="T16" s="111" t="s">
        <v>786</v>
      </c>
      <c r="U16" s="585" t="s">
        <v>769</v>
      </c>
      <c r="V16" s="111">
        <v>2014</v>
      </c>
      <c r="W16" s="111" t="s">
        <v>770</v>
      </c>
      <c r="X16" s="111">
        <f t="shared" ref="X16:X61" si="3">SUM(Y16:AJ16)</f>
        <v>0</v>
      </c>
      <c r="Y16" s="111">
        <f t="shared" ref="Y16:Y61" si="4">ROUND(D16,0)</f>
        <v>0</v>
      </c>
      <c r="Z16" s="111">
        <f t="shared" ref="Z16:Z61" si="5">ROUND(E16,0)</f>
        <v>0</v>
      </c>
      <c r="AA16" s="111">
        <f t="shared" ref="AA16:AA61" si="6">ROUND(F16,0)</f>
        <v>0</v>
      </c>
      <c r="AB16" s="111">
        <f t="shared" ref="AB16:AB61" si="7">ROUND(G16,0)</f>
        <v>0</v>
      </c>
      <c r="AC16" s="111">
        <f t="shared" ref="AC16:AC61" si="8">ROUND(H16,0)</f>
        <v>0</v>
      </c>
      <c r="AD16" s="111">
        <f t="shared" ref="AD16:AD61" si="9">ROUND(I16,0)</f>
        <v>0</v>
      </c>
      <c r="AE16" s="111">
        <f t="shared" ref="AE16:AE61" si="10">ROUND(J16,0)</f>
        <v>0</v>
      </c>
      <c r="AF16" s="111">
        <f t="shared" ref="AF16:AF61" si="11">ROUND(K16,0)</f>
        <v>0</v>
      </c>
      <c r="AG16" s="111">
        <f t="shared" ref="AG16:AG61" si="12">ROUND(L16,0)</f>
        <v>0</v>
      </c>
      <c r="AH16" s="111">
        <f t="shared" ref="AH16:AH61" si="13">ROUND(M16,0)</f>
        <v>0</v>
      </c>
      <c r="AI16" s="111">
        <f t="shared" ref="AI16:AI61" si="14">ROUND(N16,0)</f>
        <v>0</v>
      </c>
      <c r="AJ16" s="111">
        <f t="shared" ref="AJ16:AJ61" si="15">ROUND(O16,0)</f>
        <v>0</v>
      </c>
      <c r="AK16" s="111" t="s">
        <v>767</v>
      </c>
    </row>
    <row r="17" spans="1:37" ht="15" x14ac:dyDescent="0.25">
      <c r="A17" s="349" t="s">
        <v>299</v>
      </c>
      <c r="B17" s="277" t="s">
        <v>249</v>
      </c>
      <c r="C17" s="276" t="str">
        <f>VLOOKUP(B17,'Cat. cuentas'!$A$1:$B$195,2,FALSE)</f>
        <v>PAPELERÍA Y ARTICULOS DE ESC.</v>
      </c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>
        <f t="shared" si="1"/>
        <v>0</v>
      </c>
      <c r="R17" s="111" t="s">
        <v>762</v>
      </c>
      <c r="S17" s="277" t="str">
        <f t="shared" si="2"/>
        <v>0501130200</v>
      </c>
      <c r="T17" s="111" t="s">
        <v>786</v>
      </c>
      <c r="U17" s="585" t="s">
        <v>769</v>
      </c>
      <c r="V17" s="111">
        <v>2014</v>
      </c>
      <c r="W17" s="111" t="s">
        <v>770</v>
      </c>
      <c r="X17" s="111">
        <f t="shared" si="3"/>
        <v>0</v>
      </c>
      <c r="Y17" s="111">
        <f t="shared" si="4"/>
        <v>0</v>
      </c>
      <c r="Z17" s="111">
        <f t="shared" si="5"/>
        <v>0</v>
      </c>
      <c r="AA17" s="111">
        <f t="shared" si="6"/>
        <v>0</v>
      </c>
      <c r="AB17" s="111">
        <f t="shared" si="7"/>
        <v>0</v>
      </c>
      <c r="AC17" s="111">
        <f t="shared" si="8"/>
        <v>0</v>
      </c>
      <c r="AD17" s="111">
        <f t="shared" si="9"/>
        <v>0</v>
      </c>
      <c r="AE17" s="111">
        <f t="shared" si="10"/>
        <v>0</v>
      </c>
      <c r="AF17" s="111">
        <f t="shared" si="11"/>
        <v>0</v>
      </c>
      <c r="AG17" s="111">
        <f t="shared" si="12"/>
        <v>0</v>
      </c>
      <c r="AH17" s="111">
        <f t="shared" si="13"/>
        <v>0</v>
      </c>
      <c r="AI17" s="111">
        <f t="shared" si="14"/>
        <v>0</v>
      </c>
      <c r="AJ17" s="111">
        <f t="shared" si="15"/>
        <v>0</v>
      </c>
      <c r="AK17" s="111" t="s">
        <v>767</v>
      </c>
    </row>
    <row r="18" spans="1:37" ht="15" x14ac:dyDescent="0.25">
      <c r="A18" s="349" t="s">
        <v>302</v>
      </c>
      <c r="B18" s="277" t="s">
        <v>240</v>
      </c>
      <c r="C18" s="276" t="str">
        <f>VLOOKUP(B18,'Cat. cuentas'!$A$1:$B$195,2,FALSE)</f>
        <v>GASTOS DE CAPACITACION</v>
      </c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6">
        <f t="shared" si="1"/>
        <v>0</v>
      </c>
      <c r="R18" s="111" t="s">
        <v>762</v>
      </c>
      <c r="S18" s="277" t="str">
        <f t="shared" si="2"/>
        <v>0501050400</v>
      </c>
      <c r="T18" s="111" t="s">
        <v>786</v>
      </c>
      <c r="U18" s="585" t="s">
        <v>769</v>
      </c>
      <c r="V18" s="111">
        <v>2014</v>
      </c>
      <c r="W18" s="111" t="s">
        <v>770</v>
      </c>
      <c r="X18" s="111">
        <f t="shared" si="3"/>
        <v>0</v>
      </c>
      <c r="Y18" s="111">
        <f t="shared" si="4"/>
        <v>0</v>
      </c>
      <c r="Z18" s="111">
        <f t="shared" si="5"/>
        <v>0</v>
      </c>
      <c r="AA18" s="111">
        <f t="shared" si="6"/>
        <v>0</v>
      </c>
      <c r="AB18" s="111">
        <f t="shared" si="7"/>
        <v>0</v>
      </c>
      <c r="AC18" s="111">
        <f t="shared" si="8"/>
        <v>0</v>
      </c>
      <c r="AD18" s="111">
        <f t="shared" si="9"/>
        <v>0</v>
      </c>
      <c r="AE18" s="111">
        <f t="shared" si="10"/>
        <v>0</v>
      </c>
      <c r="AF18" s="111">
        <f t="shared" si="11"/>
        <v>0</v>
      </c>
      <c r="AG18" s="111">
        <f t="shared" si="12"/>
        <v>0</v>
      </c>
      <c r="AH18" s="111">
        <f t="shared" si="13"/>
        <v>0</v>
      </c>
      <c r="AI18" s="111">
        <f t="shared" si="14"/>
        <v>0</v>
      </c>
      <c r="AJ18" s="111">
        <f t="shared" si="15"/>
        <v>0</v>
      </c>
      <c r="AK18" s="111" t="s">
        <v>767</v>
      </c>
    </row>
    <row r="19" spans="1:37" ht="15" x14ac:dyDescent="0.25">
      <c r="A19" s="349" t="s">
        <v>303</v>
      </c>
      <c r="B19" s="312" t="s">
        <v>242</v>
      </c>
      <c r="C19" s="276" t="str">
        <f>VLOOKUP(B19,'Cat. cuentas'!$A$1:$B$195,2,FALSE)</f>
        <v>GTOS DE VIAJE(HOSP.TRANS.VIAT)</v>
      </c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>
        <f t="shared" si="1"/>
        <v>0</v>
      </c>
      <c r="R19" s="111" t="s">
        <v>762</v>
      </c>
      <c r="S19" s="277" t="str">
        <f t="shared" si="2"/>
        <v>0501140100</v>
      </c>
      <c r="T19" s="111" t="s">
        <v>786</v>
      </c>
      <c r="U19" s="585" t="s">
        <v>769</v>
      </c>
      <c r="V19" s="111">
        <v>2014</v>
      </c>
      <c r="W19" s="111" t="s">
        <v>770</v>
      </c>
      <c r="X19" s="111">
        <f t="shared" si="3"/>
        <v>0</v>
      </c>
      <c r="Y19" s="111">
        <f t="shared" si="4"/>
        <v>0</v>
      </c>
      <c r="Z19" s="111">
        <f t="shared" si="5"/>
        <v>0</v>
      </c>
      <c r="AA19" s="111">
        <f t="shared" si="6"/>
        <v>0</v>
      </c>
      <c r="AB19" s="111">
        <f t="shared" si="7"/>
        <v>0</v>
      </c>
      <c r="AC19" s="111">
        <f t="shared" si="8"/>
        <v>0</v>
      </c>
      <c r="AD19" s="111">
        <f t="shared" si="9"/>
        <v>0</v>
      </c>
      <c r="AE19" s="111">
        <f t="shared" si="10"/>
        <v>0</v>
      </c>
      <c r="AF19" s="111">
        <f t="shared" si="11"/>
        <v>0</v>
      </c>
      <c r="AG19" s="111">
        <f t="shared" si="12"/>
        <v>0</v>
      </c>
      <c r="AH19" s="111">
        <f t="shared" si="13"/>
        <v>0</v>
      </c>
      <c r="AI19" s="111">
        <f t="shared" si="14"/>
        <v>0</v>
      </c>
      <c r="AJ19" s="111">
        <f t="shared" si="15"/>
        <v>0</v>
      </c>
      <c r="AK19" s="111" t="s">
        <v>767</v>
      </c>
    </row>
    <row r="20" spans="1:37" ht="15" x14ac:dyDescent="0.25">
      <c r="A20" s="349" t="s">
        <v>304</v>
      </c>
      <c r="B20" s="277" t="s">
        <v>538</v>
      </c>
      <c r="C20" s="276" t="str">
        <f>VLOOKUP(B20,'Cat. cuentas'!$A$1:$B$195,2,FALSE)</f>
        <v>HERRAMIENTAS MENORES</v>
      </c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09">
        <f t="shared" si="1"/>
        <v>0</v>
      </c>
      <c r="R20" s="111" t="s">
        <v>762</v>
      </c>
      <c r="S20" s="277" t="str">
        <f t="shared" si="2"/>
        <v>0501153600</v>
      </c>
      <c r="T20" s="111" t="s">
        <v>786</v>
      </c>
      <c r="U20" s="585" t="s">
        <v>769</v>
      </c>
      <c r="V20" s="111">
        <v>2014</v>
      </c>
      <c r="W20" s="111" t="s">
        <v>770</v>
      </c>
      <c r="X20" s="111">
        <f t="shared" si="3"/>
        <v>0</v>
      </c>
      <c r="Y20" s="111">
        <f t="shared" si="4"/>
        <v>0</v>
      </c>
      <c r="Z20" s="111">
        <f t="shared" si="5"/>
        <v>0</v>
      </c>
      <c r="AA20" s="111">
        <f t="shared" si="6"/>
        <v>0</v>
      </c>
      <c r="AB20" s="111">
        <f t="shared" si="7"/>
        <v>0</v>
      </c>
      <c r="AC20" s="111">
        <f t="shared" si="8"/>
        <v>0</v>
      </c>
      <c r="AD20" s="111">
        <f t="shared" si="9"/>
        <v>0</v>
      </c>
      <c r="AE20" s="111">
        <f t="shared" si="10"/>
        <v>0</v>
      </c>
      <c r="AF20" s="111">
        <f t="shared" si="11"/>
        <v>0</v>
      </c>
      <c r="AG20" s="111">
        <f t="shared" si="12"/>
        <v>0</v>
      </c>
      <c r="AH20" s="111">
        <f t="shared" si="13"/>
        <v>0</v>
      </c>
      <c r="AI20" s="111">
        <f t="shared" si="14"/>
        <v>0</v>
      </c>
      <c r="AJ20" s="111">
        <f t="shared" si="15"/>
        <v>0</v>
      </c>
      <c r="AK20" s="111" t="s">
        <v>767</v>
      </c>
    </row>
    <row r="21" spans="1:37" ht="15" x14ac:dyDescent="0.25">
      <c r="A21" s="349" t="s">
        <v>305</v>
      </c>
      <c r="B21" s="312" t="s">
        <v>236</v>
      </c>
      <c r="C21" s="276" t="str">
        <f>VLOOKUP(B21,'Cat. cuentas'!$A$1:$B$195,2,FALSE)</f>
        <v>ZAPATOS, UNIFORMES Y EQUIPO</v>
      </c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>
        <f t="shared" si="1"/>
        <v>0</v>
      </c>
      <c r="R21" s="111" t="s">
        <v>762</v>
      </c>
      <c r="S21" s="277" t="str">
        <f t="shared" si="2"/>
        <v>0501050200</v>
      </c>
      <c r="T21" s="111" t="s">
        <v>786</v>
      </c>
      <c r="U21" s="585" t="s">
        <v>769</v>
      </c>
      <c r="V21" s="111">
        <v>2014</v>
      </c>
      <c r="W21" s="111" t="s">
        <v>770</v>
      </c>
      <c r="X21" s="111">
        <f t="shared" si="3"/>
        <v>0</v>
      </c>
      <c r="Y21" s="111">
        <f t="shared" si="4"/>
        <v>0</v>
      </c>
      <c r="Z21" s="111">
        <f t="shared" si="5"/>
        <v>0</v>
      </c>
      <c r="AA21" s="111">
        <f t="shared" si="6"/>
        <v>0</v>
      </c>
      <c r="AB21" s="111">
        <f t="shared" si="7"/>
        <v>0</v>
      </c>
      <c r="AC21" s="111">
        <f t="shared" si="8"/>
        <v>0</v>
      </c>
      <c r="AD21" s="111">
        <f t="shared" si="9"/>
        <v>0</v>
      </c>
      <c r="AE21" s="111">
        <f t="shared" si="10"/>
        <v>0</v>
      </c>
      <c r="AF21" s="111">
        <f t="shared" si="11"/>
        <v>0</v>
      </c>
      <c r="AG21" s="111">
        <f t="shared" si="12"/>
        <v>0</v>
      </c>
      <c r="AH21" s="111">
        <f t="shared" si="13"/>
        <v>0</v>
      </c>
      <c r="AI21" s="111">
        <f t="shared" si="14"/>
        <v>0</v>
      </c>
      <c r="AJ21" s="111">
        <f t="shared" si="15"/>
        <v>0</v>
      </c>
      <c r="AK21" s="111" t="s">
        <v>767</v>
      </c>
    </row>
    <row r="22" spans="1:37" ht="15" x14ac:dyDescent="0.25">
      <c r="A22" s="349" t="s">
        <v>306</v>
      </c>
      <c r="B22" s="275" t="s">
        <v>251</v>
      </c>
      <c r="C22" s="276" t="str">
        <f>VLOOKUP(B22,'Cat. cuentas'!$A$1:$B$195,2,FALSE)</f>
        <v>TELEFONIA CELULAR</v>
      </c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309">
        <f t="shared" si="1"/>
        <v>0</v>
      </c>
      <c r="R22" s="111" t="s">
        <v>762</v>
      </c>
      <c r="S22" s="277" t="str">
        <f t="shared" si="2"/>
        <v>0501090200</v>
      </c>
      <c r="T22" s="111" t="s">
        <v>786</v>
      </c>
      <c r="U22" s="585" t="s">
        <v>769</v>
      </c>
      <c r="V22" s="111">
        <v>2014</v>
      </c>
      <c r="W22" s="111" t="s">
        <v>770</v>
      </c>
      <c r="X22" s="111">
        <f t="shared" si="3"/>
        <v>0</v>
      </c>
      <c r="Y22" s="111">
        <f t="shared" si="4"/>
        <v>0</v>
      </c>
      <c r="Z22" s="111">
        <f t="shared" si="5"/>
        <v>0</v>
      </c>
      <c r="AA22" s="111">
        <f t="shared" si="6"/>
        <v>0</v>
      </c>
      <c r="AB22" s="111">
        <f t="shared" si="7"/>
        <v>0</v>
      </c>
      <c r="AC22" s="111">
        <f t="shared" si="8"/>
        <v>0</v>
      </c>
      <c r="AD22" s="111">
        <f t="shared" si="9"/>
        <v>0</v>
      </c>
      <c r="AE22" s="111">
        <f t="shared" si="10"/>
        <v>0</v>
      </c>
      <c r="AF22" s="111">
        <f t="shared" si="11"/>
        <v>0</v>
      </c>
      <c r="AG22" s="111">
        <f t="shared" si="12"/>
        <v>0</v>
      </c>
      <c r="AH22" s="111">
        <f t="shared" si="13"/>
        <v>0</v>
      </c>
      <c r="AI22" s="111">
        <f t="shared" si="14"/>
        <v>0</v>
      </c>
      <c r="AJ22" s="111">
        <f t="shared" si="15"/>
        <v>0</v>
      </c>
      <c r="AK22" s="111" t="s">
        <v>767</v>
      </c>
    </row>
    <row r="23" spans="1:37" ht="15" x14ac:dyDescent="0.25">
      <c r="A23" s="349" t="s">
        <v>289</v>
      </c>
      <c r="B23" s="312" t="s">
        <v>284</v>
      </c>
      <c r="C23" s="276" t="str">
        <f>VLOOKUP(B23,'Cat. cuentas'!$A$1:$B$195,2,FALSE)</f>
        <v>GASTOS NO DEDUCIBLES</v>
      </c>
      <c r="D23" s="451"/>
      <c r="E23" s="451"/>
      <c r="F23" s="451"/>
      <c r="G23" s="451"/>
      <c r="H23" s="451"/>
      <c r="I23" s="451"/>
      <c r="J23" s="451"/>
      <c r="K23" s="451"/>
      <c r="L23" s="451"/>
      <c r="M23" s="451"/>
      <c r="N23" s="451"/>
      <c r="O23" s="451"/>
      <c r="P23" s="309">
        <f t="shared" si="1"/>
        <v>0</v>
      </c>
      <c r="R23" s="111" t="s">
        <v>762</v>
      </c>
      <c r="S23" s="277" t="str">
        <f t="shared" si="2"/>
        <v>0501171000</v>
      </c>
      <c r="T23" s="111" t="s">
        <v>786</v>
      </c>
      <c r="U23" s="585" t="s">
        <v>769</v>
      </c>
      <c r="V23" s="111">
        <v>2014</v>
      </c>
      <c r="W23" s="111" t="s">
        <v>770</v>
      </c>
      <c r="X23" s="111">
        <f t="shared" si="3"/>
        <v>0</v>
      </c>
      <c r="Y23" s="111">
        <f t="shared" si="4"/>
        <v>0</v>
      </c>
      <c r="Z23" s="111">
        <f t="shared" si="5"/>
        <v>0</v>
      </c>
      <c r="AA23" s="111">
        <f t="shared" si="6"/>
        <v>0</v>
      </c>
      <c r="AB23" s="111">
        <f t="shared" si="7"/>
        <v>0</v>
      </c>
      <c r="AC23" s="111">
        <f t="shared" si="8"/>
        <v>0</v>
      </c>
      <c r="AD23" s="111">
        <f t="shared" si="9"/>
        <v>0</v>
      </c>
      <c r="AE23" s="111">
        <f t="shared" si="10"/>
        <v>0</v>
      </c>
      <c r="AF23" s="111">
        <f t="shared" si="11"/>
        <v>0</v>
      </c>
      <c r="AG23" s="111">
        <f t="shared" si="12"/>
        <v>0</v>
      </c>
      <c r="AH23" s="111">
        <f t="shared" si="13"/>
        <v>0</v>
      </c>
      <c r="AI23" s="111">
        <f t="shared" si="14"/>
        <v>0</v>
      </c>
      <c r="AJ23" s="111">
        <f t="shared" si="15"/>
        <v>0</v>
      </c>
      <c r="AK23" s="111" t="s">
        <v>767</v>
      </c>
    </row>
    <row r="24" spans="1:37" ht="15" x14ac:dyDescent="0.25">
      <c r="A24" s="354" t="s">
        <v>307</v>
      </c>
      <c r="B24" s="336" t="s">
        <v>262</v>
      </c>
      <c r="C24" s="276" t="str">
        <f>VLOOKUP(B24,'Cat. cuentas'!$A$1:$B$195,2,FALSE)</f>
        <v>GASTOS DE COMEDOR</v>
      </c>
      <c r="D24" s="452"/>
      <c r="E24" s="452"/>
      <c r="F24" s="452"/>
      <c r="G24" s="452"/>
      <c r="H24" s="452"/>
      <c r="I24" s="452"/>
      <c r="J24" s="452"/>
      <c r="K24" s="452"/>
      <c r="L24" s="452"/>
      <c r="M24" s="452"/>
      <c r="N24" s="452"/>
      <c r="O24" s="452"/>
      <c r="P24" s="309">
        <f t="shared" si="1"/>
        <v>0</v>
      </c>
      <c r="R24" s="111" t="s">
        <v>762</v>
      </c>
      <c r="S24" s="277" t="str">
        <f t="shared" si="2"/>
        <v>0501040600</v>
      </c>
      <c r="T24" s="111" t="s">
        <v>786</v>
      </c>
      <c r="U24" s="585" t="s">
        <v>769</v>
      </c>
      <c r="V24" s="111">
        <v>2014</v>
      </c>
      <c r="W24" s="111" t="s">
        <v>770</v>
      </c>
      <c r="X24" s="111">
        <f t="shared" si="3"/>
        <v>0</v>
      </c>
      <c r="Y24" s="111">
        <f t="shared" si="4"/>
        <v>0</v>
      </c>
      <c r="Z24" s="111">
        <f t="shared" si="5"/>
        <v>0</v>
      </c>
      <c r="AA24" s="111">
        <f t="shared" si="6"/>
        <v>0</v>
      </c>
      <c r="AB24" s="111">
        <f t="shared" si="7"/>
        <v>0</v>
      </c>
      <c r="AC24" s="111">
        <f t="shared" si="8"/>
        <v>0</v>
      </c>
      <c r="AD24" s="111">
        <f t="shared" si="9"/>
        <v>0</v>
      </c>
      <c r="AE24" s="111">
        <f t="shared" si="10"/>
        <v>0</v>
      </c>
      <c r="AF24" s="111">
        <f t="shared" si="11"/>
        <v>0</v>
      </c>
      <c r="AG24" s="111">
        <f t="shared" si="12"/>
        <v>0</v>
      </c>
      <c r="AH24" s="111">
        <f t="shared" si="13"/>
        <v>0</v>
      </c>
      <c r="AI24" s="111">
        <f t="shared" si="14"/>
        <v>0</v>
      </c>
      <c r="AJ24" s="111">
        <f t="shared" si="15"/>
        <v>0</v>
      </c>
      <c r="AK24" s="111" t="s">
        <v>767</v>
      </c>
    </row>
    <row r="25" spans="1:37" ht="15" x14ac:dyDescent="0.25">
      <c r="A25" s="354"/>
      <c r="B25" s="336" t="s">
        <v>263</v>
      </c>
      <c r="C25" s="276" t="str">
        <f>VLOOKUP(B25,'Cat. cuentas'!$A$1:$B$195,2,FALSE)</f>
        <v>COCHES, PASAJES Y TAXIS</v>
      </c>
      <c r="D25" s="452"/>
      <c r="E25" s="452"/>
      <c r="F25" s="452"/>
      <c r="G25" s="452"/>
      <c r="H25" s="452"/>
      <c r="I25" s="452"/>
      <c r="J25" s="452"/>
      <c r="K25" s="452"/>
      <c r="L25" s="452"/>
      <c r="M25" s="452"/>
      <c r="N25" s="452"/>
      <c r="O25" s="452"/>
      <c r="P25" s="309">
        <f t="shared" si="1"/>
        <v>0</v>
      </c>
      <c r="R25" s="111" t="s">
        <v>762</v>
      </c>
      <c r="S25" s="277" t="str">
        <f t="shared" si="2"/>
        <v>0501140300</v>
      </c>
      <c r="T25" s="111" t="s">
        <v>786</v>
      </c>
      <c r="U25" s="585" t="s">
        <v>769</v>
      </c>
      <c r="V25" s="111">
        <v>2014</v>
      </c>
      <c r="W25" s="111" t="s">
        <v>770</v>
      </c>
      <c r="X25" s="111">
        <f t="shared" si="3"/>
        <v>0</v>
      </c>
      <c r="Y25" s="111">
        <f t="shared" si="4"/>
        <v>0</v>
      </c>
      <c r="Z25" s="111">
        <f t="shared" si="5"/>
        <v>0</v>
      </c>
      <c r="AA25" s="111">
        <f t="shared" si="6"/>
        <v>0</v>
      </c>
      <c r="AB25" s="111">
        <f t="shared" si="7"/>
        <v>0</v>
      </c>
      <c r="AC25" s="111">
        <f t="shared" si="8"/>
        <v>0</v>
      </c>
      <c r="AD25" s="111">
        <f t="shared" si="9"/>
        <v>0</v>
      </c>
      <c r="AE25" s="111">
        <f t="shared" si="10"/>
        <v>0</v>
      </c>
      <c r="AF25" s="111">
        <f t="shared" si="11"/>
        <v>0</v>
      </c>
      <c r="AG25" s="111">
        <f t="shared" si="12"/>
        <v>0</v>
      </c>
      <c r="AH25" s="111">
        <f t="shared" si="13"/>
        <v>0</v>
      </c>
      <c r="AI25" s="111">
        <f t="shared" si="14"/>
        <v>0</v>
      </c>
      <c r="AJ25" s="111">
        <f t="shared" si="15"/>
        <v>0</v>
      </c>
      <c r="AK25" s="111" t="s">
        <v>767</v>
      </c>
    </row>
    <row r="26" spans="1:37" ht="15" x14ac:dyDescent="0.25">
      <c r="A26" s="354"/>
      <c r="B26" s="278" t="s">
        <v>265</v>
      </c>
      <c r="C26" s="276" t="str">
        <f>VLOOKUP(B26,'Cat. cuentas'!$A$1:$B$195,2,FALSE)</f>
        <v>EXAMENES MEDICOS</v>
      </c>
      <c r="D26" s="450"/>
      <c r="E26" s="450"/>
      <c r="F26" s="450"/>
      <c r="G26" s="450"/>
      <c r="H26" s="450"/>
      <c r="I26" s="450"/>
      <c r="J26" s="450"/>
      <c r="K26" s="450"/>
      <c r="L26" s="450"/>
      <c r="M26" s="450"/>
      <c r="N26" s="450"/>
      <c r="O26" s="450"/>
      <c r="P26" s="316">
        <f t="shared" si="1"/>
        <v>0</v>
      </c>
      <c r="R26" s="111" t="s">
        <v>762</v>
      </c>
      <c r="S26" s="277" t="str">
        <f t="shared" si="2"/>
        <v>0501050100</v>
      </c>
      <c r="T26" s="111" t="s">
        <v>786</v>
      </c>
      <c r="U26" s="585" t="s">
        <v>769</v>
      </c>
      <c r="V26" s="111">
        <v>2014</v>
      </c>
      <c r="W26" s="111" t="s">
        <v>770</v>
      </c>
      <c r="X26" s="111">
        <f t="shared" si="3"/>
        <v>0</v>
      </c>
      <c r="Y26" s="111">
        <f t="shared" si="4"/>
        <v>0</v>
      </c>
      <c r="Z26" s="111">
        <f t="shared" si="5"/>
        <v>0</v>
      </c>
      <c r="AA26" s="111">
        <f t="shared" si="6"/>
        <v>0</v>
      </c>
      <c r="AB26" s="111">
        <f t="shared" si="7"/>
        <v>0</v>
      </c>
      <c r="AC26" s="111">
        <f t="shared" si="8"/>
        <v>0</v>
      </c>
      <c r="AD26" s="111">
        <f t="shared" si="9"/>
        <v>0</v>
      </c>
      <c r="AE26" s="111">
        <f t="shared" si="10"/>
        <v>0</v>
      </c>
      <c r="AF26" s="111">
        <f t="shared" si="11"/>
        <v>0</v>
      </c>
      <c r="AG26" s="111">
        <f t="shared" si="12"/>
        <v>0</v>
      </c>
      <c r="AH26" s="111">
        <f t="shared" si="13"/>
        <v>0</v>
      </c>
      <c r="AI26" s="111">
        <f t="shared" si="14"/>
        <v>0</v>
      </c>
      <c r="AJ26" s="111">
        <f t="shared" si="15"/>
        <v>0</v>
      </c>
      <c r="AK26" s="111" t="s">
        <v>767</v>
      </c>
    </row>
    <row r="27" spans="1:37" ht="15" x14ac:dyDescent="0.25">
      <c r="A27" s="354"/>
      <c r="B27" s="336" t="s">
        <v>269</v>
      </c>
      <c r="C27" s="276" t="str">
        <f>VLOOKUP(B27,'Cat. cuentas'!$A$1:$B$195,2,FALSE)</f>
        <v>OTROS GASTOS</v>
      </c>
      <c r="D27" s="452">
        <v>5126.88</v>
      </c>
      <c r="E27" s="452">
        <v>5126.88</v>
      </c>
      <c r="F27" s="452">
        <v>5126.88</v>
      </c>
      <c r="G27" s="452">
        <v>5126.88</v>
      </c>
      <c r="H27" s="452">
        <v>5126.88</v>
      </c>
      <c r="I27" s="452">
        <v>5126.88</v>
      </c>
      <c r="J27" s="452">
        <v>5126.88</v>
      </c>
      <c r="K27" s="452">
        <v>5126.88</v>
      </c>
      <c r="L27" s="452">
        <v>5126.88</v>
      </c>
      <c r="M27" s="452">
        <v>5126.88</v>
      </c>
      <c r="N27" s="452">
        <v>5126.88</v>
      </c>
      <c r="O27" s="452">
        <v>5126.88</v>
      </c>
      <c r="P27" s="309">
        <f t="shared" si="1"/>
        <v>61522.55999999999</v>
      </c>
      <c r="R27" s="111" t="s">
        <v>762</v>
      </c>
      <c r="S27" s="277" t="str">
        <f t="shared" si="2"/>
        <v>0501179900</v>
      </c>
      <c r="T27" s="111" t="s">
        <v>786</v>
      </c>
      <c r="U27" s="585" t="s">
        <v>769</v>
      </c>
      <c r="V27" s="111">
        <v>2014</v>
      </c>
      <c r="W27" s="111" t="s">
        <v>770</v>
      </c>
      <c r="X27" s="111">
        <f t="shared" si="3"/>
        <v>61524</v>
      </c>
      <c r="Y27" s="111">
        <f t="shared" si="4"/>
        <v>5127</v>
      </c>
      <c r="Z27" s="111">
        <f t="shared" si="5"/>
        <v>5127</v>
      </c>
      <c r="AA27" s="111">
        <f t="shared" si="6"/>
        <v>5127</v>
      </c>
      <c r="AB27" s="111">
        <f t="shared" si="7"/>
        <v>5127</v>
      </c>
      <c r="AC27" s="111">
        <f t="shared" si="8"/>
        <v>5127</v>
      </c>
      <c r="AD27" s="111">
        <f t="shared" si="9"/>
        <v>5127</v>
      </c>
      <c r="AE27" s="111">
        <f t="shared" si="10"/>
        <v>5127</v>
      </c>
      <c r="AF27" s="111">
        <f t="shared" si="11"/>
        <v>5127</v>
      </c>
      <c r="AG27" s="111">
        <f t="shared" si="12"/>
        <v>5127</v>
      </c>
      <c r="AH27" s="111">
        <f t="shared" si="13"/>
        <v>5127</v>
      </c>
      <c r="AI27" s="111">
        <f t="shared" si="14"/>
        <v>5127</v>
      </c>
      <c r="AJ27" s="111">
        <f t="shared" si="15"/>
        <v>5127</v>
      </c>
      <c r="AK27" s="111" t="s">
        <v>767</v>
      </c>
    </row>
    <row r="28" spans="1:37" ht="15" x14ac:dyDescent="0.25">
      <c r="A28" s="354"/>
      <c r="B28" s="336" t="s">
        <v>534</v>
      </c>
      <c r="C28" s="276" t="str">
        <f>VLOOKUP(B28,'Cat. cuentas'!$A$1:$B$195,2,FALSE)</f>
        <v>FLETES PAGADOS POR COMPRAS</v>
      </c>
      <c r="D28" s="450"/>
      <c r="E28" s="450"/>
      <c r="F28" s="450"/>
      <c r="G28" s="450"/>
      <c r="H28" s="450"/>
      <c r="I28" s="450"/>
      <c r="J28" s="450"/>
      <c r="K28" s="450"/>
      <c r="L28" s="450"/>
      <c r="M28" s="450"/>
      <c r="N28" s="450"/>
      <c r="O28" s="450"/>
      <c r="P28" s="309">
        <f t="shared" si="1"/>
        <v>0</v>
      </c>
      <c r="R28" s="111" t="s">
        <v>762</v>
      </c>
      <c r="S28" s="277" t="str">
        <f t="shared" si="2"/>
        <v>0501153400</v>
      </c>
      <c r="T28" s="111" t="s">
        <v>786</v>
      </c>
      <c r="U28" s="585" t="s">
        <v>769</v>
      </c>
      <c r="V28" s="111">
        <v>2014</v>
      </c>
      <c r="W28" s="111" t="s">
        <v>770</v>
      </c>
      <c r="X28" s="111">
        <f t="shared" si="3"/>
        <v>0</v>
      </c>
      <c r="Y28" s="111">
        <f t="shared" si="4"/>
        <v>0</v>
      </c>
      <c r="Z28" s="111">
        <f t="shared" si="5"/>
        <v>0</v>
      </c>
      <c r="AA28" s="111">
        <f t="shared" si="6"/>
        <v>0</v>
      </c>
      <c r="AB28" s="111">
        <f t="shared" si="7"/>
        <v>0</v>
      </c>
      <c r="AC28" s="111">
        <f t="shared" si="8"/>
        <v>0</v>
      </c>
      <c r="AD28" s="111">
        <f t="shared" si="9"/>
        <v>0</v>
      </c>
      <c r="AE28" s="111">
        <f t="shared" si="10"/>
        <v>0</v>
      </c>
      <c r="AF28" s="111">
        <f t="shared" si="11"/>
        <v>0</v>
      </c>
      <c r="AG28" s="111">
        <f t="shared" si="12"/>
        <v>0</v>
      </c>
      <c r="AH28" s="111">
        <f t="shared" si="13"/>
        <v>0</v>
      </c>
      <c r="AI28" s="111">
        <f t="shared" si="14"/>
        <v>0</v>
      </c>
      <c r="AJ28" s="111">
        <f t="shared" si="15"/>
        <v>0</v>
      </c>
      <c r="AK28" s="111" t="s">
        <v>767</v>
      </c>
    </row>
    <row r="29" spans="1:37" ht="15" x14ac:dyDescent="0.25">
      <c r="A29" s="354"/>
      <c r="B29" s="336" t="s">
        <v>419</v>
      </c>
      <c r="C29" s="276" t="str">
        <f>VLOOKUP(B29,'Cat. cuentas'!$A$1:$B$195,2,FALSE)</f>
        <v>INSUMOS DE MANTENIMIENTO</v>
      </c>
      <c r="D29" s="452"/>
      <c r="E29" s="452"/>
      <c r="F29" s="452"/>
      <c r="G29" s="452"/>
      <c r="H29" s="452"/>
      <c r="I29" s="452"/>
      <c r="J29" s="452"/>
      <c r="K29" s="452"/>
      <c r="L29" s="452"/>
      <c r="M29" s="452"/>
      <c r="N29" s="452"/>
      <c r="O29" s="452"/>
      <c r="P29" s="309">
        <f t="shared" si="1"/>
        <v>0</v>
      </c>
      <c r="R29" s="111" t="s">
        <v>762</v>
      </c>
      <c r="S29" s="277" t="str">
        <f t="shared" si="2"/>
        <v>0501060900</v>
      </c>
      <c r="T29" s="111" t="s">
        <v>786</v>
      </c>
      <c r="U29" s="585" t="s">
        <v>769</v>
      </c>
      <c r="V29" s="111">
        <v>2014</v>
      </c>
      <c r="W29" s="111" t="s">
        <v>770</v>
      </c>
      <c r="X29" s="111">
        <f t="shared" si="3"/>
        <v>0</v>
      </c>
      <c r="Y29" s="111">
        <f t="shared" si="4"/>
        <v>0</v>
      </c>
      <c r="Z29" s="111">
        <f t="shared" si="5"/>
        <v>0</v>
      </c>
      <c r="AA29" s="111">
        <f t="shared" si="6"/>
        <v>0</v>
      </c>
      <c r="AB29" s="111">
        <f t="shared" si="7"/>
        <v>0</v>
      </c>
      <c r="AC29" s="111">
        <f t="shared" si="8"/>
        <v>0</v>
      </c>
      <c r="AD29" s="111">
        <f t="shared" si="9"/>
        <v>0</v>
      </c>
      <c r="AE29" s="111">
        <f t="shared" si="10"/>
        <v>0</v>
      </c>
      <c r="AF29" s="111">
        <f t="shared" si="11"/>
        <v>0</v>
      </c>
      <c r="AG29" s="111">
        <f t="shared" si="12"/>
        <v>0</v>
      </c>
      <c r="AH29" s="111">
        <f t="shared" si="13"/>
        <v>0</v>
      </c>
      <c r="AI29" s="111">
        <f t="shared" si="14"/>
        <v>0</v>
      </c>
      <c r="AJ29" s="111">
        <f t="shared" si="15"/>
        <v>0</v>
      </c>
      <c r="AK29" s="111" t="s">
        <v>767</v>
      </c>
    </row>
    <row r="30" spans="1:37" ht="15" x14ac:dyDescent="0.25">
      <c r="A30" s="354"/>
      <c r="B30" s="336" t="s">
        <v>536</v>
      </c>
      <c r="C30" s="276" t="str">
        <f>VLOOKUP(B30,'Cat. cuentas'!$A$1:$B$195,2,FALSE)</f>
        <v>MANIOBRAS DE ARRASTRE</v>
      </c>
      <c r="D30" s="450"/>
      <c r="E30" s="450"/>
      <c r="F30" s="450"/>
      <c r="G30" s="450"/>
      <c r="H30" s="450"/>
      <c r="I30" s="450"/>
      <c r="J30" s="450"/>
      <c r="K30" s="450"/>
      <c r="L30" s="450"/>
      <c r="M30" s="450"/>
      <c r="N30" s="450"/>
      <c r="O30" s="450"/>
      <c r="P30" s="316">
        <f t="shared" si="1"/>
        <v>0</v>
      </c>
      <c r="R30" s="111" t="s">
        <v>762</v>
      </c>
      <c r="S30" s="277" t="str">
        <f t="shared" si="2"/>
        <v>0501153500</v>
      </c>
      <c r="T30" s="111" t="s">
        <v>786</v>
      </c>
      <c r="U30" s="585" t="s">
        <v>769</v>
      </c>
      <c r="V30" s="111">
        <v>2014</v>
      </c>
      <c r="W30" s="111" t="s">
        <v>770</v>
      </c>
      <c r="X30" s="111">
        <f t="shared" si="3"/>
        <v>0</v>
      </c>
      <c r="Y30" s="111">
        <f t="shared" si="4"/>
        <v>0</v>
      </c>
      <c r="Z30" s="111">
        <f t="shared" si="5"/>
        <v>0</v>
      </c>
      <c r="AA30" s="111">
        <f t="shared" si="6"/>
        <v>0</v>
      </c>
      <c r="AB30" s="111">
        <f t="shared" si="7"/>
        <v>0</v>
      </c>
      <c r="AC30" s="111">
        <f t="shared" si="8"/>
        <v>0</v>
      </c>
      <c r="AD30" s="111">
        <f t="shared" si="9"/>
        <v>0</v>
      </c>
      <c r="AE30" s="111">
        <f t="shared" si="10"/>
        <v>0</v>
      </c>
      <c r="AF30" s="111">
        <f t="shared" si="11"/>
        <v>0</v>
      </c>
      <c r="AG30" s="111">
        <f t="shared" si="12"/>
        <v>0</v>
      </c>
      <c r="AH30" s="111">
        <f t="shared" si="13"/>
        <v>0</v>
      </c>
      <c r="AI30" s="111">
        <f t="shared" si="14"/>
        <v>0</v>
      </c>
      <c r="AJ30" s="111">
        <f t="shared" si="15"/>
        <v>0</v>
      </c>
      <c r="AK30" s="111" t="s">
        <v>767</v>
      </c>
    </row>
    <row r="31" spans="1:37" ht="15" x14ac:dyDescent="0.25">
      <c r="A31" s="349" t="s">
        <v>310</v>
      </c>
      <c r="B31" s="469" t="s">
        <v>291</v>
      </c>
      <c r="C31" s="276" t="str">
        <f>VLOOKUP(B31,'Cat. cuentas'!$A$1:$B$195,2,FALSE)</f>
        <v>FACILIDADES ADMINISTRATIVAS</v>
      </c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09"/>
      <c r="P31" s="309">
        <f t="shared" si="1"/>
        <v>0</v>
      </c>
      <c r="R31" s="111" t="s">
        <v>762</v>
      </c>
      <c r="S31" s="277" t="str">
        <f t="shared" si="2"/>
        <v>0501170600</v>
      </c>
      <c r="T31" s="111" t="s">
        <v>786</v>
      </c>
      <c r="U31" s="585" t="s">
        <v>769</v>
      </c>
      <c r="V31" s="111">
        <v>2014</v>
      </c>
      <c r="W31" s="111" t="s">
        <v>770</v>
      </c>
      <c r="X31" s="111">
        <f t="shared" si="3"/>
        <v>0</v>
      </c>
      <c r="Y31" s="111">
        <f t="shared" si="4"/>
        <v>0</v>
      </c>
      <c r="Z31" s="111">
        <f t="shared" si="5"/>
        <v>0</v>
      </c>
      <c r="AA31" s="111">
        <f t="shared" si="6"/>
        <v>0</v>
      </c>
      <c r="AB31" s="111">
        <f t="shared" si="7"/>
        <v>0</v>
      </c>
      <c r="AC31" s="111">
        <f t="shared" si="8"/>
        <v>0</v>
      </c>
      <c r="AD31" s="111">
        <f t="shared" si="9"/>
        <v>0</v>
      </c>
      <c r="AE31" s="111">
        <f t="shared" si="10"/>
        <v>0</v>
      </c>
      <c r="AF31" s="111">
        <f t="shared" si="11"/>
        <v>0</v>
      </c>
      <c r="AG31" s="111">
        <f t="shared" si="12"/>
        <v>0</v>
      </c>
      <c r="AH31" s="111">
        <f t="shared" si="13"/>
        <v>0</v>
      </c>
      <c r="AI31" s="111">
        <f t="shared" si="14"/>
        <v>0</v>
      </c>
      <c r="AJ31" s="111">
        <f t="shared" si="15"/>
        <v>0</v>
      </c>
      <c r="AK31" s="111" t="s">
        <v>767</v>
      </c>
    </row>
    <row r="32" spans="1:37" ht="15" x14ac:dyDescent="0.25">
      <c r="A32" s="350" t="s">
        <v>270</v>
      </c>
      <c r="B32" s="290"/>
      <c r="C32" s="292"/>
      <c r="D32" s="337">
        <f t="shared" ref="D32:O32" si="16">SUM(D13:D31)</f>
        <v>5126.88</v>
      </c>
      <c r="E32" s="337">
        <f t="shared" si="16"/>
        <v>5126.88</v>
      </c>
      <c r="F32" s="337">
        <f t="shared" si="16"/>
        <v>5126.88</v>
      </c>
      <c r="G32" s="337">
        <f t="shared" si="16"/>
        <v>5126.88</v>
      </c>
      <c r="H32" s="337">
        <f t="shared" si="16"/>
        <v>5126.88</v>
      </c>
      <c r="I32" s="337">
        <f t="shared" si="16"/>
        <v>5126.88</v>
      </c>
      <c r="J32" s="337">
        <f t="shared" si="16"/>
        <v>5126.88</v>
      </c>
      <c r="K32" s="337">
        <f t="shared" si="16"/>
        <v>5126.88</v>
      </c>
      <c r="L32" s="337">
        <f t="shared" si="16"/>
        <v>5126.88</v>
      </c>
      <c r="M32" s="337">
        <f t="shared" si="16"/>
        <v>5126.88</v>
      </c>
      <c r="N32" s="337">
        <f t="shared" si="16"/>
        <v>5126.88</v>
      </c>
      <c r="O32" s="337">
        <f t="shared" si="16"/>
        <v>5126.88</v>
      </c>
      <c r="P32" s="308">
        <f>SUM(P13:P31)</f>
        <v>61522.55999999999</v>
      </c>
      <c r="R32" s="111" t="s">
        <v>762</v>
      </c>
      <c r="S32" s="277">
        <f t="shared" si="2"/>
        <v>0</v>
      </c>
      <c r="T32" s="111" t="s">
        <v>786</v>
      </c>
      <c r="U32" s="585" t="s">
        <v>769</v>
      </c>
      <c r="V32" s="111">
        <v>2014</v>
      </c>
      <c r="W32" s="111" t="s">
        <v>770</v>
      </c>
      <c r="X32" s="111">
        <f t="shared" si="3"/>
        <v>61524</v>
      </c>
      <c r="Y32" s="111">
        <f t="shared" si="4"/>
        <v>5127</v>
      </c>
      <c r="Z32" s="111">
        <f t="shared" si="5"/>
        <v>5127</v>
      </c>
      <c r="AA32" s="111">
        <f t="shared" si="6"/>
        <v>5127</v>
      </c>
      <c r="AB32" s="111">
        <f t="shared" si="7"/>
        <v>5127</v>
      </c>
      <c r="AC32" s="111">
        <f t="shared" si="8"/>
        <v>5127</v>
      </c>
      <c r="AD32" s="111">
        <f t="shared" si="9"/>
        <v>5127</v>
      </c>
      <c r="AE32" s="111">
        <f t="shared" si="10"/>
        <v>5127</v>
      </c>
      <c r="AF32" s="111">
        <f t="shared" si="11"/>
        <v>5127</v>
      </c>
      <c r="AG32" s="111">
        <f t="shared" si="12"/>
        <v>5127</v>
      </c>
      <c r="AH32" s="111">
        <f t="shared" si="13"/>
        <v>5127</v>
      </c>
      <c r="AI32" s="111">
        <f t="shared" si="14"/>
        <v>5127</v>
      </c>
      <c r="AJ32" s="111">
        <f t="shared" si="15"/>
        <v>5127</v>
      </c>
      <c r="AK32" s="111" t="s">
        <v>767</v>
      </c>
    </row>
    <row r="33" spans="1:37" ht="15" x14ac:dyDescent="0.25">
      <c r="A33" s="350" t="s">
        <v>271</v>
      </c>
      <c r="B33" s="277"/>
      <c r="C33" s="111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309"/>
      <c r="R33" s="111" t="s">
        <v>762</v>
      </c>
      <c r="S33" s="277">
        <f t="shared" si="2"/>
        <v>0</v>
      </c>
      <c r="T33" s="111" t="s">
        <v>786</v>
      </c>
      <c r="U33" s="585" t="s">
        <v>769</v>
      </c>
      <c r="V33" s="111">
        <v>2014</v>
      </c>
      <c r="W33" s="111" t="s">
        <v>770</v>
      </c>
      <c r="X33" s="111">
        <f t="shared" si="3"/>
        <v>0</v>
      </c>
      <c r="Y33" s="111">
        <f t="shared" si="4"/>
        <v>0</v>
      </c>
      <c r="Z33" s="111">
        <f t="shared" si="5"/>
        <v>0</v>
      </c>
      <c r="AA33" s="111">
        <f t="shared" si="6"/>
        <v>0</v>
      </c>
      <c r="AB33" s="111">
        <f t="shared" si="7"/>
        <v>0</v>
      </c>
      <c r="AC33" s="111">
        <f t="shared" si="8"/>
        <v>0</v>
      </c>
      <c r="AD33" s="111">
        <f t="shared" si="9"/>
        <v>0</v>
      </c>
      <c r="AE33" s="111">
        <f t="shared" si="10"/>
        <v>0</v>
      </c>
      <c r="AF33" s="111">
        <f t="shared" si="11"/>
        <v>0</v>
      </c>
      <c r="AG33" s="111">
        <f t="shared" si="12"/>
        <v>0</v>
      </c>
      <c r="AH33" s="111">
        <f t="shared" si="13"/>
        <v>0</v>
      </c>
      <c r="AI33" s="111">
        <f t="shared" si="14"/>
        <v>0</v>
      </c>
      <c r="AJ33" s="111">
        <f t="shared" si="15"/>
        <v>0</v>
      </c>
      <c r="AK33" s="111" t="s">
        <v>767</v>
      </c>
    </row>
    <row r="34" spans="1:37" ht="15" x14ac:dyDescent="0.25">
      <c r="A34" s="349" t="s">
        <v>277</v>
      </c>
      <c r="B34" s="285" t="s">
        <v>290</v>
      </c>
      <c r="C34" s="276" t="str">
        <f>VLOOKUP(B34,'Cat. cuentas'!$A$1:$B$195,2,FALSE)</f>
        <v>TALACHAS</v>
      </c>
      <c r="D34" s="316">
        <f>'Gtos Mtto 2014'!D34/'Gtos Mtto 2014'!D$8*'Gtos Mtto 2014 (Otros)'!D$8</f>
        <v>576.4944679855281</v>
      </c>
      <c r="E34" s="316">
        <f>'Gtos Mtto 2014'!E34/'Gtos Mtto 2014'!E$8*'Gtos Mtto 2014 (Otros)'!E$8</f>
        <v>587.33941861244853</v>
      </c>
      <c r="F34" s="316">
        <f>'Gtos Mtto 2014'!F34/'Gtos Mtto 2014'!F$8*'Gtos Mtto 2014 (Otros)'!F$8</f>
        <v>573.43192355062979</v>
      </c>
      <c r="G34" s="316">
        <f>'Gtos Mtto 2014'!G34/'Gtos Mtto 2014'!G$8*'Gtos Mtto 2014 (Otros)'!G$8</f>
        <v>551.62085718715412</v>
      </c>
      <c r="H34" s="316">
        <f>'Gtos Mtto 2014'!H34/'Gtos Mtto 2014'!H$8*'Gtos Mtto 2014 (Otros)'!H$8</f>
        <v>566.93131874400115</v>
      </c>
      <c r="I34" s="316">
        <f>'Gtos Mtto 2014'!I34/'Gtos Mtto 2014'!I$8*'Gtos Mtto 2014 (Otros)'!I$8</f>
        <v>565.40800135122788</v>
      </c>
      <c r="J34" s="316">
        <f>'Gtos Mtto 2014'!J34/'Gtos Mtto 2014'!J$8*'Gtos Mtto 2014 (Otros)'!J$8</f>
        <v>535.38115369892182</v>
      </c>
      <c r="K34" s="316">
        <f>'Gtos Mtto 2014'!K34/'Gtos Mtto 2014'!K$8*'Gtos Mtto 2014 (Otros)'!K$8</f>
        <v>543.97520781870469</v>
      </c>
      <c r="L34" s="316">
        <f>'Gtos Mtto 2014'!L34/'Gtos Mtto 2014'!L$8*'Gtos Mtto 2014 (Otros)'!L$8</f>
        <v>595.44515328059276</v>
      </c>
      <c r="M34" s="316">
        <f>'Gtos Mtto 2014'!M34/'Gtos Mtto 2014'!M$8*'Gtos Mtto 2014 (Otros)'!M$8</f>
        <v>495.94887434066322</v>
      </c>
      <c r="N34" s="316">
        <f>'Gtos Mtto 2014'!N34/'Gtos Mtto 2014'!N$8*'Gtos Mtto 2014 (Otros)'!N$8</f>
        <v>539.34542029143495</v>
      </c>
      <c r="O34" s="316">
        <f>'Gtos Mtto 2014'!O34/'Gtos Mtto 2014'!O$8*'Gtos Mtto 2014 (Otros)'!O$8</f>
        <v>539.83805773095321</v>
      </c>
      <c r="P34" s="449">
        <f t="shared" ref="P34:P61" si="17">SUM(D34:O34)</f>
        <v>6671.1598545922598</v>
      </c>
      <c r="R34" s="111" t="s">
        <v>762</v>
      </c>
      <c r="S34" s="277" t="str">
        <f t="shared" si="2"/>
        <v>0501160500</v>
      </c>
      <c r="T34" s="111" t="s">
        <v>785</v>
      </c>
      <c r="U34" s="585" t="s">
        <v>769</v>
      </c>
      <c r="V34" s="111">
        <v>2014</v>
      </c>
      <c r="W34" s="111" t="s">
        <v>770</v>
      </c>
      <c r="X34" s="111">
        <f t="shared" si="3"/>
        <v>6669</v>
      </c>
      <c r="Y34" s="111">
        <f t="shared" si="4"/>
        <v>576</v>
      </c>
      <c r="Z34" s="111">
        <f t="shared" si="5"/>
        <v>587</v>
      </c>
      <c r="AA34" s="111">
        <f t="shared" si="6"/>
        <v>573</v>
      </c>
      <c r="AB34" s="111">
        <f t="shared" si="7"/>
        <v>552</v>
      </c>
      <c r="AC34" s="111">
        <f t="shared" si="8"/>
        <v>567</v>
      </c>
      <c r="AD34" s="111">
        <f t="shared" si="9"/>
        <v>565</v>
      </c>
      <c r="AE34" s="111">
        <f t="shared" si="10"/>
        <v>535</v>
      </c>
      <c r="AF34" s="111">
        <f t="shared" si="11"/>
        <v>544</v>
      </c>
      <c r="AG34" s="111">
        <f t="shared" si="12"/>
        <v>595</v>
      </c>
      <c r="AH34" s="111">
        <f t="shared" si="13"/>
        <v>496</v>
      </c>
      <c r="AI34" s="111">
        <f t="shared" si="14"/>
        <v>539</v>
      </c>
      <c r="AJ34" s="111">
        <f t="shared" si="15"/>
        <v>540</v>
      </c>
      <c r="AK34" s="111" t="s">
        <v>767</v>
      </c>
    </row>
    <row r="35" spans="1:37" ht="15" x14ac:dyDescent="0.25">
      <c r="A35" s="349" t="s">
        <v>311</v>
      </c>
      <c r="B35" s="312" t="s">
        <v>312</v>
      </c>
      <c r="C35" s="276" t="str">
        <f>VLOOKUP(B35,'Cat. cuentas'!$A$1:$B$195,2,FALSE)</f>
        <v>REPARACION TALLERES EXTERNOS</v>
      </c>
      <c r="D35" s="316">
        <f>'Gtos Mtto 2014'!D35/'Gtos Mtto 2014'!D$8*'Gtos Mtto 2014 (Otros)'!D$8</f>
        <v>17968.275322740701</v>
      </c>
      <c r="E35" s="316">
        <f>'Gtos Mtto 2014'!E35/'Gtos Mtto 2014'!E$8*'Gtos Mtto 2014 (Otros)'!E$8</f>
        <v>18027.970589593653</v>
      </c>
      <c r="F35" s="316">
        <f>'Gtos Mtto 2014'!F35/'Gtos Mtto 2014'!F$8*'Gtos Mtto 2014 (Otros)'!F$8</f>
        <v>18087.665856446616</v>
      </c>
      <c r="G35" s="316">
        <f>'Gtos Mtto 2014'!G35/'Gtos Mtto 2014'!G$8*'Gtos Mtto 2014 (Otros)'!G$8</f>
        <v>18147.361123299579</v>
      </c>
      <c r="H35" s="316">
        <f>'Gtos Mtto 2014'!H35/'Gtos Mtto 2014'!H$8*'Gtos Mtto 2014 (Otros)'!H$8</f>
        <v>18207.056390152535</v>
      </c>
      <c r="I35" s="316">
        <f>'Gtos Mtto 2014'!I35/'Gtos Mtto 2014'!I$8*'Gtos Mtto 2014 (Otros)'!I$8</f>
        <v>18266.751657005498</v>
      </c>
      <c r="J35" s="316">
        <f>'Gtos Mtto 2014'!J35/'Gtos Mtto 2014'!J$8*'Gtos Mtto 2014 (Otros)'!J$8</f>
        <v>18326.446923858453</v>
      </c>
      <c r="K35" s="316">
        <f>'Gtos Mtto 2014'!K35/'Gtos Mtto 2014'!K$8*'Gtos Mtto 2014 (Otros)'!K$8</f>
        <v>18386.142190711409</v>
      </c>
      <c r="L35" s="316">
        <f>'Gtos Mtto 2014'!L35/'Gtos Mtto 2014'!L$8*'Gtos Mtto 2014 (Otros)'!L$8</f>
        <v>18445.837457564376</v>
      </c>
      <c r="M35" s="316">
        <f>'Gtos Mtto 2014'!M35/'Gtos Mtto 2014'!M$8*'Gtos Mtto 2014 (Otros)'!M$8</f>
        <v>18505.532724417331</v>
      </c>
      <c r="N35" s="316">
        <f>'Gtos Mtto 2014'!N35/'Gtos Mtto 2014'!N$8*'Gtos Mtto 2014 (Otros)'!N$8</f>
        <v>18565.227991270294</v>
      </c>
      <c r="O35" s="316">
        <f>'Gtos Mtto 2014'!O35/'Gtos Mtto 2014'!O$8*'Gtos Mtto 2014 (Otros)'!O$8</f>
        <v>18624.92325812325</v>
      </c>
      <c r="P35" s="449">
        <f t="shared" si="17"/>
        <v>219559.19148518369</v>
      </c>
      <c r="R35" s="111" t="s">
        <v>762</v>
      </c>
      <c r="S35" s="277" t="str">
        <f t="shared" si="2"/>
        <v>0501154000</v>
      </c>
      <c r="T35" s="111" t="s">
        <v>785</v>
      </c>
      <c r="U35" s="585" t="s">
        <v>769</v>
      </c>
      <c r="V35" s="111">
        <v>2014</v>
      </c>
      <c r="W35" s="111" t="s">
        <v>770</v>
      </c>
      <c r="X35" s="111">
        <f t="shared" si="3"/>
        <v>219559</v>
      </c>
      <c r="Y35" s="111">
        <f t="shared" si="4"/>
        <v>17968</v>
      </c>
      <c r="Z35" s="111">
        <f t="shared" si="5"/>
        <v>18028</v>
      </c>
      <c r="AA35" s="111">
        <f t="shared" si="6"/>
        <v>18088</v>
      </c>
      <c r="AB35" s="111">
        <f t="shared" si="7"/>
        <v>18147</v>
      </c>
      <c r="AC35" s="111">
        <f t="shared" si="8"/>
        <v>18207</v>
      </c>
      <c r="AD35" s="111">
        <f t="shared" si="9"/>
        <v>18267</v>
      </c>
      <c r="AE35" s="111">
        <f t="shared" si="10"/>
        <v>18326</v>
      </c>
      <c r="AF35" s="111">
        <f t="shared" si="11"/>
        <v>18386</v>
      </c>
      <c r="AG35" s="111">
        <f t="shared" si="12"/>
        <v>18446</v>
      </c>
      <c r="AH35" s="111">
        <f t="shared" si="13"/>
        <v>18506</v>
      </c>
      <c r="AI35" s="111">
        <f t="shared" si="14"/>
        <v>18565</v>
      </c>
      <c r="AJ35" s="111">
        <f t="shared" si="15"/>
        <v>18625</v>
      </c>
      <c r="AK35" s="111" t="s">
        <v>767</v>
      </c>
    </row>
    <row r="36" spans="1:37" ht="15" x14ac:dyDescent="0.25">
      <c r="A36" s="349" t="s">
        <v>313</v>
      </c>
      <c r="B36" s="312" t="s">
        <v>315</v>
      </c>
      <c r="C36" s="276" t="str">
        <f>VLOOKUP(B36,'Cat. cuentas'!$A$1:$B$195,2,FALSE)</f>
        <v>MTTO PREVENTIVO TRACTOR</v>
      </c>
      <c r="D36" s="316">
        <f>'Gtos Mtto 2014'!D36/'Gtos Mtto 2014'!D$8*'Gtos Mtto 2014 (Otros)'!D$8</f>
        <v>22041.512110420615</v>
      </c>
      <c r="E36" s="316">
        <f>'Gtos Mtto 2014'!E36/'Gtos Mtto 2014'!E$8*'Gtos Mtto 2014 (Otros)'!E$8</f>
        <v>22114.739725405398</v>
      </c>
      <c r="F36" s="316">
        <f>'Gtos Mtto 2014'!F36/'Gtos Mtto 2014'!F$8*'Gtos Mtto 2014 (Otros)'!F$8</f>
        <v>22187.967340390183</v>
      </c>
      <c r="G36" s="316">
        <f>'Gtos Mtto 2014'!G36/'Gtos Mtto 2014'!G$8*'Gtos Mtto 2014 (Otros)'!G$8</f>
        <v>22261.194955374973</v>
      </c>
      <c r="H36" s="316">
        <f>'Gtos Mtto 2014'!H36/'Gtos Mtto 2014'!H$8*'Gtos Mtto 2014 (Otros)'!H$8</f>
        <v>22334.422570359755</v>
      </c>
      <c r="I36" s="316">
        <f>'Gtos Mtto 2014'!I36/'Gtos Mtto 2014'!I$8*'Gtos Mtto 2014 (Otros)'!I$8</f>
        <v>22407.650185344541</v>
      </c>
      <c r="J36" s="316">
        <f>'Gtos Mtto 2014'!J36/'Gtos Mtto 2014'!J$8*'Gtos Mtto 2014 (Otros)'!J$8</f>
        <v>22480.87780032933</v>
      </c>
      <c r="K36" s="316">
        <f>'Gtos Mtto 2014'!K36/'Gtos Mtto 2014'!K$8*'Gtos Mtto 2014 (Otros)'!K$8</f>
        <v>22554.105415314116</v>
      </c>
      <c r="L36" s="316">
        <f>'Gtos Mtto 2014'!L36/'Gtos Mtto 2014'!L$8*'Gtos Mtto 2014 (Otros)'!L$8</f>
        <v>22627.333030298902</v>
      </c>
      <c r="M36" s="316">
        <f>'Gtos Mtto 2014'!M36/'Gtos Mtto 2014'!M$8*'Gtos Mtto 2014 (Otros)'!M$8</f>
        <v>22700.560645283691</v>
      </c>
      <c r="N36" s="316">
        <f>'Gtos Mtto 2014'!N36/'Gtos Mtto 2014'!N$8*'Gtos Mtto 2014 (Otros)'!N$8</f>
        <v>22773.788260268469</v>
      </c>
      <c r="O36" s="316">
        <f>'Gtos Mtto 2014'!O36/'Gtos Mtto 2014'!O$8*'Gtos Mtto 2014 (Otros)'!O$8</f>
        <v>22847.015875253259</v>
      </c>
      <c r="P36" s="449">
        <f t="shared" si="17"/>
        <v>269331.16791404324</v>
      </c>
      <c r="R36" s="111" t="s">
        <v>762</v>
      </c>
      <c r="S36" s="277" t="str">
        <f t="shared" si="2"/>
        <v>0501150300</v>
      </c>
      <c r="T36" s="111" t="s">
        <v>785</v>
      </c>
      <c r="U36" s="585" t="s">
        <v>769</v>
      </c>
      <c r="V36" s="111">
        <v>2014</v>
      </c>
      <c r="W36" s="111" t="s">
        <v>770</v>
      </c>
      <c r="X36" s="111">
        <f t="shared" si="3"/>
        <v>269332</v>
      </c>
      <c r="Y36" s="111">
        <f t="shared" si="4"/>
        <v>22042</v>
      </c>
      <c r="Z36" s="111">
        <f t="shared" si="5"/>
        <v>22115</v>
      </c>
      <c r="AA36" s="111">
        <f t="shared" si="6"/>
        <v>22188</v>
      </c>
      <c r="AB36" s="111">
        <f t="shared" si="7"/>
        <v>22261</v>
      </c>
      <c r="AC36" s="111">
        <f t="shared" si="8"/>
        <v>22334</v>
      </c>
      <c r="AD36" s="111">
        <f t="shared" si="9"/>
        <v>22408</v>
      </c>
      <c r="AE36" s="111">
        <f t="shared" si="10"/>
        <v>22481</v>
      </c>
      <c r="AF36" s="111">
        <f t="shared" si="11"/>
        <v>22554</v>
      </c>
      <c r="AG36" s="111">
        <f t="shared" si="12"/>
        <v>22627</v>
      </c>
      <c r="AH36" s="111">
        <f t="shared" si="13"/>
        <v>22701</v>
      </c>
      <c r="AI36" s="111">
        <f t="shared" si="14"/>
        <v>22774</v>
      </c>
      <c r="AJ36" s="111">
        <f t="shared" si="15"/>
        <v>22847</v>
      </c>
      <c r="AK36" s="111" t="s">
        <v>767</v>
      </c>
    </row>
    <row r="37" spans="1:37" ht="15" x14ac:dyDescent="0.25">
      <c r="A37" s="354" t="s">
        <v>316</v>
      </c>
      <c r="B37" s="336" t="s">
        <v>317</v>
      </c>
      <c r="C37" s="276" t="str">
        <f>VLOOKUP(B37,'Cat. cuentas'!$A$1:$B$195,2,FALSE)</f>
        <v>MTTO PREVENTIVO TOLVA</v>
      </c>
      <c r="D37" s="316">
        <f>'Gtos Mtto 2014'!D37/'Gtos Mtto 2014'!D$8*'Gtos Mtto 2014 (Otros)'!D$8</f>
        <v>1337.8959234300157</v>
      </c>
      <c r="E37" s="316">
        <f>'Gtos Mtto 2014'!E37/'Gtos Mtto 2014'!E$8*'Gtos Mtto 2014 (Otros)'!E$8</f>
        <v>1342.3407603849328</v>
      </c>
      <c r="F37" s="316">
        <f>'Gtos Mtto 2014'!F37/'Gtos Mtto 2014'!F$8*'Gtos Mtto 2014 (Otros)'!F$8</f>
        <v>1346.7855973398496</v>
      </c>
      <c r="G37" s="316">
        <f>'Gtos Mtto 2014'!G37/'Gtos Mtto 2014'!G$8*'Gtos Mtto 2014 (Otros)'!G$8</f>
        <v>1351.2304342947666</v>
      </c>
      <c r="H37" s="316">
        <f>'Gtos Mtto 2014'!H37/'Gtos Mtto 2014'!H$8*'Gtos Mtto 2014 (Otros)'!H$8</f>
        <v>1355.6752712496834</v>
      </c>
      <c r="I37" s="316">
        <f>'Gtos Mtto 2014'!I37/'Gtos Mtto 2014'!I$8*'Gtos Mtto 2014 (Otros)'!I$8</f>
        <v>1360.1201082046005</v>
      </c>
      <c r="J37" s="316">
        <f>'Gtos Mtto 2014'!J37/'Gtos Mtto 2014'!J$8*'Gtos Mtto 2014 (Otros)'!J$8</f>
        <v>1364.5649451595177</v>
      </c>
      <c r="K37" s="316">
        <f>'Gtos Mtto 2014'!K37/'Gtos Mtto 2014'!K$8*'Gtos Mtto 2014 (Otros)'!K$8</f>
        <v>1369.0097821144345</v>
      </c>
      <c r="L37" s="316">
        <f>'Gtos Mtto 2014'!L37/'Gtos Mtto 2014'!L$8*'Gtos Mtto 2014 (Otros)'!L$8</f>
        <v>1373.4546190693518</v>
      </c>
      <c r="M37" s="316">
        <f>'Gtos Mtto 2014'!M37/'Gtos Mtto 2014'!M$8*'Gtos Mtto 2014 (Otros)'!M$8</f>
        <v>1377.8994560242688</v>
      </c>
      <c r="N37" s="316">
        <f>'Gtos Mtto 2014'!N37/'Gtos Mtto 2014'!N$8*'Gtos Mtto 2014 (Otros)'!N$8</f>
        <v>1382.3442929791856</v>
      </c>
      <c r="O37" s="316">
        <f>'Gtos Mtto 2014'!O37/'Gtos Mtto 2014'!O$8*'Gtos Mtto 2014 (Otros)'!O$8</f>
        <v>1386.7891299341027</v>
      </c>
      <c r="P37" s="453">
        <f t="shared" si="17"/>
        <v>16348.110320184707</v>
      </c>
      <c r="R37" s="111" t="s">
        <v>762</v>
      </c>
      <c r="S37" s="277" t="str">
        <f t="shared" si="2"/>
        <v>0501150400</v>
      </c>
      <c r="T37" s="111" t="s">
        <v>785</v>
      </c>
      <c r="U37" s="585" t="s">
        <v>769</v>
      </c>
      <c r="V37" s="111">
        <v>2014</v>
      </c>
      <c r="W37" s="111" t="s">
        <v>770</v>
      </c>
      <c r="X37" s="111">
        <f t="shared" si="3"/>
        <v>16348</v>
      </c>
      <c r="Y37" s="111">
        <f t="shared" si="4"/>
        <v>1338</v>
      </c>
      <c r="Z37" s="111">
        <f t="shared" si="5"/>
        <v>1342</v>
      </c>
      <c r="AA37" s="111">
        <f t="shared" si="6"/>
        <v>1347</v>
      </c>
      <c r="AB37" s="111">
        <f t="shared" si="7"/>
        <v>1351</v>
      </c>
      <c r="AC37" s="111">
        <f t="shared" si="8"/>
        <v>1356</v>
      </c>
      <c r="AD37" s="111">
        <f t="shared" si="9"/>
        <v>1360</v>
      </c>
      <c r="AE37" s="111">
        <f t="shared" si="10"/>
        <v>1365</v>
      </c>
      <c r="AF37" s="111">
        <f t="shared" si="11"/>
        <v>1369</v>
      </c>
      <c r="AG37" s="111">
        <f t="shared" si="12"/>
        <v>1373</v>
      </c>
      <c r="AH37" s="111">
        <f t="shared" si="13"/>
        <v>1378</v>
      </c>
      <c r="AI37" s="111">
        <f t="shared" si="14"/>
        <v>1382</v>
      </c>
      <c r="AJ37" s="111">
        <f t="shared" si="15"/>
        <v>1387</v>
      </c>
      <c r="AK37" s="111" t="s">
        <v>767</v>
      </c>
    </row>
    <row r="38" spans="1:37" ht="15" x14ac:dyDescent="0.25">
      <c r="A38" s="354"/>
      <c r="B38" s="336" t="s">
        <v>318</v>
      </c>
      <c r="C38" s="276" t="str">
        <f>VLOOKUP(B38,'Cat. cuentas'!$A$1:$B$195,2,FALSE)</f>
        <v>MTTO. CUIDADO DE LA IMAGEN</v>
      </c>
      <c r="D38" s="316">
        <f>'Gtos Mtto 2014'!D38/'Gtos Mtto 2014'!D$8*'Gtos Mtto 2014 (Otros)'!D$8</f>
        <v>4245.4072055440593</v>
      </c>
      <c r="E38" s="316">
        <f>'Gtos Mtto 2014'!E38/'Gtos Mtto 2014'!E$8*'Gtos Mtto 2014 (Otros)'!E$8</f>
        <v>4259.5115484196212</v>
      </c>
      <c r="F38" s="316">
        <f>'Gtos Mtto 2014'!F38/'Gtos Mtto 2014'!F$8*'Gtos Mtto 2014 (Otros)'!F$8</f>
        <v>4273.6158912951823</v>
      </c>
      <c r="G38" s="316">
        <f>'Gtos Mtto 2014'!G38/'Gtos Mtto 2014'!G$8*'Gtos Mtto 2014 (Otros)'!G$8</f>
        <v>4287.7202341707443</v>
      </c>
      <c r="H38" s="316">
        <f>'Gtos Mtto 2014'!H38/'Gtos Mtto 2014'!H$8*'Gtos Mtto 2014 (Otros)'!H$8</f>
        <v>4301.8245770463054</v>
      </c>
      <c r="I38" s="316">
        <f>'Gtos Mtto 2014'!I38/'Gtos Mtto 2014'!I$8*'Gtos Mtto 2014 (Otros)'!I$8</f>
        <v>4315.9289199218674</v>
      </c>
      <c r="J38" s="316">
        <f>'Gtos Mtto 2014'!J38/'Gtos Mtto 2014'!J$8*'Gtos Mtto 2014 (Otros)'!J$8</f>
        <v>4330.0332627974285</v>
      </c>
      <c r="K38" s="316">
        <f>'Gtos Mtto 2014'!K38/'Gtos Mtto 2014'!K$8*'Gtos Mtto 2014 (Otros)'!K$8</f>
        <v>4344.1376056729896</v>
      </c>
      <c r="L38" s="316">
        <f>'Gtos Mtto 2014'!L38/'Gtos Mtto 2014'!L$8*'Gtos Mtto 2014 (Otros)'!L$8</f>
        <v>4358.2419485485516</v>
      </c>
      <c r="M38" s="316">
        <f>'Gtos Mtto 2014'!M38/'Gtos Mtto 2014'!M$8*'Gtos Mtto 2014 (Otros)'!M$8</f>
        <v>4372.3462914241145</v>
      </c>
      <c r="N38" s="316">
        <f>'Gtos Mtto 2014'!N38/'Gtos Mtto 2014'!N$8*'Gtos Mtto 2014 (Otros)'!N$8</f>
        <v>4386.4506342996747</v>
      </c>
      <c r="O38" s="316">
        <f>'Gtos Mtto 2014'!O38/'Gtos Mtto 2014'!O$8*'Gtos Mtto 2014 (Otros)'!O$8</f>
        <v>4400.5549771752367</v>
      </c>
      <c r="P38" s="453">
        <f t="shared" si="17"/>
        <v>51875.773096315774</v>
      </c>
      <c r="R38" s="111" t="s">
        <v>762</v>
      </c>
      <c r="S38" s="277" t="str">
        <f t="shared" si="2"/>
        <v>0501153800</v>
      </c>
      <c r="T38" s="111" t="s">
        <v>785</v>
      </c>
      <c r="U38" s="585" t="s">
        <v>769</v>
      </c>
      <c r="V38" s="111">
        <v>2014</v>
      </c>
      <c r="W38" s="111" t="s">
        <v>770</v>
      </c>
      <c r="X38" s="111">
        <f t="shared" si="3"/>
        <v>51876</v>
      </c>
      <c r="Y38" s="111">
        <f t="shared" si="4"/>
        <v>4245</v>
      </c>
      <c r="Z38" s="111">
        <f t="shared" si="5"/>
        <v>4260</v>
      </c>
      <c r="AA38" s="111">
        <f t="shared" si="6"/>
        <v>4274</v>
      </c>
      <c r="AB38" s="111">
        <f t="shared" si="7"/>
        <v>4288</v>
      </c>
      <c r="AC38" s="111">
        <f t="shared" si="8"/>
        <v>4302</v>
      </c>
      <c r="AD38" s="111">
        <f t="shared" si="9"/>
        <v>4316</v>
      </c>
      <c r="AE38" s="111">
        <f t="shared" si="10"/>
        <v>4330</v>
      </c>
      <c r="AF38" s="111">
        <f t="shared" si="11"/>
        <v>4344</v>
      </c>
      <c r="AG38" s="111">
        <f t="shared" si="12"/>
        <v>4358</v>
      </c>
      <c r="AH38" s="111">
        <f t="shared" si="13"/>
        <v>4372</v>
      </c>
      <c r="AI38" s="111">
        <f t="shared" si="14"/>
        <v>4386</v>
      </c>
      <c r="AJ38" s="111">
        <f t="shared" si="15"/>
        <v>4401</v>
      </c>
      <c r="AK38" s="111" t="s">
        <v>767</v>
      </c>
    </row>
    <row r="39" spans="1:37" ht="15" x14ac:dyDescent="0.25">
      <c r="A39" s="354"/>
      <c r="B39" s="336" t="s">
        <v>319</v>
      </c>
      <c r="C39" s="276" t="str">
        <f>VLOOKUP(B39,'Cat. cuentas'!$A$1:$B$195,2,FALSE)</f>
        <v>MTTO PREVENTIVO DOLLY</v>
      </c>
      <c r="D39" s="316">
        <f>'Gtos Mtto 2014'!D39/'Gtos Mtto 2014'!D$8*'Gtos Mtto 2014 (Otros)'!D$8</f>
        <v>6979.9552702119381</v>
      </c>
      <c r="E39" s="316">
        <f>'Gtos Mtto 2014'!E39/'Gtos Mtto 2014'!E$8*'Gtos Mtto 2014 (Otros)'!E$8</f>
        <v>7003.1444903787542</v>
      </c>
      <c r="F39" s="316">
        <f>'Gtos Mtto 2014'!F39/'Gtos Mtto 2014'!F$8*'Gtos Mtto 2014 (Otros)'!F$8</f>
        <v>7026.3337105455703</v>
      </c>
      <c r="G39" s="316">
        <f>'Gtos Mtto 2014'!G39/'Gtos Mtto 2014'!G$8*'Gtos Mtto 2014 (Otros)'!G$8</f>
        <v>7049.5229307123891</v>
      </c>
      <c r="H39" s="316">
        <f>'Gtos Mtto 2014'!H39/'Gtos Mtto 2014'!H$8*'Gtos Mtto 2014 (Otros)'!H$8</f>
        <v>7072.7121508792052</v>
      </c>
      <c r="I39" s="316">
        <f>'Gtos Mtto 2014'!I39/'Gtos Mtto 2014'!I$8*'Gtos Mtto 2014 (Otros)'!I$8</f>
        <v>7095.9013710460231</v>
      </c>
      <c r="J39" s="316">
        <f>'Gtos Mtto 2014'!J39/'Gtos Mtto 2014'!J$8*'Gtos Mtto 2014 (Otros)'!J$8</f>
        <v>7119.090591212841</v>
      </c>
      <c r="K39" s="316">
        <f>'Gtos Mtto 2014'!K39/'Gtos Mtto 2014'!K$8*'Gtos Mtto 2014 (Otros)'!K$8</f>
        <v>7142.2798113796571</v>
      </c>
      <c r="L39" s="316">
        <f>'Gtos Mtto 2014'!L39/'Gtos Mtto 2014'!L$8*'Gtos Mtto 2014 (Otros)'!L$8</f>
        <v>7165.4690315464741</v>
      </c>
      <c r="M39" s="316">
        <f>'Gtos Mtto 2014'!M39/'Gtos Mtto 2014'!M$8*'Gtos Mtto 2014 (Otros)'!M$8</f>
        <v>7188.658251713292</v>
      </c>
      <c r="N39" s="316">
        <f>'Gtos Mtto 2014'!N39/'Gtos Mtto 2014'!N$8*'Gtos Mtto 2014 (Otros)'!N$8</f>
        <v>7211.8474718801081</v>
      </c>
      <c r="O39" s="316">
        <f>'Gtos Mtto 2014'!O39/'Gtos Mtto 2014'!O$8*'Gtos Mtto 2014 (Otros)'!O$8</f>
        <v>7235.036692046926</v>
      </c>
      <c r="P39" s="453">
        <f t="shared" si="17"/>
        <v>85289.95177355317</v>
      </c>
      <c r="R39" s="111" t="s">
        <v>762</v>
      </c>
      <c r="S39" s="277" t="str">
        <f t="shared" si="2"/>
        <v>0501150800</v>
      </c>
      <c r="T39" s="111" t="s">
        <v>785</v>
      </c>
      <c r="U39" s="585" t="s">
        <v>769</v>
      </c>
      <c r="V39" s="111">
        <v>2014</v>
      </c>
      <c r="W39" s="111" t="s">
        <v>770</v>
      </c>
      <c r="X39" s="111">
        <f t="shared" si="3"/>
        <v>85290</v>
      </c>
      <c r="Y39" s="111">
        <f t="shared" si="4"/>
        <v>6980</v>
      </c>
      <c r="Z39" s="111">
        <f t="shared" si="5"/>
        <v>7003</v>
      </c>
      <c r="AA39" s="111">
        <f t="shared" si="6"/>
        <v>7026</v>
      </c>
      <c r="AB39" s="111">
        <f t="shared" si="7"/>
        <v>7050</v>
      </c>
      <c r="AC39" s="111">
        <f t="shared" si="8"/>
        <v>7073</v>
      </c>
      <c r="AD39" s="111">
        <f t="shared" si="9"/>
        <v>7096</v>
      </c>
      <c r="AE39" s="111">
        <f t="shared" si="10"/>
        <v>7119</v>
      </c>
      <c r="AF39" s="111">
        <f t="shared" si="11"/>
        <v>7142</v>
      </c>
      <c r="AG39" s="111">
        <f t="shared" si="12"/>
        <v>7165</v>
      </c>
      <c r="AH39" s="111">
        <f t="shared" si="13"/>
        <v>7189</v>
      </c>
      <c r="AI39" s="111">
        <f t="shared" si="14"/>
        <v>7212</v>
      </c>
      <c r="AJ39" s="111">
        <f t="shared" si="15"/>
        <v>7235</v>
      </c>
      <c r="AK39" s="111" t="s">
        <v>767</v>
      </c>
    </row>
    <row r="40" spans="1:37" ht="15" x14ac:dyDescent="0.25">
      <c r="A40" s="354"/>
      <c r="B40" s="336" t="s">
        <v>486</v>
      </c>
      <c r="C40" s="276" t="str">
        <f>VLOOKUP(B40,'Cat. cuentas'!$A$1:$B$195,2,FALSE)</f>
        <v>MTTO PREVENTIVO CAJA SECA</v>
      </c>
      <c r="D40" s="316">
        <f>'Gtos Mtto 2014'!D40/'Gtos Mtto 2014'!D$8*'Gtos Mtto 2014 (Otros)'!D$8</f>
        <v>773.34834123514872</v>
      </c>
      <c r="E40" s="316">
        <f>'Gtos Mtto 2014'!E40/'Gtos Mtto 2014'!E$8*'Gtos Mtto 2014 (Otros)'!E$8</f>
        <v>794.67599632286488</v>
      </c>
      <c r="F40" s="316">
        <f>'Gtos Mtto 2014'!F40/'Gtos Mtto 2014'!F$8*'Gtos Mtto 2014 (Otros)'!F$8</f>
        <v>771.12793290670197</v>
      </c>
      <c r="G40" s="316">
        <f>'Gtos Mtto 2014'!G40/'Gtos Mtto 2014'!G$8*'Gtos Mtto 2014 (Otros)'!G$8</f>
        <v>732.99095384630118</v>
      </c>
      <c r="H40" s="316">
        <f>'Gtos Mtto 2014'!H40/'Gtos Mtto 2014'!H$8*'Gtos Mtto 2014 (Otros)'!H$8</f>
        <v>762.51872643445472</v>
      </c>
      <c r="I40" s="316">
        <f>'Gtos Mtto 2014'!I40/'Gtos Mtto 2014'!I$8*'Gtos Mtto 2014 (Otros)'!I$8</f>
        <v>761.31749476051334</v>
      </c>
      <c r="J40" s="316">
        <f>'Gtos Mtto 2014'!J40/'Gtos Mtto 2014'!J$8*'Gtos Mtto 2014 (Otros)'!J$8</f>
        <v>707.58856889052527</v>
      </c>
      <c r="K40" s="316">
        <f>'Gtos Mtto 2014'!K40/'Gtos Mtto 2014'!K$8*'Gtos Mtto 2014 (Otros)'!K$8</f>
        <v>724.86483567425535</v>
      </c>
      <c r="L40" s="316">
        <f>'Gtos Mtto 2014'!L40/'Gtos Mtto 2014'!L$8*'Gtos Mtto 2014 (Otros)'!L$8</f>
        <v>821.73022200641185</v>
      </c>
      <c r="M40" s="316">
        <f>'Gtos Mtto 2014'!M40/'Gtos Mtto 2014'!M$8*'Gtos Mtto 2014 (Otros)'!M$8</f>
        <v>638.41015864745589</v>
      </c>
      <c r="N40" s="316">
        <f>'Gtos Mtto 2014'!N40/'Gtos Mtto 2014'!N$8*'Gtos Mtto 2014 (Otros)'!N$8</f>
        <v>720.52823953799543</v>
      </c>
      <c r="O40" s="316">
        <f>'Gtos Mtto 2014'!O40/'Gtos Mtto 2014'!O$8*'Gtos Mtto 2014 (Otros)'!O$8</f>
        <v>722.84505059760306</v>
      </c>
      <c r="P40" s="453">
        <f>SUM(D40:O40)</f>
        <v>8931.9465208602323</v>
      </c>
      <c r="R40" s="111" t="s">
        <v>762</v>
      </c>
      <c r="S40" s="277" t="str">
        <f t="shared" si="2"/>
        <v>0501150600</v>
      </c>
      <c r="T40" s="111" t="s">
        <v>785</v>
      </c>
      <c r="U40" s="585" t="s">
        <v>769</v>
      </c>
      <c r="V40" s="111">
        <v>2014</v>
      </c>
      <c r="W40" s="111" t="s">
        <v>770</v>
      </c>
      <c r="X40" s="111">
        <f t="shared" si="3"/>
        <v>8933</v>
      </c>
      <c r="Y40" s="111">
        <f t="shared" si="4"/>
        <v>773</v>
      </c>
      <c r="Z40" s="111">
        <f t="shared" si="5"/>
        <v>795</v>
      </c>
      <c r="AA40" s="111">
        <f t="shared" si="6"/>
        <v>771</v>
      </c>
      <c r="AB40" s="111">
        <f t="shared" si="7"/>
        <v>733</v>
      </c>
      <c r="AC40" s="111">
        <f t="shared" si="8"/>
        <v>763</v>
      </c>
      <c r="AD40" s="111">
        <f t="shared" si="9"/>
        <v>761</v>
      </c>
      <c r="AE40" s="111">
        <f t="shared" si="10"/>
        <v>708</v>
      </c>
      <c r="AF40" s="111">
        <f t="shared" si="11"/>
        <v>725</v>
      </c>
      <c r="AG40" s="111">
        <f t="shared" si="12"/>
        <v>822</v>
      </c>
      <c r="AH40" s="111">
        <f t="shared" si="13"/>
        <v>638</v>
      </c>
      <c r="AI40" s="111">
        <f t="shared" si="14"/>
        <v>721</v>
      </c>
      <c r="AJ40" s="111">
        <f t="shared" si="15"/>
        <v>723</v>
      </c>
      <c r="AK40" s="111" t="s">
        <v>767</v>
      </c>
    </row>
    <row r="41" spans="1:37" ht="15" x14ac:dyDescent="0.25">
      <c r="A41" s="354"/>
      <c r="B41" s="336" t="s">
        <v>488</v>
      </c>
      <c r="C41" s="276" t="str">
        <f>VLOOKUP(B41,'Cat. cuentas'!$A$1:$B$195,2,FALSE)</f>
        <v>MTTO PREVENTIVO PLANA</v>
      </c>
      <c r="D41" s="316">
        <f>'Gtos Mtto 2014'!D41/'Gtos Mtto 2014'!D$8*'Gtos Mtto 2014 (Otros)'!D$8</f>
        <v>2094.485090845194</v>
      </c>
      <c r="E41" s="316">
        <f>'Gtos Mtto 2014'!E41/'Gtos Mtto 2014'!E$8*'Gtos Mtto 2014 (Otros)'!E$8</f>
        <v>2152.2474900410925</v>
      </c>
      <c r="F41" s="316">
        <f>'Gtos Mtto 2014'!F41/'Gtos Mtto 2014'!F$8*'Gtos Mtto 2014 (Otros)'!F$8</f>
        <v>2088.4714849556512</v>
      </c>
      <c r="G41" s="316">
        <f>'Gtos Mtto 2014'!G41/'Gtos Mtto 2014'!G$8*'Gtos Mtto 2014 (Otros)'!G$8</f>
        <v>1985.1838333337321</v>
      </c>
      <c r="H41" s="316">
        <f>'Gtos Mtto 2014'!H41/'Gtos Mtto 2014'!H$8*'Gtos Mtto 2014 (Otros)'!H$8</f>
        <v>2065.1548840933151</v>
      </c>
      <c r="I41" s="316">
        <f>'Gtos Mtto 2014'!I41/'Gtos Mtto 2014'!I$8*'Gtos Mtto 2014 (Otros)'!I$8</f>
        <v>2061.9015483097237</v>
      </c>
      <c r="J41" s="316">
        <f>'Gtos Mtto 2014'!J41/'Gtos Mtto 2014'!J$8*'Gtos Mtto 2014 (Otros)'!J$8</f>
        <v>1916.3857074118396</v>
      </c>
      <c r="K41" s="316">
        <f>'Gtos Mtto 2014'!K41/'Gtos Mtto 2014'!K$8*'Gtos Mtto 2014 (Otros)'!K$8</f>
        <v>1963.175596617775</v>
      </c>
      <c r="L41" s="316">
        <f>'Gtos Mtto 2014'!L41/'Gtos Mtto 2014'!L$8*'Gtos Mtto 2014 (Otros)'!L$8</f>
        <v>2225.5193512673654</v>
      </c>
      <c r="M41" s="316">
        <f>'Gtos Mtto 2014'!M41/'Gtos Mtto 2014'!M$8*'Gtos Mtto 2014 (Otros)'!M$8</f>
        <v>1729.0275130035263</v>
      </c>
      <c r="N41" s="316">
        <f>'Gtos Mtto 2014'!N41/'Gtos Mtto 2014'!N$8*'Gtos Mtto 2014 (Otros)'!N$8</f>
        <v>1951.4306487487374</v>
      </c>
      <c r="O41" s="316">
        <f>'Gtos Mtto 2014'!O41/'Gtos Mtto 2014'!O$8*'Gtos Mtto 2014 (Otros)'!O$8</f>
        <v>1957.7053453685085</v>
      </c>
      <c r="P41" s="453">
        <f>SUM(D41:O41)</f>
        <v>24190.688493996462</v>
      </c>
      <c r="R41" s="111" t="s">
        <v>762</v>
      </c>
      <c r="S41" s="277" t="str">
        <f t="shared" si="2"/>
        <v>0501150700</v>
      </c>
      <c r="T41" s="111" t="s">
        <v>785</v>
      </c>
      <c r="U41" s="585" t="s">
        <v>769</v>
      </c>
      <c r="V41" s="111">
        <v>2014</v>
      </c>
      <c r="W41" s="111" t="s">
        <v>770</v>
      </c>
      <c r="X41" s="111">
        <f t="shared" si="3"/>
        <v>24189</v>
      </c>
      <c r="Y41" s="111">
        <f t="shared" si="4"/>
        <v>2094</v>
      </c>
      <c r="Z41" s="111">
        <f t="shared" si="5"/>
        <v>2152</v>
      </c>
      <c r="AA41" s="111">
        <f t="shared" si="6"/>
        <v>2088</v>
      </c>
      <c r="AB41" s="111">
        <f t="shared" si="7"/>
        <v>1985</v>
      </c>
      <c r="AC41" s="111">
        <f t="shared" si="8"/>
        <v>2065</v>
      </c>
      <c r="AD41" s="111">
        <f t="shared" si="9"/>
        <v>2062</v>
      </c>
      <c r="AE41" s="111">
        <f t="shared" si="10"/>
        <v>1916</v>
      </c>
      <c r="AF41" s="111">
        <f t="shared" si="11"/>
        <v>1963</v>
      </c>
      <c r="AG41" s="111">
        <f t="shared" si="12"/>
        <v>2226</v>
      </c>
      <c r="AH41" s="111">
        <f t="shared" si="13"/>
        <v>1729</v>
      </c>
      <c r="AI41" s="111">
        <f t="shared" si="14"/>
        <v>1951</v>
      </c>
      <c r="AJ41" s="111">
        <f t="shared" si="15"/>
        <v>1958</v>
      </c>
      <c r="AK41" s="111" t="s">
        <v>767</v>
      </c>
    </row>
    <row r="42" spans="1:37" ht="15" x14ac:dyDescent="0.25">
      <c r="A42" s="354"/>
      <c r="B42" s="336" t="s">
        <v>484</v>
      </c>
      <c r="C42" s="276" t="str">
        <f>VLOOKUP(B42,'Cat. cuentas'!$A$1:$B$195,2,FALSE)</f>
        <v>MTTO PREVENTIVO CAJA VOLTEO</v>
      </c>
      <c r="D42" s="316">
        <f>'Gtos Mtto 2014'!D42/'Gtos Mtto 2014'!D$8*'Gtos Mtto 2014 (Otros)'!D$8</f>
        <v>3974.151198013958</v>
      </c>
      <c r="E42" s="316">
        <f>'Gtos Mtto 2014'!E42/'Gtos Mtto 2014'!E$8*'Gtos Mtto 2014 (Otros)'!E$8</f>
        <v>4083.7516477702784</v>
      </c>
      <c r="F42" s="316">
        <f>'Gtos Mtto 2014'!F42/'Gtos Mtto 2014'!F$8*'Gtos Mtto 2014 (Otros)'!F$8</f>
        <v>3962.7407663261074</v>
      </c>
      <c r="G42" s="316">
        <f>'Gtos Mtto 2014'!G42/'Gtos Mtto 2014'!G$8*'Gtos Mtto 2014 (Otros)'!G$8</f>
        <v>3766.7590683768253</v>
      </c>
      <c r="H42" s="316">
        <f>'Gtos Mtto 2014'!H42/'Gtos Mtto 2014'!H$8*'Gtos Mtto 2014 (Otros)'!H$8</f>
        <v>3918.4990108437255</v>
      </c>
      <c r="I42" s="316">
        <f>'Gtos Mtto 2014'!I42/'Gtos Mtto 2014'!I$8*'Gtos Mtto 2014 (Otros)'!I$8</f>
        <v>3912.3260147415272</v>
      </c>
      <c r="J42" s="316">
        <f>'Gtos Mtto 2014'!J42/'Gtos Mtto 2014'!J$8*'Gtos Mtto 2014 (Otros)'!J$8</f>
        <v>3636.2190345763106</v>
      </c>
      <c r="K42" s="316">
        <f>'Gtos Mtto 2014'!K42/'Gtos Mtto 2014'!K$8*'Gtos Mtto 2014 (Otros)'!K$8</f>
        <v>3724.9998499927005</v>
      </c>
      <c r="L42" s="316">
        <f>'Gtos Mtto 2014'!L42/'Gtos Mtto 2014'!L$8*'Gtos Mtto 2014 (Otros)'!L$8</f>
        <v>4222.7803075329493</v>
      </c>
      <c r="M42" s="316">
        <f>'Gtos Mtto 2014'!M42/'Gtos Mtto 2014'!M$8*'Gtos Mtto 2014 (Otros)'!M$8</f>
        <v>3280.7188708272029</v>
      </c>
      <c r="N42" s="316">
        <f>'Gtos Mtto 2014'!N42/'Gtos Mtto 2014'!N$8*'Gtos Mtto 2014 (Otros)'!N$8</f>
        <v>3702.7145642924761</v>
      </c>
      <c r="O42" s="316">
        <f>'Gtos Mtto 2014'!O42/'Gtos Mtto 2014'!O$8*'Gtos Mtto 2014 (Otros)'!O$8</f>
        <v>3714.6203989043493</v>
      </c>
      <c r="P42" s="453">
        <f>SUM(D42:O42)</f>
        <v>45900.280732198407</v>
      </c>
      <c r="R42" s="111" t="s">
        <v>762</v>
      </c>
      <c r="S42" s="277" t="str">
        <f t="shared" si="2"/>
        <v>0501150500</v>
      </c>
      <c r="T42" s="111" t="s">
        <v>785</v>
      </c>
      <c r="U42" s="585" t="s">
        <v>769</v>
      </c>
      <c r="V42" s="111">
        <v>2014</v>
      </c>
      <c r="W42" s="111" t="s">
        <v>770</v>
      </c>
      <c r="X42" s="111">
        <f t="shared" si="3"/>
        <v>45901</v>
      </c>
      <c r="Y42" s="111">
        <f t="shared" si="4"/>
        <v>3974</v>
      </c>
      <c r="Z42" s="111">
        <f t="shared" si="5"/>
        <v>4084</v>
      </c>
      <c r="AA42" s="111">
        <f t="shared" si="6"/>
        <v>3963</v>
      </c>
      <c r="AB42" s="111">
        <f t="shared" si="7"/>
        <v>3767</v>
      </c>
      <c r="AC42" s="111">
        <f t="shared" si="8"/>
        <v>3918</v>
      </c>
      <c r="AD42" s="111">
        <f t="shared" si="9"/>
        <v>3912</v>
      </c>
      <c r="AE42" s="111">
        <f t="shared" si="10"/>
        <v>3636</v>
      </c>
      <c r="AF42" s="111">
        <f t="shared" si="11"/>
        <v>3725</v>
      </c>
      <c r="AG42" s="111">
        <f t="shared" si="12"/>
        <v>4223</v>
      </c>
      <c r="AH42" s="111">
        <f t="shared" si="13"/>
        <v>3281</v>
      </c>
      <c r="AI42" s="111">
        <f t="shared" si="14"/>
        <v>3703</v>
      </c>
      <c r="AJ42" s="111">
        <f t="shared" si="15"/>
        <v>3715</v>
      </c>
      <c r="AK42" s="111" t="s">
        <v>767</v>
      </c>
    </row>
    <row r="43" spans="1:37" ht="15" x14ac:dyDescent="0.25">
      <c r="A43" s="349" t="s">
        <v>320</v>
      </c>
      <c r="B43" s="312" t="s">
        <v>322</v>
      </c>
      <c r="C43" s="276" t="str">
        <f>VLOOKUP(B43,'Cat. cuentas'!$A$1:$B$195,2,FALSE)</f>
        <v>MTTO CORRECTIVO TRACTOR</v>
      </c>
      <c r="D43" s="316">
        <f>'Gtos Mtto 2014'!D43/'Gtos Mtto 2014'!D$8*'Gtos Mtto 2014 (Otros)'!D$8</f>
        <v>30958.807507729252</v>
      </c>
      <c r="E43" s="316">
        <f>'Gtos Mtto 2014'!E43/'Gtos Mtto 2014'!E$8*'Gtos Mtto 2014 (Otros)'!E$8</f>
        <v>31061.660688818047</v>
      </c>
      <c r="F43" s="316">
        <f>'Gtos Mtto 2014'!F43/'Gtos Mtto 2014'!F$8*'Gtos Mtto 2014 (Otros)'!F$8</f>
        <v>31164.513869906848</v>
      </c>
      <c r="G43" s="316">
        <f>'Gtos Mtto 2014'!G43/'Gtos Mtto 2014'!G$8*'Gtos Mtto 2014 (Otros)'!G$8</f>
        <v>31267.367050995657</v>
      </c>
      <c r="H43" s="316">
        <f>'Gtos Mtto 2014'!H43/'Gtos Mtto 2014'!H$8*'Gtos Mtto 2014 (Otros)'!H$8</f>
        <v>31370.220232084459</v>
      </c>
      <c r="I43" s="316">
        <f>'Gtos Mtto 2014'!I43/'Gtos Mtto 2014'!I$8*'Gtos Mtto 2014 (Otros)'!I$8</f>
        <v>31473.073413173257</v>
      </c>
      <c r="J43" s="316">
        <f>'Gtos Mtto 2014'!J43/'Gtos Mtto 2014'!J$8*'Gtos Mtto 2014 (Otros)'!J$8</f>
        <v>31575.926594262062</v>
      </c>
      <c r="K43" s="316">
        <f>'Gtos Mtto 2014'!K43/'Gtos Mtto 2014'!K$8*'Gtos Mtto 2014 (Otros)'!K$8</f>
        <v>31678.779775350857</v>
      </c>
      <c r="L43" s="316">
        <f>'Gtos Mtto 2014'!L43/'Gtos Mtto 2014'!L$8*'Gtos Mtto 2014 (Otros)'!L$8</f>
        <v>31781.632956439662</v>
      </c>
      <c r="M43" s="316">
        <f>'Gtos Mtto 2014'!M43/'Gtos Mtto 2014'!M$8*'Gtos Mtto 2014 (Otros)'!M$8</f>
        <v>31884.48613752846</v>
      </c>
      <c r="N43" s="316">
        <f>'Gtos Mtto 2014'!N43/'Gtos Mtto 2014'!N$8*'Gtos Mtto 2014 (Otros)'!N$8</f>
        <v>31987.339318617262</v>
      </c>
      <c r="O43" s="316">
        <f>'Gtos Mtto 2014'!O43/'Gtos Mtto 2014'!O$8*'Gtos Mtto 2014 (Otros)'!O$8</f>
        <v>32090.192499706067</v>
      </c>
      <c r="P43" s="449">
        <f t="shared" si="17"/>
        <v>378294.00004461186</v>
      </c>
      <c r="R43" s="111" t="s">
        <v>762</v>
      </c>
      <c r="S43" s="277" t="str">
        <f t="shared" si="2"/>
        <v>0501151100</v>
      </c>
      <c r="T43" s="111" t="s">
        <v>785</v>
      </c>
      <c r="U43" s="585" t="s">
        <v>769</v>
      </c>
      <c r="V43" s="111">
        <v>2014</v>
      </c>
      <c r="W43" s="111" t="s">
        <v>770</v>
      </c>
      <c r="X43" s="111">
        <f t="shared" si="3"/>
        <v>378294</v>
      </c>
      <c r="Y43" s="111">
        <f t="shared" si="4"/>
        <v>30959</v>
      </c>
      <c r="Z43" s="111">
        <f t="shared" si="5"/>
        <v>31062</v>
      </c>
      <c r="AA43" s="111">
        <f t="shared" si="6"/>
        <v>31165</v>
      </c>
      <c r="AB43" s="111">
        <f t="shared" si="7"/>
        <v>31267</v>
      </c>
      <c r="AC43" s="111">
        <f t="shared" si="8"/>
        <v>31370</v>
      </c>
      <c r="AD43" s="111">
        <f t="shared" si="9"/>
        <v>31473</v>
      </c>
      <c r="AE43" s="111">
        <f t="shared" si="10"/>
        <v>31576</v>
      </c>
      <c r="AF43" s="111">
        <f t="shared" si="11"/>
        <v>31679</v>
      </c>
      <c r="AG43" s="111">
        <f t="shared" si="12"/>
        <v>31782</v>
      </c>
      <c r="AH43" s="111">
        <f t="shared" si="13"/>
        <v>31884</v>
      </c>
      <c r="AI43" s="111">
        <f t="shared" si="14"/>
        <v>31987</v>
      </c>
      <c r="AJ43" s="111">
        <f t="shared" si="15"/>
        <v>32090</v>
      </c>
      <c r="AK43" s="111" t="s">
        <v>767</v>
      </c>
    </row>
    <row r="44" spans="1:37" ht="15" x14ac:dyDescent="0.25">
      <c r="A44" s="349"/>
      <c r="B44" s="312" t="s">
        <v>323</v>
      </c>
      <c r="C44" s="276" t="str">
        <f>VLOOKUP(B44,'Cat. cuentas'!$A$1:$B$195,2,FALSE)</f>
        <v>AUXILIO CARRETERA TRACTOR</v>
      </c>
      <c r="D44" s="316">
        <f>'Gtos Mtto 2014'!D44/'Gtos Mtto 2014'!D$8*'Gtos Mtto 2014 (Otros)'!D$8</f>
        <v>1035.5231818094312</v>
      </c>
      <c r="E44" s="316">
        <f>'Gtos Mtto 2014'!E44/'Gtos Mtto 2014'!E$8*'Gtos Mtto 2014 (Otros)'!E$8</f>
        <v>1038.9634581609573</v>
      </c>
      <c r="F44" s="316">
        <f>'Gtos Mtto 2014'!F44/'Gtos Mtto 2014'!F$8*'Gtos Mtto 2014 (Otros)'!F$8</f>
        <v>1042.4037345124839</v>
      </c>
      <c r="G44" s="316">
        <f>'Gtos Mtto 2014'!G44/'Gtos Mtto 2014'!G$8*'Gtos Mtto 2014 (Otros)'!G$8</f>
        <v>1045.8440108640102</v>
      </c>
      <c r="H44" s="316">
        <f>'Gtos Mtto 2014'!H44/'Gtos Mtto 2014'!H$8*'Gtos Mtto 2014 (Otros)'!H$8</f>
        <v>1049.2842872155366</v>
      </c>
      <c r="I44" s="316">
        <f>'Gtos Mtto 2014'!I44/'Gtos Mtto 2014'!I$8*'Gtos Mtto 2014 (Otros)'!I$8</f>
        <v>1052.7245635670631</v>
      </c>
      <c r="J44" s="316">
        <f>'Gtos Mtto 2014'!J44/'Gtos Mtto 2014'!J$8*'Gtos Mtto 2014 (Otros)'!J$8</f>
        <v>1056.1648399185892</v>
      </c>
      <c r="K44" s="316">
        <f>'Gtos Mtto 2014'!K44/'Gtos Mtto 2014'!K$8*'Gtos Mtto 2014 (Otros)'!K$8</f>
        <v>1059.6051162701156</v>
      </c>
      <c r="L44" s="316">
        <f>'Gtos Mtto 2014'!L44/'Gtos Mtto 2014'!L$8*'Gtos Mtto 2014 (Otros)'!L$8</f>
        <v>1063.0453926216421</v>
      </c>
      <c r="M44" s="316">
        <f>'Gtos Mtto 2014'!M44/'Gtos Mtto 2014'!M$8*'Gtos Mtto 2014 (Otros)'!M$8</f>
        <v>1066.4856689731682</v>
      </c>
      <c r="N44" s="316">
        <f>'Gtos Mtto 2014'!N44/'Gtos Mtto 2014'!N$8*'Gtos Mtto 2014 (Otros)'!N$8</f>
        <v>1069.9259453246946</v>
      </c>
      <c r="O44" s="316">
        <f>'Gtos Mtto 2014'!O44/'Gtos Mtto 2014'!O$8*'Gtos Mtto 2014 (Otros)'!O$8</f>
        <v>1073.3662216762211</v>
      </c>
      <c r="P44" s="449">
        <f t="shared" si="17"/>
        <v>12653.336420913911</v>
      </c>
      <c r="R44" s="111" t="s">
        <v>762</v>
      </c>
      <c r="S44" s="277" t="str">
        <f t="shared" si="2"/>
        <v>0501152700</v>
      </c>
      <c r="T44" s="111" t="s">
        <v>785</v>
      </c>
      <c r="U44" s="585" t="s">
        <v>769</v>
      </c>
      <c r="V44" s="111">
        <v>2014</v>
      </c>
      <c r="W44" s="111" t="s">
        <v>770</v>
      </c>
      <c r="X44" s="111">
        <f t="shared" si="3"/>
        <v>12653</v>
      </c>
      <c r="Y44" s="111">
        <f t="shared" si="4"/>
        <v>1036</v>
      </c>
      <c r="Z44" s="111">
        <f t="shared" si="5"/>
        <v>1039</v>
      </c>
      <c r="AA44" s="111">
        <f t="shared" si="6"/>
        <v>1042</v>
      </c>
      <c r="AB44" s="111">
        <f t="shared" si="7"/>
        <v>1046</v>
      </c>
      <c r="AC44" s="111">
        <f t="shared" si="8"/>
        <v>1049</v>
      </c>
      <c r="AD44" s="111">
        <f t="shared" si="9"/>
        <v>1053</v>
      </c>
      <c r="AE44" s="111">
        <f t="shared" si="10"/>
        <v>1056</v>
      </c>
      <c r="AF44" s="111">
        <f t="shared" si="11"/>
        <v>1060</v>
      </c>
      <c r="AG44" s="111">
        <f t="shared" si="12"/>
        <v>1063</v>
      </c>
      <c r="AH44" s="111">
        <f t="shared" si="13"/>
        <v>1066</v>
      </c>
      <c r="AI44" s="111">
        <f t="shared" si="14"/>
        <v>1070</v>
      </c>
      <c r="AJ44" s="111">
        <f t="shared" si="15"/>
        <v>1073</v>
      </c>
      <c r="AK44" s="111" t="s">
        <v>767</v>
      </c>
    </row>
    <row r="45" spans="1:37" ht="15" x14ac:dyDescent="0.25">
      <c r="A45" s="349"/>
      <c r="B45" s="277" t="s">
        <v>532</v>
      </c>
      <c r="C45" s="276" t="str">
        <f>VLOOKUP(B45,'Cat. cuentas'!$A$1:$B$195,2,FALSE)</f>
        <v>AUXILIO CARR COMPR./SOPLADOR</v>
      </c>
      <c r="D45" s="316">
        <f>'Gtos Mtto 2014'!D45/'Gtos Mtto 2014'!D$8*'Gtos Mtto 2014 (Otros)'!D$8</f>
        <v>107.40949183821509</v>
      </c>
      <c r="E45" s="316">
        <f>'Gtos Mtto 2014'!E45/'Gtos Mtto 2014'!E$8*'Gtos Mtto 2014 (Otros)'!E$8</f>
        <v>110.37166615595348</v>
      </c>
      <c r="F45" s="316">
        <f>'Gtos Mtto 2014'!F45/'Gtos Mtto 2014'!F$8*'Gtos Mtto 2014 (Otros)'!F$8</f>
        <v>107.1011017925975</v>
      </c>
      <c r="G45" s="316">
        <f>'Gtos Mtto 2014'!G45/'Gtos Mtto 2014'!G$8*'Gtos Mtto 2014 (Otros)'!G$8</f>
        <v>101.8042991453196</v>
      </c>
      <c r="H45" s="316">
        <f>'Gtos Mtto 2014'!H45/'Gtos Mtto 2014'!H$8*'Gtos Mtto 2014 (Otros)'!H$8</f>
        <v>105.90537867145204</v>
      </c>
      <c r="I45" s="316">
        <f>'Gtos Mtto 2014'!I45/'Gtos Mtto 2014'!I$8*'Gtos Mtto 2014 (Otros)'!I$8</f>
        <v>105.7385409389602</v>
      </c>
      <c r="J45" s="316">
        <f>'Gtos Mtto 2014'!J45/'Gtos Mtto 2014'!J$8*'Gtos Mtto 2014 (Otros)'!J$8</f>
        <v>98.276190123684074</v>
      </c>
      <c r="K45" s="316">
        <f>'Gtos Mtto 2014'!K45/'Gtos Mtto 2014'!K$8*'Gtos Mtto 2014 (Otros)'!K$8</f>
        <v>100.67567162142433</v>
      </c>
      <c r="L45" s="316">
        <f>'Gtos Mtto 2014'!L45/'Gtos Mtto 2014'!L$8*'Gtos Mtto 2014 (Otros)'!L$8</f>
        <v>114.12919750089054</v>
      </c>
      <c r="M45" s="316">
        <f>'Gtos Mtto 2014'!M45/'Gtos Mtto 2014'!M$8*'Gtos Mtto 2014 (Otros)'!M$8</f>
        <v>88.668077589924422</v>
      </c>
      <c r="N45" s="316">
        <f>'Gtos Mtto 2014'!N45/'Gtos Mtto 2014'!N$8*'Gtos Mtto 2014 (Otros)'!N$8</f>
        <v>100.07336660249935</v>
      </c>
      <c r="O45" s="316">
        <f>'Gtos Mtto 2014'!O45/'Gtos Mtto 2014'!O$8*'Gtos Mtto 2014 (Otros)'!O$8</f>
        <v>100.39514591633376</v>
      </c>
      <c r="P45" s="449">
        <f t="shared" si="17"/>
        <v>1240.5481278972545</v>
      </c>
      <c r="R45" s="111" t="s">
        <v>762</v>
      </c>
      <c r="S45" s="277" t="str">
        <f t="shared" si="2"/>
        <v>0501153300</v>
      </c>
      <c r="T45" s="111" t="s">
        <v>785</v>
      </c>
      <c r="U45" s="585" t="s">
        <v>769</v>
      </c>
      <c r="V45" s="111">
        <v>2014</v>
      </c>
      <c r="W45" s="111" t="s">
        <v>770</v>
      </c>
      <c r="X45" s="111">
        <f t="shared" si="3"/>
        <v>1240</v>
      </c>
      <c r="Y45" s="111">
        <f t="shared" si="4"/>
        <v>107</v>
      </c>
      <c r="Z45" s="111">
        <f t="shared" si="5"/>
        <v>110</v>
      </c>
      <c r="AA45" s="111">
        <f t="shared" si="6"/>
        <v>107</v>
      </c>
      <c r="AB45" s="111">
        <f t="shared" si="7"/>
        <v>102</v>
      </c>
      <c r="AC45" s="111">
        <f t="shared" si="8"/>
        <v>106</v>
      </c>
      <c r="AD45" s="111">
        <f t="shared" si="9"/>
        <v>106</v>
      </c>
      <c r="AE45" s="111">
        <f t="shared" si="10"/>
        <v>98</v>
      </c>
      <c r="AF45" s="111">
        <f t="shared" si="11"/>
        <v>101</v>
      </c>
      <c r="AG45" s="111">
        <f t="shared" si="12"/>
        <v>114</v>
      </c>
      <c r="AH45" s="111">
        <f t="shared" si="13"/>
        <v>89</v>
      </c>
      <c r="AI45" s="111">
        <f t="shared" si="14"/>
        <v>100</v>
      </c>
      <c r="AJ45" s="111">
        <f t="shared" si="15"/>
        <v>100</v>
      </c>
      <c r="AK45" s="111" t="s">
        <v>767</v>
      </c>
    </row>
    <row r="46" spans="1:37" ht="15" x14ac:dyDescent="0.25">
      <c r="A46" s="354" t="s">
        <v>324</v>
      </c>
      <c r="B46" s="336" t="s">
        <v>325</v>
      </c>
      <c r="C46" s="276" t="str">
        <f>VLOOKUP(B46,'Cat. cuentas'!$A$1:$B$195,2,FALSE)</f>
        <v>MTTO CORRECTIVO TOLVA</v>
      </c>
      <c r="D46" s="316">
        <f>'Gtos Mtto 2014'!D46/'Gtos Mtto 2014'!D$8*'Gtos Mtto 2014 (Otros)'!D$8</f>
        <v>13933.897676350965</v>
      </c>
      <c r="E46" s="316">
        <f>'Gtos Mtto 2014'!E46/'Gtos Mtto 2014'!E$8*'Gtos Mtto 2014 (Otros)'!E$8</f>
        <v>13980.189695209274</v>
      </c>
      <c r="F46" s="316">
        <f>'Gtos Mtto 2014'!F46/'Gtos Mtto 2014'!F$8*'Gtos Mtto 2014 (Otros)'!F$8</f>
        <v>14026.481714067584</v>
      </c>
      <c r="G46" s="316">
        <f>'Gtos Mtto 2014'!G46/'Gtos Mtto 2014'!G$8*'Gtos Mtto 2014 (Otros)'!G$8</f>
        <v>14072.773732925894</v>
      </c>
      <c r="H46" s="316">
        <f>'Gtos Mtto 2014'!H46/'Gtos Mtto 2014'!H$8*'Gtos Mtto 2014 (Otros)'!H$8</f>
        <v>14119.065751784199</v>
      </c>
      <c r="I46" s="316">
        <f>'Gtos Mtto 2014'!I46/'Gtos Mtto 2014'!I$8*'Gtos Mtto 2014 (Otros)'!I$8</f>
        <v>14165.357770642509</v>
      </c>
      <c r="J46" s="316">
        <f>'Gtos Mtto 2014'!J46/'Gtos Mtto 2014'!J$8*'Gtos Mtto 2014 (Otros)'!J$8</f>
        <v>14211.64978950082</v>
      </c>
      <c r="K46" s="316">
        <f>'Gtos Mtto 2014'!K46/'Gtos Mtto 2014'!K$8*'Gtos Mtto 2014 (Otros)'!K$8</f>
        <v>14257.941808359126</v>
      </c>
      <c r="L46" s="316">
        <f>'Gtos Mtto 2014'!L46/'Gtos Mtto 2014'!L$8*'Gtos Mtto 2014 (Otros)'!L$8</f>
        <v>14304.233827217435</v>
      </c>
      <c r="M46" s="316">
        <f>'Gtos Mtto 2014'!M46/'Gtos Mtto 2014'!M$8*'Gtos Mtto 2014 (Otros)'!M$8</f>
        <v>14350.525846075749</v>
      </c>
      <c r="N46" s="316">
        <f>'Gtos Mtto 2014'!N46/'Gtos Mtto 2014'!N$8*'Gtos Mtto 2014 (Otros)'!N$8</f>
        <v>14396.817864934055</v>
      </c>
      <c r="O46" s="316">
        <f>'Gtos Mtto 2014'!O46/'Gtos Mtto 2014'!O$8*'Gtos Mtto 2014 (Otros)'!O$8</f>
        <v>14443.109883792364</v>
      </c>
      <c r="P46" s="453">
        <f t="shared" si="17"/>
        <v>170262.04536086001</v>
      </c>
      <c r="R46" s="111" t="s">
        <v>762</v>
      </c>
      <c r="S46" s="277" t="str">
        <f t="shared" si="2"/>
        <v>0501151200</v>
      </c>
      <c r="T46" s="111" t="s">
        <v>785</v>
      </c>
      <c r="U46" s="585" t="s">
        <v>769</v>
      </c>
      <c r="V46" s="111">
        <v>2014</v>
      </c>
      <c r="W46" s="111" t="s">
        <v>770</v>
      </c>
      <c r="X46" s="111">
        <f t="shared" si="3"/>
        <v>170262</v>
      </c>
      <c r="Y46" s="111">
        <f t="shared" si="4"/>
        <v>13934</v>
      </c>
      <c r="Z46" s="111">
        <f t="shared" si="5"/>
        <v>13980</v>
      </c>
      <c r="AA46" s="111">
        <f t="shared" si="6"/>
        <v>14026</v>
      </c>
      <c r="AB46" s="111">
        <f t="shared" si="7"/>
        <v>14073</v>
      </c>
      <c r="AC46" s="111">
        <f t="shared" si="8"/>
        <v>14119</v>
      </c>
      <c r="AD46" s="111">
        <f t="shared" si="9"/>
        <v>14165</v>
      </c>
      <c r="AE46" s="111">
        <f t="shared" si="10"/>
        <v>14212</v>
      </c>
      <c r="AF46" s="111">
        <f t="shared" si="11"/>
        <v>14258</v>
      </c>
      <c r="AG46" s="111">
        <f t="shared" si="12"/>
        <v>14304</v>
      </c>
      <c r="AH46" s="111">
        <f t="shared" si="13"/>
        <v>14351</v>
      </c>
      <c r="AI46" s="111">
        <f t="shared" si="14"/>
        <v>14397</v>
      </c>
      <c r="AJ46" s="111">
        <f t="shared" si="15"/>
        <v>14443</v>
      </c>
      <c r="AK46" s="111" t="s">
        <v>767</v>
      </c>
    </row>
    <row r="47" spans="1:37" ht="15" x14ac:dyDescent="0.25">
      <c r="A47" s="354"/>
      <c r="B47" s="336" t="s">
        <v>326</v>
      </c>
      <c r="C47" s="276" t="str">
        <f>VLOOKUP(B47,'Cat. cuentas'!$A$1:$B$195,2,FALSE)</f>
        <v>MTTO CORRECTIVO CAJA VOLTEO</v>
      </c>
      <c r="D47" s="316">
        <f>'Gtos Mtto 2014'!D47/'Gtos Mtto 2014'!D$8*'Gtos Mtto 2014 (Otros)'!D$8</f>
        <v>2320.0450237054461</v>
      </c>
      <c r="E47" s="316">
        <f>'Gtos Mtto 2014'!E47/'Gtos Mtto 2014'!E$8*'Gtos Mtto 2014 (Otros)'!E$8</f>
        <v>2384.0279889685949</v>
      </c>
      <c r="F47" s="316">
        <f>'Gtos Mtto 2014'!F47/'Gtos Mtto 2014'!F$8*'Gtos Mtto 2014 (Otros)'!F$8</f>
        <v>2313.3837987201059</v>
      </c>
      <c r="G47" s="316">
        <f>'Gtos Mtto 2014'!G47/'Gtos Mtto 2014'!G$8*'Gtos Mtto 2014 (Otros)'!G$8</f>
        <v>2198.9728615389035</v>
      </c>
      <c r="H47" s="316">
        <f>'Gtos Mtto 2014'!H47/'Gtos Mtto 2014'!H$8*'Gtos Mtto 2014 (Otros)'!H$8</f>
        <v>2287.5561793033639</v>
      </c>
      <c r="I47" s="316">
        <f>'Gtos Mtto 2014'!I47/'Gtos Mtto 2014'!I$8*'Gtos Mtto 2014 (Otros)'!I$8</f>
        <v>2283.9524842815399</v>
      </c>
      <c r="J47" s="316">
        <f>'Gtos Mtto 2014'!J47/'Gtos Mtto 2014'!J$8*'Gtos Mtto 2014 (Otros)'!J$8</f>
        <v>2122.765706671576</v>
      </c>
      <c r="K47" s="316">
        <f>'Gtos Mtto 2014'!K47/'Gtos Mtto 2014'!K$8*'Gtos Mtto 2014 (Otros)'!K$8</f>
        <v>2174.5945070227658</v>
      </c>
      <c r="L47" s="316">
        <f>'Gtos Mtto 2014'!L47/'Gtos Mtto 2014'!L$8*'Gtos Mtto 2014 (Otros)'!L$8</f>
        <v>2465.1906660192353</v>
      </c>
      <c r="M47" s="316">
        <f>'Gtos Mtto 2014'!M47/'Gtos Mtto 2014'!M$8*'Gtos Mtto 2014 (Otros)'!M$8</f>
        <v>1915.2304759423675</v>
      </c>
      <c r="N47" s="316">
        <f>'Gtos Mtto 2014'!N47/'Gtos Mtto 2014'!N$8*'Gtos Mtto 2014 (Otros)'!N$8</f>
        <v>2161.5847186139863</v>
      </c>
      <c r="O47" s="316">
        <f>'Gtos Mtto 2014'!O47/'Gtos Mtto 2014'!O$8*'Gtos Mtto 2014 (Otros)'!O$8</f>
        <v>2168.5351517928093</v>
      </c>
      <c r="P47" s="453">
        <f t="shared" si="17"/>
        <v>26795.839562580699</v>
      </c>
      <c r="R47" s="111" t="s">
        <v>762</v>
      </c>
      <c r="S47" s="277" t="str">
        <f t="shared" si="2"/>
        <v>0501151300</v>
      </c>
      <c r="T47" s="111" t="s">
        <v>785</v>
      </c>
      <c r="U47" s="585" t="s">
        <v>769</v>
      </c>
      <c r="V47" s="111">
        <v>2014</v>
      </c>
      <c r="W47" s="111" t="s">
        <v>770</v>
      </c>
      <c r="X47" s="111">
        <f t="shared" si="3"/>
        <v>26797</v>
      </c>
      <c r="Y47" s="111">
        <f t="shared" si="4"/>
        <v>2320</v>
      </c>
      <c r="Z47" s="111">
        <f t="shared" si="5"/>
        <v>2384</v>
      </c>
      <c r="AA47" s="111">
        <f t="shared" si="6"/>
        <v>2313</v>
      </c>
      <c r="AB47" s="111">
        <f t="shared" si="7"/>
        <v>2199</v>
      </c>
      <c r="AC47" s="111">
        <f t="shared" si="8"/>
        <v>2288</v>
      </c>
      <c r="AD47" s="111">
        <f t="shared" si="9"/>
        <v>2284</v>
      </c>
      <c r="AE47" s="111">
        <f t="shared" si="10"/>
        <v>2123</v>
      </c>
      <c r="AF47" s="111">
        <f t="shared" si="11"/>
        <v>2175</v>
      </c>
      <c r="AG47" s="111">
        <f t="shared" si="12"/>
        <v>2465</v>
      </c>
      <c r="AH47" s="111">
        <f t="shared" si="13"/>
        <v>1915</v>
      </c>
      <c r="AI47" s="111">
        <f t="shared" si="14"/>
        <v>2162</v>
      </c>
      <c r="AJ47" s="111">
        <f t="shared" si="15"/>
        <v>2169</v>
      </c>
      <c r="AK47" s="111" t="s">
        <v>767</v>
      </c>
    </row>
    <row r="48" spans="1:37" ht="15" x14ac:dyDescent="0.25">
      <c r="A48" s="354"/>
      <c r="B48" s="336" t="s">
        <v>327</v>
      </c>
      <c r="C48" s="276" t="str">
        <f>VLOOKUP(B48,'Cat. cuentas'!$A$1:$B$195,2,FALSE)</f>
        <v>MTTO CORRECTIVO PLANA</v>
      </c>
      <c r="D48" s="316">
        <f>'Gtos Mtto 2014'!D48/'Gtos Mtto 2014'!D$8*'Gtos Mtto 2014 (Otros)'!D$8</f>
        <v>5578.7465803844243</v>
      </c>
      <c r="E48" s="316">
        <f>'Gtos Mtto 2014'!E48/'Gtos Mtto 2014'!E$8*'Gtos Mtto 2014 (Otros)'!E$8</f>
        <v>5597.28062217972</v>
      </c>
      <c r="F48" s="316">
        <f>'Gtos Mtto 2014'!F48/'Gtos Mtto 2014'!F$8*'Gtos Mtto 2014 (Otros)'!F$8</f>
        <v>5615.8146639750175</v>
      </c>
      <c r="G48" s="316">
        <f>'Gtos Mtto 2014'!G48/'Gtos Mtto 2014'!G$8*'Gtos Mtto 2014 (Otros)'!G$8</f>
        <v>5634.3487057703142</v>
      </c>
      <c r="H48" s="316">
        <f>'Gtos Mtto 2014'!H48/'Gtos Mtto 2014'!H$8*'Gtos Mtto 2014 (Otros)'!H$8</f>
        <v>5652.8827475656108</v>
      </c>
      <c r="I48" s="316">
        <f>'Gtos Mtto 2014'!I48/'Gtos Mtto 2014'!I$8*'Gtos Mtto 2014 (Otros)'!I$8</f>
        <v>5671.4167893609083</v>
      </c>
      <c r="J48" s="316">
        <f>'Gtos Mtto 2014'!J48/'Gtos Mtto 2014'!J$8*'Gtos Mtto 2014 (Otros)'!J$8</f>
        <v>5689.9508311562067</v>
      </c>
      <c r="K48" s="316">
        <f>'Gtos Mtto 2014'!K48/'Gtos Mtto 2014'!K$8*'Gtos Mtto 2014 (Otros)'!K$8</f>
        <v>5708.4848729515024</v>
      </c>
      <c r="L48" s="316">
        <f>'Gtos Mtto 2014'!L48/'Gtos Mtto 2014'!L$8*'Gtos Mtto 2014 (Otros)'!L$8</f>
        <v>5727.0189147468</v>
      </c>
      <c r="M48" s="316">
        <f>'Gtos Mtto 2014'!M48/'Gtos Mtto 2014'!M$8*'Gtos Mtto 2014 (Otros)'!M$8</f>
        <v>5745.5529565420975</v>
      </c>
      <c r="N48" s="316">
        <f>'Gtos Mtto 2014'!N48/'Gtos Mtto 2014'!N$8*'Gtos Mtto 2014 (Otros)'!N$8</f>
        <v>5764.0869983373941</v>
      </c>
      <c r="O48" s="316">
        <f>'Gtos Mtto 2014'!O48/'Gtos Mtto 2014'!O$8*'Gtos Mtto 2014 (Otros)'!O$8</f>
        <v>5782.6210401326916</v>
      </c>
      <c r="P48" s="453">
        <f t="shared" si="17"/>
        <v>68168.205723102685</v>
      </c>
      <c r="R48" s="111" t="s">
        <v>762</v>
      </c>
      <c r="S48" s="277" t="str">
        <f t="shared" si="2"/>
        <v>0501151500</v>
      </c>
      <c r="T48" s="111" t="s">
        <v>785</v>
      </c>
      <c r="U48" s="585" t="s">
        <v>769</v>
      </c>
      <c r="V48" s="111">
        <v>2014</v>
      </c>
      <c r="W48" s="111" t="s">
        <v>770</v>
      </c>
      <c r="X48" s="111">
        <f t="shared" si="3"/>
        <v>68168</v>
      </c>
      <c r="Y48" s="111">
        <f t="shared" si="4"/>
        <v>5579</v>
      </c>
      <c r="Z48" s="111">
        <f t="shared" si="5"/>
        <v>5597</v>
      </c>
      <c r="AA48" s="111">
        <f t="shared" si="6"/>
        <v>5616</v>
      </c>
      <c r="AB48" s="111">
        <f t="shared" si="7"/>
        <v>5634</v>
      </c>
      <c r="AC48" s="111">
        <f t="shared" si="8"/>
        <v>5653</v>
      </c>
      <c r="AD48" s="111">
        <f t="shared" si="9"/>
        <v>5671</v>
      </c>
      <c r="AE48" s="111">
        <f t="shared" si="10"/>
        <v>5690</v>
      </c>
      <c r="AF48" s="111">
        <f t="shared" si="11"/>
        <v>5708</v>
      </c>
      <c r="AG48" s="111">
        <f t="shared" si="12"/>
        <v>5727</v>
      </c>
      <c r="AH48" s="111">
        <f t="shared" si="13"/>
        <v>5746</v>
      </c>
      <c r="AI48" s="111">
        <f t="shared" si="14"/>
        <v>5764</v>
      </c>
      <c r="AJ48" s="111">
        <f t="shared" si="15"/>
        <v>5783</v>
      </c>
      <c r="AK48" s="111" t="s">
        <v>767</v>
      </c>
    </row>
    <row r="49" spans="1:37" ht="15" x14ac:dyDescent="0.25">
      <c r="A49" s="354"/>
      <c r="B49" s="336" t="s">
        <v>328</v>
      </c>
      <c r="C49" s="276" t="str">
        <f>VLOOKUP(B49,'Cat. cuentas'!$A$1:$B$195,2,FALSE)</f>
        <v>MTTO CORRECTIVO DOLLY</v>
      </c>
      <c r="D49" s="316">
        <f>'Gtos Mtto 2014'!D49/'Gtos Mtto 2014'!D$8*'Gtos Mtto 2014 (Otros)'!D$8</f>
        <v>6979.9552702119381</v>
      </c>
      <c r="E49" s="316">
        <f>'Gtos Mtto 2014'!E49/'Gtos Mtto 2014'!E$8*'Gtos Mtto 2014 (Otros)'!E$8</f>
        <v>7003.1444903787542</v>
      </c>
      <c r="F49" s="316">
        <f>'Gtos Mtto 2014'!F49/'Gtos Mtto 2014'!F$8*'Gtos Mtto 2014 (Otros)'!F$8</f>
        <v>7026.3337105455703</v>
      </c>
      <c r="G49" s="316">
        <f>'Gtos Mtto 2014'!G49/'Gtos Mtto 2014'!G$8*'Gtos Mtto 2014 (Otros)'!G$8</f>
        <v>7049.5229307123891</v>
      </c>
      <c r="H49" s="316">
        <f>'Gtos Mtto 2014'!H49/'Gtos Mtto 2014'!H$8*'Gtos Mtto 2014 (Otros)'!H$8</f>
        <v>7072.7121508792052</v>
      </c>
      <c r="I49" s="316">
        <f>'Gtos Mtto 2014'!I49/'Gtos Mtto 2014'!I$8*'Gtos Mtto 2014 (Otros)'!I$8</f>
        <v>7095.9013710460231</v>
      </c>
      <c r="J49" s="316">
        <f>'Gtos Mtto 2014'!J49/'Gtos Mtto 2014'!J$8*'Gtos Mtto 2014 (Otros)'!J$8</f>
        <v>7119.090591212841</v>
      </c>
      <c r="K49" s="316">
        <f>'Gtos Mtto 2014'!K49/'Gtos Mtto 2014'!K$8*'Gtos Mtto 2014 (Otros)'!K$8</f>
        <v>7142.2798113796571</v>
      </c>
      <c r="L49" s="316">
        <f>'Gtos Mtto 2014'!L49/'Gtos Mtto 2014'!L$8*'Gtos Mtto 2014 (Otros)'!L$8</f>
        <v>7165.4690315464741</v>
      </c>
      <c r="M49" s="316">
        <f>'Gtos Mtto 2014'!M49/'Gtos Mtto 2014'!M$8*'Gtos Mtto 2014 (Otros)'!M$8</f>
        <v>7188.658251713292</v>
      </c>
      <c r="N49" s="316">
        <f>'Gtos Mtto 2014'!N49/'Gtos Mtto 2014'!N$8*'Gtos Mtto 2014 (Otros)'!N$8</f>
        <v>7211.8474718801081</v>
      </c>
      <c r="O49" s="316">
        <f>'Gtos Mtto 2014'!O49/'Gtos Mtto 2014'!O$8*'Gtos Mtto 2014 (Otros)'!O$8</f>
        <v>7235.036692046926</v>
      </c>
      <c r="P49" s="453">
        <f t="shared" si="17"/>
        <v>85289.95177355317</v>
      </c>
      <c r="R49" s="111" t="s">
        <v>762</v>
      </c>
      <c r="S49" s="277" t="str">
        <f t="shared" si="2"/>
        <v>0501151600</v>
      </c>
      <c r="T49" s="111" t="s">
        <v>785</v>
      </c>
      <c r="U49" s="585" t="s">
        <v>769</v>
      </c>
      <c r="V49" s="111">
        <v>2014</v>
      </c>
      <c r="W49" s="111" t="s">
        <v>770</v>
      </c>
      <c r="X49" s="111">
        <f t="shared" si="3"/>
        <v>85290</v>
      </c>
      <c r="Y49" s="111">
        <f t="shared" si="4"/>
        <v>6980</v>
      </c>
      <c r="Z49" s="111">
        <f t="shared" si="5"/>
        <v>7003</v>
      </c>
      <c r="AA49" s="111">
        <f t="shared" si="6"/>
        <v>7026</v>
      </c>
      <c r="AB49" s="111">
        <f t="shared" si="7"/>
        <v>7050</v>
      </c>
      <c r="AC49" s="111">
        <f t="shared" si="8"/>
        <v>7073</v>
      </c>
      <c r="AD49" s="111">
        <f t="shared" si="9"/>
        <v>7096</v>
      </c>
      <c r="AE49" s="111">
        <f t="shared" si="10"/>
        <v>7119</v>
      </c>
      <c r="AF49" s="111">
        <f t="shared" si="11"/>
        <v>7142</v>
      </c>
      <c r="AG49" s="111">
        <f t="shared" si="12"/>
        <v>7165</v>
      </c>
      <c r="AH49" s="111">
        <f t="shared" si="13"/>
        <v>7189</v>
      </c>
      <c r="AI49" s="111">
        <f t="shared" si="14"/>
        <v>7212</v>
      </c>
      <c r="AJ49" s="111">
        <f t="shared" si="15"/>
        <v>7235</v>
      </c>
      <c r="AK49" s="111" t="s">
        <v>767</v>
      </c>
    </row>
    <row r="50" spans="1:37" ht="15" x14ac:dyDescent="0.25">
      <c r="A50" s="354"/>
      <c r="B50" s="333" t="s">
        <v>522</v>
      </c>
      <c r="C50" s="276" t="str">
        <f>VLOOKUP(B50,'Cat. cuentas'!$A$1:$B$195,2,FALSE)</f>
        <v>AUXILIO CARRETERA TOLVA</v>
      </c>
      <c r="D50" s="316">
        <f>'Gtos Mtto 2014'!D50/'Gtos Mtto 2014'!D$8*'Gtos Mtto 2014 (Otros)'!D$8</f>
        <v>62.472562761108762</v>
      </c>
      <c r="E50" s="316">
        <f>'Gtos Mtto 2014'!E50/'Gtos Mtto 2014'!E$8*'Gtos Mtto 2014 (Otros)'!E$8</f>
        <v>62.680112803504464</v>
      </c>
      <c r="F50" s="316">
        <f>'Gtos Mtto 2014'!F50/'Gtos Mtto 2014'!F$8*'Gtos Mtto 2014 (Otros)'!F$8</f>
        <v>62.887662845900167</v>
      </c>
      <c r="G50" s="316">
        <f>'Gtos Mtto 2014'!G50/'Gtos Mtto 2014'!G$8*'Gtos Mtto 2014 (Otros)'!G$8</f>
        <v>63.095212888295883</v>
      </c>
      <c r="H50" s="316">
        <f>'Gtos Mtto 2014'!H50/'Gtos Mtto 2014'!H$8*'Gtos Mtto 2014 (Otros)'!H$8</f>
        <v>63.3027629306916</v>
      </c>
      <c r="I50" s="316">
        <f>'Gtos Mtto 2014'!I50/'Gtos Mtto 2014'!I$8*'Gtos Mtto 2014 (Otros)'!I$8</f>
        <v>63.510312973087316</v>
      </c>
      <c r="J50" s="316">
        <f>'Gtos Mtto 2014'!J50/'Gtos Mtto 2014'!J$8*'Gtos Mtto 2014 (Otros)'!J$8</f>
        <v>63.717863015483026</v>
      </c>
      <c r="K50" s="316">
        <f>'Gtos Mtto 2014'!K50/'Gtos Mtto 2014'!K$8*'Gtos Mtto 2014 (Otros)'!K$8</f>
        <v>63.925413057878735</v>
      </c>
      <c r="L50" s="316">
        <f>'Gtos Mtto 2014'!L50/'Gtos Mtto 2014'!L$8*'Gtos Mtto 2014 (Otros)'!L$8</f>
        <v>64.132963100274438</v>
      </c>
      <c r="M50" s="316">
        <f>'Gtos Mtto 2014'!M50/'Gtos Mtto 2014'!M$8*'Gtos Mtto 2014 (Otros)'!M$8</f>
        <v>64.340513142670147</v>
      </c>
      <c r="N50" s="316">
        <f>'Gtos Mtto 2014'!N50/'Gtos Mtto 2014'!N$8*'Gtos Mtto 2014 (Otros)'!N$8</f>
        <v>64.548063185065857</v>
      </c>
      <c r="O50" s="316">
        <f>'Gtos Mtto 2014'!O50/'Gtos Mtto 2014'!O$8*'Gtos Mtto 2014 (Otros)'!O$8</f>
        <v>64.755613227461566</v>
      </c>
      <c r="P50" s="453">
        <f t="shared" si="17"/>
        <v>763.36905593142205</v>
      </c>
      <c r="R50" s="111" t="s">
        <v>762</v>
      </c>
      <c r="S50" s="277" t="str">
        <f t="shared" si="2"/>
        <v>0501152800</v>
      </c>
      <c r="T50" s="111" t="s">
        <v>785</v>
      </c>
      <c r="U50" s="585" t="s">
        <v>769</v>
      </c>
      <c r="V50" s="111">
        <v>2014</v>
      </c>
      <c r="W50" s="111" t="s">
        <v>770</v>
      </c>
      <c r="X50" s="111">
        <f t="shared" si="3"/>
        <v>764</v>
      </c>
      <c r="Y50" s="111">
        <f t="shared" si="4"/>
        <v>62</v>
      </c>
      <c r="Z50" s="111">
        <f t="shared" si="5"/>
        <v>63</v>
      </c>
      <c r="AA50" s="111">
        <f t="shared" si="6"/>
        <v>63</v>
      </c>
      <c r="AB50" s="111">
        <f t="shared" si="7"/>
        <v>63</v>
      </c>
      <c r="AC50" s="111">
        <f t="shared" si="8"/>
        <v>63</v>
      </c>
      <c r="AD50" s="111">
        <f t="shared" si="9"/>
        <v>64</v>
      </c>
      <c r="AE50" s="111">
        <f t="shared" si="10"/>
        <v>64</v>
      </c>
      <c r="AF50" s="111">
        <f t="shared" si="11"/>
        <v>64</v>
      </c>
      <c r="AG50" s="111">
        <f t="shared" si="12"/>
        <v>64</v>
      </c>
      <c r="AH50" s="111">
        <f t="shared" si="13"/>
        <v>64</v>
      </c>
      <c r="AI50" s="111">
        <f t="shared" si="14"/>
        <v>65</v>
      </c>
      <c r="AJ50" s="111">
        <f t="shared" si="15"/>
        <v>65</v>
      </c>
      <c r="AK50" s="111" t="s">
        <v>767</v>
      </c>
    </row>
    <row r="51" spans="1:37" ht="15" x14ac:dyDescent="0.25">
      <c r="A51" s="354"/>
      <c r="B51" s="333" t="s">
        <v>524</v>
      </c>
      <c r="C51" s="276" t="str">
        <f>VLOOKUP(B51,'Cat. cuentas'!$A$1:$B$195,2,FALSE)</f>
        <v>AUXILIO CARRETERA CAJA VOLTEO</v>
      </c>
      <c r="D51" s="316">
        <f>'Gtos Mtto 2014'!D51/'Gtos Mtto 2014'!D$8*'Gtos Mtto 2014 (Otros)'!D$8</f>
        <v>221.24136712627276</v>
      </c>
      <c r="E51" s="316">
        <f>'Gtos Mtto 2014'!E51/'Gtos Mtto 2014'!E$8*'Gtos Mtto 2014 (Otros)'!E$8</f>
        <v>221.97638827951613</v>
      </c>
      <c r="F51" s="316">
        <f>'Gtos Mtto 2014'!F51/'Gtos Mtto 2014'!F$8*'Gtos Mtto 2014 (Otros)'!F$8</f>
        <v>222.71140943275961</v>
      </c>
      <c r="G51" s="316">
        <f>'Gtos Mtto 2014'!G51/'Gtos Mtto 2014'!G$8*'Gtos Mtto 2014 (Otros)'!G$8</f>
        <v>223.44643058600303</v>
      </c>
      <c r="H51" s="316">
        <f>'Gtos Mtto 2014'!H51/'Gtos Mtto 2014'!H$8*'Gtos Mtto 2014 (Otros)'!H$8</f>
        <v>224.18145173924643</v>
      </c>
      <c r="I51" s="316">
        <f>'Gtos Mtto 2014'!I51/'Gtos Mtto 2014'!I$8*'Gtos Mtto 2014 (Otros)'!I$8</f>
        <v>224.91647289248988</v>
      </c>
      <c r="J51" s="316">
        <f>'Gtos Mtto 2014'!J51/'Gtos Mtto 2014'!J$8*'Gtos Mtto 2014 (Otros)'!J$8</f>
        <v>225.6514940457333</v>
      </c>
      <c r="K51" s="316">
        <f>'Gtos Mtto 2014'!K51/'Gtos Mtto 2014'!K$8*'Gtos Mtto 2014 (Otros)'!K$8</f>
        <v>226.38651519897672</v>
      </c>
      <c r="L51" s="316">
        <f>'Gtos Mtto 2014'!L51/'Gtos Mtto 2014'!L$8*'Gtos Mtto 2014 (Otros)'!L$8</f>
        <v>227.12153635222015</v>
      </c>
      <c r="M51" s="316">
        <f>'Gtos Mtto 2014'!M51/'Gtos Mtto 2014'!M$8*'Gtos Mtto 2014 (Otros)'!M$8</f>
        <v>227.85655750546363</v>
      </c>
      <c r="N51" s="316">
        <f>'Gtos Mtto 2014'!N51/'Gtos Mtto 2014'!N$8*'Gtos Mtto 2014 (Otros)'!N$8</f>
        <v>228.59157865870699</v>
      </c>
      <c r="O51" s="316">
        <f>'Gtos Mtto 2014'!O51/'Gtos Mtto 2014'!O$8*'Gtos Mtto 2014 (Otros)'!O$8</f>
        <v>229.32659981195047</v>
      </c>
      <c r="P51" s="453">
        <f t="shared" si="17"/>
        <v>2703.4078016293388</v>
      </c>
      <c r="R51" s="111" t="s">
        <v>762</v>
      </c>
      <c r="S51" s="277" t="str">
        <f t="shared" si="2"/>
        <v>0501152900</v>
      </c>
      <c r="T51" s="111" t="s">
        <v>785</v>
      </c>
      <c r="U51" s="585" t="s">
        <v>769</v>
      </c>
      <c r="V51" s="111">
        <v>2014</v>
      </c>
      <c r="W51" s="111" t="s">
        <v>770</v>
      </c>
      <c r="X51" s="111">
        <f t="shared" si="3"/>
        <v>2703</v>
      </c>
      <c r="Y51" s="111">
        <f t="shared" si="4"/>
        <v>221</v>
      </c>
      <c r="Z51" s="111">
        <f t="shared" si="5"/>
        <v>222</v>
      </c>
      <c r="AA51" s="111">
        <f t="shared" si="6"/>
        <v>223</v>
      </c>
      <c r="AB51" s="111">
        <f t="shared" si="7"/>
        <v>223</v>
      </c>
      <c r="AC51" s="111">
        <f t="shared" si="8"/>
        <v>224</v>
      </c>
      <c r="AD51" s="111">
        <f t="shared" si="9"/>
        <v>225</v>
      </c>
      <c r="AE51" s="111">
        <f t="shared" si="10"/>
        <v>226</v>
      </c>
      <c r="AF51" s="111">
        <f t="shared" si="11"/>
        <v>226</v>
      </c>
      <c r="AG51" s="111">
        <f t="shared" si="12"/>
        <v>227</v>
      </c>
      <c r="AH51" s="111">
        <f t="shared" si="13"/>
        <v>228</v>
      </c>
      <c r="AI51" s="111">
        <f t="shared" si="14"/>
        <v>229</v>
      </c>
      <c r="AJ51" s="111">
        <f t="shared" si="15"/>
        <v>229</v>
      </c>
      <c r="AK51" s="111" t="s">
        <v>767</v>
      </c>
    </row>
    <row r="52" spans="1:37" ht="15" x14ac:dyDescent="0.25">
      <c r="A52" s="354"/>
      <c r="B52" s="333" t="s">
        <v>526</v>
      </c>
      <c r="C52" s="276" t="str">
        <f>VLOOKUP(B52,'Cat. cuentas'!$A$1:$B$195,2,FALSE)</f>
        <v>AUXILIO CARRETERA CAJA SECA</v>
      </c>
      <c r="D52" s="316">
        <f>'Gtos Mtto 2014'!D52/'Gtos Mtto 2014'!D$8*'Gtos Mtto 2014 (Otros)'!D$8</f>
        <v>21.481898367643019</v>
      </c>
      <c r="E52" s="316">
        <f>'Gtos Mtto 2014'!E52/'Gtos Mtto 2014'!E$8*'Gtos Mtto 2014 (Otros)'!E$8</f>
        <v>22.074333231190693</v>
      </c>
      <c r="F52" s="316">
        <f>'Gtos Mtto 2014'!F52/'Gtos Mtto 2014'!F$8*'Gtos Mtto 2014 (Otros)'!F$8</f>
        <v>21.420220358519497</v>
      </c>
      <c r="G52" s="316">
        <f>'Gtos Mtto 2014'!G52/'Gtos Mtto 2014'!G$8*'Gtos Mtto 2014 (Otros)'!G$8</f>
        <v>20.360859829063923</v>
      </c>
      <c r="H52" s="316">
        <f>'Gtos Mtto 2014'!H52/'Gtos Mtto 2014'!H$8*'Gtos Mtto 2014 (Otros)'!H$8</f>
        <v>21.18107573429041</v>
      </c>
      <c r="I52" s="316">
        <f>'Gtos Mtto 2014'!I52/'Gtos Mtto 2014'!I$8*'Gtos Mtto 2014 (Otros)'!I$8</f>
        <v>21.147708187792041</v>
      </c>
      <c r="J52" s="316">
        <f>'Gtos Mtto 2014'!J52/'Gtos Mtto 2014'!J$8*'Gtos Mtto 2014 (Otros)'!J$8</f>
        <v>19.655238024736814</v>
      </c>
      <c r="K52" s="316">
        <f>'Gtos Mtto 2014'!K52/'Gtos Mtto 2014'!K$8*'Gtos Mtto 2014 (Otros)'!K$8</f>
        <v>20.135134324284866</v>
      </c>
      <c r="L52" s="316">
        <f>'Gtos Mtto 2014'!L52/'Gtos Mtto 2014'!L$8*'Gtos Mtto 2014 (Otros)'!L$8</f>
        <v>22.825839500178105</v>
      </c>
      <c r="M52" s="316">
        <f>'Gtos Mtto 2014'!M52/'Gtos Mtto 2014'!M$8*'Gtos Mtto 2014 (Otros)'!M$8</f>
        <v>17.733615517984884</v>
      </c>
      <c r="N52" s="316">
        <f>'Gtos Mtto 2014'!N52/'Gtos Mtto 2014'!N$8*'Gtos Mtto 2014 (Otros)'!N$8</f>
        <v>20.01467332049987</v>
      </c>
      <c r="O52" s="316">
        <f>'Gtos Mtto 2014'!O52/'Gtos Mtto 2014'!O$8*'Gtos Mtto 2014 (Otros)'!O$8</f>
        <v>20.079029183266755</v>
      </c>
      <c r="P52" s="453">
        <f t="shared" si="17"/>
        <v>248.10962557945086</v>
      </c>
      <c r="R52" s="111" t="s">
        <v>762</v>
      </c>
      <c r="S52" s="277" t="str">
        <f t="shared" si="2"/>
        <v>0501153000</v>
      </c>
      <c r="T52" s="111" t="s">
        <v>785</v>
      </c>
      <c r="U52" s="585" t="s">
        <v>769</v>
      </c>
      <c r="V52" s="111">
        <v>2014</v>
      </c>
      <c r="W52" s="111" t="s">
        <v>770</v>
      </c>
      <c r="X52" s="111">
        <f t="shared" si="3"/>
        <v>247</v>
      </c>
      <c r="Y52" s="111">
        <f t="shared" si="4"/>
        <v>21</v>
      </c>
      <c r="Z52" s="111">
        <f t="shared" si="5"/>
        <v>22</v>
      </c>
      <c r="AA52" s="111">
        <f t="shared" si="6"/>
        <v>21</v>
      </c>
      <c r="AB52" s="111">
        <f t="shared" si="7"/>
        <v>20</v>
      </c>
      <c r="AC52" s="111">
        <f t="shared" si="8"/>
        <v>21</v>
      </c>
      <c r="AD52" s="111">
        <f t="shared" si="9"/>
        <v>21</v>
      </c>
      <c r="AE52" s="111">
        <f t="shared" si="10"/>
        <v>20</v>
      </c>
      <c r="AF52" s="111">
        <f t="shared" si="11"/>
        <v>20</v>
      </c>
      <c r="AG52" s="111">
        <f t="shared" si="12"/>
        <v>23</v>
      </c>
      <c r="AH52" s="111">
        <f t="shared" si="13"/>
        <v>18</v>
      </c>
      <c r="AI52" s="111">
        <f t="shared" si="14"/>
        <v>20</v>
      </c>
      <c r="AJ52" s="111">
        <f t="shared" si="15"/>
        <v>20</v>
      </c>
      <c r="AK52" s="111" t="s">
        <v>767</v>
      </c>
    </row>
    <row r="53" spans="1:37" ht="15" x14ac:dyDescent="0.25">
      <c r="A53" s="354"/>
      <c r="B53" s="333" t="s">
        <v>528</v>
      </c>
      <c r="C53" s="276" t="str">
        <f>VLOOKUP(B53,'Cat. cuentas'!$A$1:$B$195,2,FALSE)</f>
        <v>AUXILIO CARRETERA PLANA</v>
      </c>
      <c r="D53" s="316">
        <f>'Gtos Mtto 2014'!D53/'Gtos Mtto 2014'!D$8*'Gtos Mtto 2014 (Otros)'!D$8</f>
        <v>64.445695102929051</v>
      </c>
      <c r="E53" s="316">
        <f>'Gtos Mtto 2014'!E53/'Gtos Mtto 2014'!E$8*'Gtos Mtto 2014 (Otros)'!E$8</f>
        <v>66.222999693572092</v>
      </c>
      <c r="F53" s="316">
        <f>'Gtos Mtto 2014'!F53/'Gtos Mtto 2014'!F$8*'Gtos Mtto 2014 (Otros)'!F$8</f>
        <v>64.260661075558502</v>
      </c>
      <c r="G53" s="316">
        <f>'Gtos Mtto 2014'!G53/'Gtos Mtto 2014'!G$8*'Gtos Mtto 2014 (Otros)'!G$8</f>
        <v>61.082579487191758</v>
      </c>
      <c r="H53" s="316">
        <f>'Gtos Mtto 2014'!H53/'Gtos Mtto 2014'!H$8*'Gtos Mtto 2014 (Otros)'!H$8</f>
        <v>63.543227202871236</v>
      </c>
      <c r="I53" s="316">
        <f>'Gtos Mtto 2014'!I53/'Gtos Mtto 2014'!I$8*'Gtos Mtto 2014 (Otros)'!I$8</f>
        <v>63.443124563376116</v>
      </c>
      <c r="J53" s="316">
        <f>'Gtos Mtto 2014'!J53/'Gtos Mtto 2014'!J$8*'Gtos Mtto 2014 (Otros)'!J$8</f>
        <v>58.965714074210439</v>
      </c>
      <c r="K53" s="316">
        <f>'Gtos Mtto 2014'!K53/'Gtos Mtto 2014'!K$8*'Gtos Mtto 2014 (Otros)'!K$8</f>
        <v>60.40540297285461</v>
      </c>
      <c r="L53" s="316">
        <f>'Gtos Mtto 2014'!L53/'Gtos Mtto 2014'!L$8*'Gtos Mtto 2014 (Otros)'!L$8</f>
        <v>68.477518500534316</v>
      </c>
      <c r="M53" s="316">
        <f>'Gtos Mtto 2014'!M53/'Gtos Mtto 2014'!M$8*'Gtos Mtto 2014 (Otros)'!M$8</f>
        <v>53.200846553954655</v>
      </c>
      <c r="N53" s="316">
        <f>'Gtos Mtto 2014'!N53/'Gtos Mtto 2014'!N$8*'Gtos Mtto 2014 (Otros)'!N$8</f>
        <v>60.044019961499622</v>
      </c>
      <c r="O53" s="316">
        <f>'Gtos Mtto 2014'!O53/'Gtos Mtto 2014'!O$8*'Gtos Mtto 2014 (Otros)'!O$8</f>
        <v>60.237087549800258</v>
      </c>
      <c r="P53" s="453">
        <f t="shared" si="17"/>
        <v>744.32887673835262</v>
      </c>
      <c r="R53" s="111" t="s">
        <v>762</v>
      </c>
      <c r="S53" s="277" t="str">
        <f t="shared" si="2"/>
        <v>0501153100</v>
      </c>
      <c r="T53" s="111" t="s">
        <v>785</v>
      </c>
      <c r="U53" s="585" t="s">
        <v>769</v>
      </c>
      <c r="V53" s="111">
        <v>2014</v>
      </c>
      <c r="W53" s="111" t="s">
        <v>770</v>
      </c>
      <c r="X53" s="111">
        <f t="shared" si="3"/>
        <v>742</v>
      </c>
      <c r="Y53" s="111">
        <f t="shared" si="4"/>
        <v>64</v>
      </c>
      <c r="Z53" s="111">
        <f t="shared" si="5"/>
        <v>66</v>
      </c>
      <c r="AA53" s="111">
        <f t="shared" si="6"/>
        <v>64</v>
      </c>
      <c r="AB53" s="111">
        <f t="shared" si="7"/>
        <v>61</v>
      </c>
      <c r="AC53" s="111">
        <f t="shared" si="8"/>
        <v>64</v>
      </c>
      <c r="AD53" s="111">
        <f t="shared" si="9"/>
        <v>63</v>
      </c>
      <c r="AE53" s="111">
        <f t="shared" si="10"/>
        <v>59</v>
      </c>
      <c r="AF53" s="111">
        <f t="shared" si="11"/>
        <v>60</v>
      </c>
      <c r="AG53" s="111">
        <f t="shared" si="12"/>
        <v>68</v>
      </c>
      <c r="AH53" s="111">
        <f t="shared" si="13"/>
        <v>53</v>
      </c>
      <c r="AI53" s="111">
        <f t="shared" si="14"/>
        <v>60</v>
      </c>
      <c r="AJ53" s="111">
        <f t="shared" si="15"/>
        <v>60</v>
      </c>
      <c r="AK53" s="111" t="s">
        <v>767</v>
      </c>
    </row>
    <row r="54" spans="1:37" ht="15" x14ac:dyDescent="0.25">
      <c r="A54" s="354"/>
      <c r="B54" s="333" t="s">
        <v>530</v>
      </c>
      <c r="C54" s="276" t="str">
        <f>VLOOKUP(B54,'Cat. cuentas'!$A$1:$B$195,2,FALSE)</f>
        <v>AUXILIO CARRETERA DOLLY</v>
      </c>
      <c r="D54" s="316">
        <f>'Gtos Mtto 2014'!D54/'Gtos Mtto 2014'!D$8*'Gtos Mtto 2014 (Otros)'!D$8</f>
        <v>28.160223432563459</v>
      </c>
      <c r="E54" s="316">
        <f>'Gtos Mtto 2014'!E54/'Gtos Mtto 2014'!E$8*'Gtos Mtto 2014 (Otros)'!E$8</f>
        <v>28.253778992140084</v>
      </c>
      <c r="F54" s="316">
        <f>'Gtos Mtto 2014'!F54/'Gtos Mtto 2014'!F$8*'Gtos Mtto 2014 (Otros)'!F$8</f>
        <v>28.347334551716717</v>
      </c>
      <c r="G54" s="316">
        <f>'Gtos Mtto 2014'!G54/'Gtos Mtto 2014'!G$8*'Gtos Mtto 2014 (Otros)'!G$8</f>
        <v>28.440890111293335</v>
      </c>
      <c r="H54" s="316">
        <f>'Gtos Mtto 2014'!H54/'Gtos Mtto 2014'!H$8*'Gtos Mtto 2014 (Otros)'!H$8</f>
        <v>28.534445670869953</v>
      </c>
      <c r="I54" s="316">
        <f>'Gtos Mtto 2014'!I54/'Gtos Mtto 2014'!I$8*'Gtos Mtto 2014 (Otros)'!I$8</f>
        <v>28.628001230446579</v>
      </c>
      <c r="J54" s="316">
        <f>'Gtos Mtto 2014'!J54/'Gtos Mtto 2014'!J$8*'Gtos Mtto 2014 (Otros)'!J$8</f>
        <v>28.721556790023204</v>
      </c>
      <c r="K54" s="316">
        <f>'Gtos Mtto 2014'!K54/'Gtos Mtto 2014'!K$8*'Gtos Mtto 2014 (Otros)'!K$8</f>
        <v>28.815112349599826</v>
      </c>
      <c r="L54" s="316">
        <f>'Gtos Mtto 2014'!L54/'Gtos Mtto 2014'!L$8*'Gtos Mtto 2014 (Otros)'!L$8</f>
        <v>28.908667909176447</v>
      </c>
      <c r="M54" s="316">
        <f>'Gtos Mtto 2014'!M54/'Gtos Mtto 2014'!M$8*'Gtos Mtto 2014 (Otros)'!M$8</f>
        <v>29.002223468753073</v>
      </c>
      <c r="N54" s="316">
        <f>'Gtos Mtto 2014'!N54/'Gtos Mtto 2014'!N$8*'Gtos Mtto 2014 (Otros)'!N$8</f>
        <v>29.095779028329691</v>
      </c>
      <c r="O54" s="316">
        <f>'Gtos Mtto 2014'!O54/'Gtos Mtto 2014'!O$8*'Gtos Mtto 2014 (Otros)'!O$8</f>
        <v>29.18933458790632</v>
      </c>
      <c r="P54" s="453">
        <f t="shared" si="17"/>
        <v>344.09734812281869</v>
      </c>
      <c r="R54" s="111" t="s">
        <v>762</v>
      </c>
      <c r="S54" s="277" t="str">
        <f t="shared" si="2"/>
        <v>0501153200</v>
      </c>
      <c r="T54" s="111" t="s">
        <v>785</v>
      </c>
      <c r="U54" s="585" t="s">
        <v>769</v>
      </c>
      <c r="V54" s="111">
        <v>2014</v>
      </c>
      <c r="W54" s="111" t="s">
        <v>770</v>
      </c>
      <c r="X54" s="111">
        <f t="shared" si="3"/>
        <v>344</v>
      </c>
      <c r="Y54" s="111">
        <f t="shared" si="4"/>
        <v>28</v>
      </c>
      <c r="Z54" s="111">
        <f t="shared" si="5"/>
        <v>28</v>
      </c>
      <c r="AA54" s="111">
        <f t="shared" si="6"/>
        <v>28</v>
      </c>
      <c r="AB54" s="111">
        <f t="shared" si="7"/>
        <v>28</v>
      </c>
      <c r="AC54" s="111">
        <f t="shared" si="8"/>
        <v>29</v>
      </c>
      <c r="AD54" s="111">
        <f t="shared" si="9"/>
        <v>29</v>
      </c>
      <c r="AE54" s="111">
        <f t="shared" si="10"/>
        <v>29</v>
      </c>
      <c r="AF54" s="111">
        <f t="shared" si="11"/>
        <v>29</v>
      </c>
      <c r="AG54" s="111">
        <f t="shared" si="12"/>
        <v>29</v>
      </c>
      <c r="AH54" s="111">
        <f t="shared" si="13"/>
        <v>29</v>
      </c>
      <c r="AI54" s="111">
        <f t="shared" si="14"/>
        <v>29</v>
      </c>
      <c r="AJ54" s="111">
        <f t="shared" si="15"/>
        <v>29</v>
      </c>
      <c r="AK54" s="111" t="s">
        <v>767</v>
      </c>
    </row>
    <row r="55" spans="1:37" ht="15" x14ac:dyDescent="0.25">
      <c r="A55" s="354"/>
      <c r="B55" s="336"/>
      <c r="C55" s="276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453">
        <f t="shared" si="17"/>
        <v>0</v>
      </c>
      <c r="R55" s="111" t="s">
        <v>762</v>
      </c>
      <c r="S55" s="277">
        <f t="shared" si="2"/>
        <v>0</v>
      </c>
      <c r="T55" s="111" t="s">
        <v>785</v>
      </c>
      <c r="U55" s="585" t="s">
        <v>769</v>
      </c>
      <c r="V55" s="111">
        <v>2014</v>
      </c>
      <c r="W55" s="111" t="s">
        <v>770</v>
      </c>
      <c r="X55" s="111">
        <f t="shared" si="3"/>
        <v>0</v>
      </c>
      <c r="Y55" s="111">
        <f t="shared" si="4"/>
        <v>0</v>
      </c>
      <c r="Z55" s="111">
        <f t="shared" si="5"/>
        <v>0</v>
      </c>
      <c r="AA55" s="111">
        <f t="shared" si="6"/>
        <v>0</v>
      </c>
      <c r="AB55" s="111">
        <f t="shared" si="7"/>
        <v>0</v>
      </c>
      <c r="AC55" s="111">
        <f t="shared" si="8"/>
        <v>0</v>
      </c>
      <c r="AD55" s="111">
        <f t="shared" si="9"/>
        <v>0</v>
      </c>
      <c r="AE55" s="111">
        <f t="shared" si="10"/>
        <v>0</v>
      </c>
      <c r="AF55" s="111">
        <f t="shared" si="11"/>
        <v>0</v>
      </c>
      <c r="AG55" s="111">
        <f t="shared" si="12"/>
        <v>0</v>
      </c>
      <c r="AH55" s="111">
        <f t="shared" si="13"/>
        <v>0</v>
      </c>
      <c r="AI55" s="111">
        <f t="shared" si="14"/>
        <v>0</v>
      </c>
      <c r="AJ55" s="111">
        <f t="shared" si="15"/>
        <v>0</v>
      </c>
      <c r="AK55" s="111" t="s">
        <v>767</v>
      </c>
    </row>
    <row r="56" spans="1:37" ht="15" x14ac:dyDescent="0.25">
      <c r="A56" s="349" t="s">
        <v>329</v>
      </c>
      <c r="B56" s="277" t="s">
        <v>308</v>
      </c>
      <c r="C56" s="276" t="str">
        <f>VLOOKUP(B56,'Cat. cuentas'!$A$1:$B$195,2,FALSE)</f>
        <v>MANTENIMIENTO DE EDIFICIOS</v>
      </c>
      <c r="D56" s="316">
        <f>'Gtos Mtto 2014'!D56/'Gtos Mtto 2014'!D$8*'Gtos Mtto 2014 (Otros)'!D$8</f>
        <v>3147.3479003756047</v>
      </c>
      <c r="E56" s="316">
        <f>'Gtos Mtto 2014'!E56/'Gtos Mtto 2014'!E$8*'Gtos Mtto 2014 (Otros)'!E$8</f>
        <v>1249.9042988521885</v>
      </c>
      <c r="F56" s="316">
        <f>'Gtos Mtto 2014'!F56/'Gtos Mtto 2014'!F$8*'Gtos Mtto 2014 (Otros)'!F$8</f>
        <v>1208.8639212233777</v>
      </c>
      <c r="G56" s="316">
        <f>'Gtos Mtto 2014'!G56/'Gtos Mtto 2014'!G$8*'Gtos Mtto 2014 (Otros)'!G$8</f>
        <v>1145.2983653848453</v>
      </c>
      <c r="H56" s="316">
        <f>'Gtos Mtto 2014'!H56/'Gtos Mtto 2014'!H$8*'Gtos Mtto 2014 (Otros)'!H$8</f>
        <v>4937.621261337863</v>
      </c>
      <c r="I56" s="316">
        <f>'Gtos Mtto 2014'!I56/'Gtos Mtto 2014'!I$8*'Gtos Mtto 2014 (Otros)'!I$8</f>
        <v>1181.7836928472022</v>
      </c>
      <c r="J56" s="316">
        <f>'Gtos Mtto 2014'!J56/'Gtos Mtto 2014'!J$8*'Gtos Mtto 2014 (Otros)'!J$8</f>
        <v>1094.803160335503</v>
      </c>
      <c r="K56" s="316">
        <f>'Gtos Mtto 2014'!K56/'Gtos Mtto 2014'!K$8*'Gtos Mtto 2014 (Otros)'!K$8</f>
        <v>1117.8921978742574</v>
      </c>
      <c r="L56" s="316">
        <f>'Gtos Mtto 2014'!L56/'Gtos Mtto 2014'!L$8*'Gtos Mtto 2014 (Otros)'!L$8</f>
        <v>1263.1775257380118</v>
      </c>
      <c r="M56" s="316">
        <f>'Gtos Mtto 2014'!M56/'Gtos Mtto 2014'!M$8*'Gtos Mtto 2014 (Otros)'!M$8</f>
        <v>978.20911405658546</v>
      </c>
      <c r="N56" s="316">
        <f>'Gtos Mtto 2014'!N56/'Gtos Mtto 2014'!N$8*'Gtos Mtto 2014 (Otros)'!N$8</f>
        <v>1100.4852533136586</v>
      </c>
      <c r="O56" s="316">
        <f>'Gtos Mtto 2014'!O56/'Gtos Mtto 2014'!O$8*'Gtos Mtto 2014 (Otros)'!O$8</f>
        <v>1100.4852533136586</v>
      </c>
      <c r="P56" s="449">
        <f t="shared" si="17"/>
        <v>19525.871944652754</v>
      </c>
      <c r="R56" s="111" t="s">
        <v>762</v>
      </c>
      <c r="S56" s="277" t="str">
        <f t="shared" si="2"/>
        <v>0501060100</v>
      </c>
      <c r="T56" s="111" t="s">
        <v>785</v>
      </c>
      <c r="U56" s="585" t="s">
        <v>769</v>
      </c>
      <c r="V56" s="111">
        <v>2014</v>
      </c>
      <c r="W56" s="111" t="s">
        <v>770</v>
      </c>
      <c r="X56" s="111">
        <f t="shared" si="3"/>
        <v>19525</v>
      </c>
      <c r="Y56" s="111">
        <f t="shared" si="4"/>
        <v>3147</v>
      </c>
      <c r="Z56" s="111">
        <f t="shared" si="5"/>
        <v>1250</v>
      </c>
      <c r="AA56" s="111">
        <f t="shared" si="6"/>
        <v>1209</v>
      </c>
      <c r="AB56" s="111">
        <f t="shared" si="7"/>
        <v>1145</v>
      </c>
      <c r="AC56" s="111">
        <f t="shared" si="8"/>
        <v>4938</v>
      </c>
      <c r="AD56" s="111">
        <f t="shared" si="9"/>
        <v>1182</v>
      </c>
      <c r="AE56" s="111">
        <f t="shared" si="10"/>
        <v>1095</v>
      </c>
      <c r="AF56" s="111">
        <f t="shared" si="11"/>
        <v>1118</v>
      </c>
      <c r="AG56" s="111">
        <f t="shared" si="12"/>
        <v>1263</v>
      </c>
      <c r="AH56" s="111">
        <f t="shared" si="13"/>
        <v>978</v>
      </c>
      <c r="AI56" s="111">
        <f t="shared" si="14"/>
        <v>1100</v>
      </c>
      <c r="AJ56" s="111">
        <f t="shared" si="15"/>
        <v>1100</v>
      </c>
      <c r="AK56" s="111" t="s">
        <v>767</v>
      </c>
    </row>
    <row r="57" spans="1:37" ht="15" x14ac:dyDescent="0.25">
      <c r="A57" s="349" t="s">
        <v>330</v>
      </c>
      <c r="B57" s="277" t="s">
        <v>406</v>
      </c>
      <c r="C57" s="276" t="str">
        <f>VLOOKUP(B57,'Cat. cuentas'!$A$1:$B$195,2,FALSE)</f>
        <v>MTTO. DE EQUIPO DE OFICINA</v>
      </c>
      <c r="D57" s="316">
        <f>'Gtos Mtto 2014'!D57/'Gtos Mtto 2014'!D$8*'Gtos Mtto 2014 (Otros)'!D$8</f>
        <v>278.33688914886301</v>
      </c>
      <c r="E57" s="316">
        <f>'Gtos Mtto 2014'!E57/'Gtos Mtto 2014'!E$8*'Gtos Mtto 2014 (Otros)'!E$8</f>
        <v>0</v>
      </c>
      <c r="F57" s="316">
        <f>'Gtos Mtto 2014'!F57/'Gtos Mtto 2014'!F$8*'Gtos Mtto 2014 (Otros)'!F$8</f>
        <v>0</v>
      </c>
      <c r="G57" s="316">
        <f>'Gtos Mtto 2014'!G57/'Gtos Mtto 2014'!G$8*'Gtos Mtto 2014 (Otros)'!G$8</f>
        <v>0</v>
      </c>
      <c r="H57" s="316">
        <f>'Gtos Mtto 2014'!H57/'Gtos Mtto 2014'!H$8*'Gtos Mtto 2014 (Otros)'!H$8</f>
        <v>0</v>
      </c>
      <c r="I57" s="316">
        <f>'Gtos Mtto 2014'!I57/'Gtos Mtto 2014'!I$8*'Gtos Mtto 2014 (Otros)'!I$8</f>
        <v>0</v>
      </c>
      <c r="J57" s="316">
        <f>'Gtos Mtto 2014'!J57/'Gtos Mtto 2014'!J$8*'Gtos Mtto 2014 (Otros)'!J$8</f>
        <v>0</v>
      </c>
      <c r="K57" s="316">
        <f>'Gtos Mtto 2014'!K57/'Gtos Mtto 2014'!K$8*'Gtos Mtto 2014 (Otros)'!K$8</f>
        <v>0</v>
      </c>
      <c r="L57" s="316">
        <f>'Gtos Mtto 2014'!L57/'Gtos Mtto 2014'!L$8*'Gtos Mtto 2014 (Otros)'!L$8</f>
        <v>0</v>
      </c>
      <c r="M57" s="316">
        <f>'Gtos Mtto 2014'!M57/'Gtos Mtto 2014'!M$8*'Gtos Mtto 2014 (Otros)'!M$8</f>
        <v>0</v>
      </c>
      <c r="N57" s="316">
        <f>'Gtos Mtto 2014'!N57/'Gtos Mtto 2014'!N$8*'Gtos Mtto 2014 (Otros)'!N$8</f>
        <v>0</v>
      </c>
      <c r="O57" s="316">
        <f>'Gtos Mtto 2014'!O57/'Gtos Mtto 2014'!O$8*'Gtos Mtto 2014 (Otros)'!O$8</f>
        <v>0</v>
      </c>
      <c r="P57" s="316">
        <f t="shared" si="17"/>
        <v>278.33688914886301</v>
      </c>
      <c r="R57" s="111" t="s">
        <v>762</v>
      </c>
      <c r="S57" s="277" t="str">
        <f t="shared" si="2"/>
        <v>0501060200</v>
      </c>
      <c r="T57" s="111" t="s">
        <v>785</v>
      </c>
      <c r="U57" s="585" t="s">
        <v>769</v>
      </c>
      <c r="V57" s="111">
        <v>2014</v>
      </c>
      <c r="W57" s="111" t="s">
        <v>770</v>
      </c>
      <c r="X57" s="111">
        <f t="shared" si="3"/>
        <v>278</v>
      </c>
      <c r="Y57" s="111">
        <f t="shared" si="4"/>
        <v>278</v>
      </c>
      <c r="Z57" s="111">
        <f t="shared" si="5"/>
        <v>0</v>
      </c>
      <c r="AA57" s="111">
        <f t="shared" si="6"/>
        <v>0</v>
      </c>
      <c r="AB57" s="111">
        <f t="shared" si="7"/>
        <v>0</v>
      </c>
      <c r="AC57" s="111">
        <f t="shared" si="8"/>
        <v>0</v>
      </c>
      <c r="AD57" s="111">
        <f t="shared" si="9"/>
        <v>0</v>
      </c>
      <c r="AE57" s="111">
        <f t="shared" si="10"/>
        <v>0</v>
      </c>
      <c r="AF57" s="111">
        <f t="shared" si="11"/>
        <v>0</v>
      </c>
      <c r="AG57" s="111">
        <f t="shared" si="12"/>
        <v>0</v>
      </c>
      <c r="AH57" s="111">
        <f t="shared" si="13"/>
        <v>0</v>
      </c>
      <c r="AI57" s="111">
        <f t="shared" si="14"/>
        <v>0</v>
      </c>
      <c r="AJ57" s="111">
        <f t="shared" si="15"/>
        <v>0</v>
      </c>
      <c r="AK57" s="111" t="s">
        <v>767</v>
      </c>
    </row>
    <row r="58" spans="1:37" ht="15" x14ac:dyDescent="0.25">
      <c r="A58" s="349"/>
      <c r="B58" s="277" t="s">
        <v>413</v>
      </c>
      <c r="C58" s="276" t="str">
        <f>VLOOKUP(B58,'Cat. cuentas'!$A$1:$B$195,2,FALSE)</f>
        <v>MTTO. EQUIPO RADIOCOMUNICACION</v>
      </c>
      <c r="D58" s="316">
        <f>'Gtos Mtto 2014'!D58/'Gtos Mtto 2014'!D$8*'Gtos Mtto 2014 (Otros)'!D$8</f>
        <v>0</v>
      </c>
      <c r="E58" s="316">
        <f>'Gtos Mtto 2014'!E58/'Gtos Mtto 2014'!E$8*'Gtos Mtto 2014 (Otros)'!E$8</f>
        <v>0</v>
      </c>
      <c r="F58" s="316">
        <f>'Gtos Mtto 2014'!F58/'Gtos Mtto 2014'!F$8*'Gtos Mtto 2014 (Otros)'!F$8</f>
        <v>318.12208453246785</v>
      </c>
      <c r="G58" s="316">
        <f>'Gtos Mtto 2014'!G58/'Gtos Mtto 2014'!G$8*'Gtos Mtto 2014 (Otros)'!G$8</f>
        <v>0</v>
      </c>
      <c r="H58" s="316">
        <f>'Gtos Mtto 2014'!H58/'Gtos Mtto 2014'!H$8*'Gtos Mtto 2014 (Otros)'!H$8</f>
        <v>0</v>
      </c>
      <c r="I58" s="316">
        <f>'Gtos Mtto 2014'!I58/'Gtos Mtto 2014'!I$8*'Gtos Mtto 2014 (Otros)'!I$8</f>
        <v>0</v>
      </c>
      <c r="J58" s="316">
        <f>'Gtos Mtto 2014'!J58/'Gtos Mtto 2014'!J$8*'Gtos Mtto 2014 (Otros)'!J$8</f>
        <v>0</v>
      </c>
      <c r="K58" s="316">
        <f>'Gtos Mtto 2014'!K58/'Gtos Mtto 2014'!K$8*'Gtos Mtto 2014 (Otros)'!K$8</f>
        <v>0</v>
      </c>
      <c r="L58" s="316">
        <f>'Gtos Mtto 2014'!L58/'Gtos Mtto 2014'!L$8*'Gtos Mtto 2014 (Otros)'!L$8</f>
        <v>0</v>
      </c>
      <c r="M58" s="316">
        <f>'Gtos Mtto 2014'!M58/'Gtos Mtto 2014'!M$8*'Gtos Mtto 2014 (Otros)'!M$8</f>
        <v>0</v>
      </c>
      <c r="N58" s="316">
        <f>'Gtos Mtto 2014'!N58/'Gtos Mtto 2014'!N$8*'Gtos Mtto 2014 (Otros)'!N$8</f>
        <v>0</v>
      </c>
      <c r="O58" s="316">
        <f>'Gtos Mtto 2014'!O58/'Gtos Mtto 2014'!O$8*'Gtos Mtto 2014 (Otros)'!O$8</f>
        <v>0</v>
      </c>
      <c r="P58" s="449">
        <f t="shared" si="17"/>
        <v>318.12208453246785</v>
      </c>
      <c r="R58" s="111" t="s">
        <v>762</v>
      </c>
      <c r="S58" s="277" t="str">
        <f t="shared" si="2"/>
        <v>0501060600</v>
      </c>
      <c r="T58" s="111" t="s">
        <v>785</v>
      </c>
      <c r="U58" s="585" t="s">
        <v>769</v>
      </c>
      <c r="V58" s="111">
        <v>2014</v>
      </c>
      <c r="W58" s="111" t="s">
        <v>770</v>
      </c>
      <c r="X58" s="111">
        <f t="shared" si="3"/>
        <v>318</v>
      </c>
      <c r="Y58" s="111">
        <f t="shared" si="4"/>
        <v>0</v>
      </c>
      <c r="Z58" s="111">
        <f t="shared" si="5"/>
        <v>0</v>
      </c>
      <c r="AA58" s="111">
        <f t="shared" si="6"/>
        <v>318</v>
      </c>
      <c r="AB58" s="111">
        <f t="shared" si="7"/>
        <v>0</v>
      </c>
      <c r="AC58" s="111">
        <f t="shared" si="8"/>
        <v>0</v>
      </c>
      <c r="AD58" s="111">
        <f t="shared" si="9"/>
        <v>0</v>
      </c>
      <c r="AE58" s="111">
        <f t="shared" si="10"/>
        <v>0</v>
      </c>
      <c r="AF58" s="111">
        <f t="shared" si="11"/>
        <v>0</v>
      </c>
      <c r="AG58" s="111">
        <f t="shared" si="12"/>
        <v>0</v>
      </c>
      <c r="AH58" s="111">
        <f t="shared" si="13"/>
        <v>0</v>
      </c>
      <c r="AI58" s="111">
        <f t="shared" si="14"/>
        <v>0</v>
      </c>
      <c r="AJ58" s="111">
        <f t="shared" si="15"/>
        <v>0</v>
      </c>
      <c r="AK58" s="111" t="s">
        <v>767</v>
      </c>
    </row>
    <row r="59" spans="1:37" ht="15" x14ac:dyDescent="0.25">
      <c r="A59" s="349"/>
      <c r="B59" s="469" t="s">
        <v>417</v>
      </c>
      <c r="C59" s="276" t="str">
        <f>VLOOKUP(B59,'Cat. cuentas'!$A$1:$B$195,2,FALSE)</f>
        <v>MTTO. DE MAQUINARIA Y EQUIPO</v>
      </c>
      <c r="D59" s="316">
        <f>'Gtos Mtto 2014'!D59/'Gtos Mtto 2014'!D$8*'Gtos Mtto 2014 (Otros)'!D$8</f>
        <v>0</v>
      </c>
      <c r="E59" s="316">
        <f>'Gtos Mtto 2014'!E59/'Gtos Mtto 2014'!E$8*'Gtos Mtto 2014 (Otros)'!E$8</f>
        <v>0</v>
      </c>
      <c r="F59" s="316">
        <f>'Gtos Mtto 2014'!F59/'Gtos Mtto 2014'!F$8*'Gtos Mtto 2014 (Otros)'!F$8</f>
        <v>0</v>
      </c>
      <c r="G59" s="316">
        <f>'Gtos Mtto 2014'!G59/'Gtos Mtto 2014'!G$8*'Gtos Mtto 2014 (Otros)'!G$8</f>
        <v>0</v>
      </c>
      <c r="H59" s="316">
        <f>'Gtos Mtto 2014'!H59/'Gtos Mtto 2014'!H$8*'Gtos Mtto 2014 (Otros)'!H$8</f>
        <v>1395.8676139647123</v>
      </c>
      <c r="I59" s="316">
        <f>'Gtos Mtto 2014'!I59/'Gtos Mtto 2014'!I$8*'Gtos Mtto 2014 (Otros)'!I$8</f>
        <v>0</v>
      </c>
      <c r="J59" s="316">
        <f>'Gtos Mtto 2014'!J59/'Gtos Mtto 2014'!J$8*'Gtos Mtto 2014 (Otros)'!J$8</f>
        <v>0</v>
      </c>
      <c r="K59" s="316">
        <f>'Gtos Mtto 2014'!K59/'Gtos Mtto 2014'!K$8*'Gtos Mtto 2014 (Otros)'!K$8</f>
        <v>0</v>
      </c>
      <c r="L59" s="316">
        <f>'Gtos Mtto 2014'!L59/'Gtos Mtto 2014'!L$8*'Gtos Mtto 2014 (Otros)'!L$8</f>
        <v>0</v>
      </c>
      <c r="M59" s="316">
        <f>'Gtos Mtto 2014'!M59/'Gtos Mtto 2014'!M$8*'Gtos Mtto 2014 (Otros)'!M$8</f>
        <v>0</v>
      </c>
      <c r="N59" s="316">
        <f>'Gtos Mtto 2014'!N59/'Gtos Mtto 2014'!N$8*'Gtos Mtto 2014 (Otros)'!N$8</f>
        <v>0</v>
      </c>
      <c r="O59" s="316">
        <f>'Gtos Mtto 2014'!O59/'Gtos Mtto 2014'!O$8*'Gtos Mtto 2014 (Otros)'!O$8</f>
        <v>0</v>
      </c>
      <c r="P59" s="449">
        <f t="shared" si="17"/>
        <v>1395.8676139647123</v>
      </c>
      <c r="R59" s="111" t="s">
        <v>762</v>
      </c>
      <c r="S59" s="277" t="str">
        <f t="shared" si="2"/>
        <v>0501060800</v>
      </c>
      <c r="T59" s="111" t="s">
        <v>785</v>
      </c>
      <c r="U59" s="585" t="s">
        <v>769</v>
      </c>
      <c r="V59" s="111">
        <v>2014</v>
      </c>
      <c r="W59" s="111" t="s">
        <v>770</v>
      </c>
      <c r="X59" s="111">
        <f t="shared" si="3"/>
        <v>1396</v>
      </c>
      <c r="Y59" s="111">
        <f t="shared" si="4"/>
        <v>0</v>
      </c>
      <c r="Z59" s="111">
        <f t="shared" si="5"/>
        <v>0</v>
      </c>
      <c r="AA59" s="111">
        <f t="shared" si="6"/>
        <v>0</v>
      </c>
      <c r="AB59" s="111">
        <f t="shared" si="7"/>
        <v>0</v>
      </c>
      <c r="AC59" s="111">
        <f t="shared" si="8"/>
        <v>1396</v>
      </c>
      <c r="AD59" s="111">
        <f t="shared" si="9"/>
        <v>0</v>
      </c>
      <c r="AE59" s="111">
        <f t="shared" si="10"/>
        <v>0</v>
      </c>
      <c r="AF59" s="111">
        <f t="shared" si="11"/>
        <v>0</v>
      </c>
      <c r="AG59" s="111">
        <f t="shared" si="12"/>
        <v>0</v>
      </c>
      <c r="AH59" s="111">
        <f t="shared" si="13"/>
        <v>0</v>
      </c>
      <c r="AI59" s="111">
        <f t="shared" si="14"/>
        <v>0</v>
      </c>
      <c r="AJ59" s="111">
        <f t="shared" si="15"/>
        <v>0</v>
      </c>
      <c r="AK59" s="111" t="s">
        <v>767</v>
      </c>
    </row>
    <row r="60" spans="1:37" ht="15" x14ac:dyDescent="0.25">
      <c r="A60" s="349" t="s">
        <v>331</v>
      </c>
      <c r="B60" s="312" t="s">
        <v>314</v>
      </c>
      <c r="C60" s="276" t="str">
        <f>VLOOKUP(B60,'Cat. cuentas'!$A$1:$B$195,2,FALSE)</f>
        <v>LAVADO LOCAL</v>
      </c>
      <c r="D60" s="316">
        <f>'Gtos Mtto 2014'!D60/'Gtos Mtto 2014'!D$8*'Gtos Mtto 2014 (Otros)'!D$8</f>
        <v>1825.9613612496564</v>
      </c>
      <c r="E60" s="316">
        <f>'Gtos Mtto 2014'!E60/'Gtos Mtto 2014'!E$8*'Gtos Mtto 2014 (Otros)'!E$8</f>
        <v>1876.3183246512087</v>
      </c>
      <c r="F60" s="316">
        <f>'Gtos Mtto 2014'!F60/'Gtos Mtto 2014'!F$8*'Gtos Mtto 2014 (Otros)'!F$8</f>
        <v>128.521322151117</v>
      </c>
      <c r="G60" s="316">
        <f>'Gtos Mtto 2014'!G60/'Gtos Mtto 2014'!G$8*'Gtos Mtto 2014 (Otros)'!G$8</f>
        <v>122.16515897438352</v>
      </c>
      <c r="H60" s="316">
        <f>'Gtos Mtto 2014'!H60/'Gtos Mtto 2014'!H$8*'Gtos Mtto 2014 (Otros)'!H$8</f>
        <v>1800.3914374146848</v>
      </c>
      <c r="I60" s="316">
        <f>'Gtos Mtto 2014'!I60/'Gtos Mtto 2014'!I$8*'Gtos Mtto 2014 (Otros)'!I$8</f>
        <v>1797.5551959623233</v>
      </c>
      <c r="J60" s="316">
        <f>'Gtos Mtto 2014'!J60/'Gtos Mtto 2014'!J$8*'Gtos Mtto 2014 (Otros)'!J$8</f>
        <v>117.93142814842088</v>
      </c>
      <c r="K60" s="316">
        <f>'Gtos Mtto 2014'!K60/'Gtos Mtto 2014'!K$8*'Gtos Mtto 2014 (Otros)'!K$8</f>
        <v>120.81080594570922</v>
      </c>
      <c r="L60" s="316">
        <f>'Gtos Mtto 2014'!L60/'Gtos Mtto 2014'!L$8*'Gtos Mtto 2014 (Otros)'!L$8</f>
        <v>1940.196357515139</v>
      </c>
      <c r="M60" s="316">
        <f>'Gtos Mtto 2014'!M60/'Gtos Mtto 2014'!M$8*'Gtos Mtto 2014 (Otros)'!M$8</f>
        <v>1507.3573190287152</v>
      </c>
      <c r="N60" s="316">
        <f>'Gtos Mtto 2014'!N60/'Gtos Mtto 2014'!N$8*'Gtos Mtto 2014 (Otros)'!N$8</f>
        <v>120.08803992299924</v>
      </c>
      <c r="O60" s="316">
        <f>'Gtos Mtto 2014'!O60/'Gtos Mtto 2014'!O$8*'Gtos Mtto 2014 (Otros)'!O$8</f>
        <v>120.47417509960052</v>
      </c>
      <c r="P60" s="449">
        <f t="shared" si="17"/>
        <v>11477.770926063957</v>
      </c>
      <c r="R60" s="111" t="s">
        <v>762</v>
      </c>
      <c r="S60" s="277" t="str">
        <f t="shared" si="2"/>
        <v>0501150100</v>
      </c>
      <c r="T60" s="111" t="s">
        <v>785</v>
      </c>
      <c r="U60" s="585" t="s">
        <v>769</v>
      </c>
      <c r="V60" s="111">
        <v>2014</v>
      </c>
      <c r="W60" s="111" t="s">
        <v>770</v>
      </c>
      <c r="X60" s="111">
        <f t="shared" si="3"/>
        <v>11477</v>
      </c>
      <c r="Y60" s="111">
        <f t="shared" si="4"/>
        <v>1826</v>
      </c>
      <c r="Z60" s="111">
        <f t="shared" si="5"/>
        <v>1876</v>
      </c>
      <c r="AA60" s="111">
        <f t="shared" si="6"/>
        <v>129</v>
      </c>
      <c r="AB60" s="111">
        <f t="shared" si="7"/>
        <v>122</v>
      </c>
      <c r="AC60" s="111">
        <f t="shared" si="8"/>
        <v>1800</v>
      </c>
      <c r="AD60" s="111">
        <f t="shared" si="9"/>
        <v>1798</v>
      </c>
      <c r="AE60" s="111">
        <f t="shared" si="10"/>
        <v>118</v>
      </c>
      <c r="AF60" s="111">
        <f t="shared" si="11"/>
        <v>121</v>
      </c>
      <c r="AG60" s="111">
        <f t="shared" si="12"/>
        <v>1940</v>
      </c>
      <c r="AH60" s="111">
        <f t="shared" si="13"/>
        <v>1507</v>
      </c>
      <c r="AI60" s="111">
        <f t="shared" si="14"/>
        <v>120</v>
      </c>
      <c r="AJ60" s="111">
        <f t="shared" si="15"/>
        <v>120</v>
      </c>
      <c r="AK60" s="111" t="s">
        <v>767</v>
      </c>
    </row>
    <row r="61" spans="1:37" ht="15" x14ac:dyDescent="0.25">
      <c r="A61" s="349" t="s">
        <v>332</v>
      </c>
      <c r="B61" s="277" t="s">
        <v>540</v>
      </c>
      <c r="C61" s="276" t="str">
        <f>VLOOKUP(B61,'Cat. cuentas'!$A$1:$B$195,2,FALSE)</f>
        <v>SANDBLASTEO</v>
      </c>
      <c r="D61" s="316">
        <f>'Gtos Mtto 2014'!D61/'Gtos Mtto 2014'!D$8*'Gtos Mtto 2014 (Otros)'!D$8</f>
        <v>1712.8423947622339</v>
      </c>
      <c r="E61" s="316">
        <f>'Gtos Mtto 2014'!E61/'Gtos Mtto 2014'!E$8*'Gtos Mtto 2014 (Otros)'!E$8</f>
        <v>1754.2516475118432</v>
      </c>
      <c r="F61" s="316">
        <f>'Gtos Mtto 2014'!F61/'Gtos Mtto 2014'!F$8*'Gtos Mtto 2014 (Otros)'!F$8</f>
        <v>1696.6511175064952</v>
      </c>
      <c r="G61" s="316">
        <f>'Gtos Mtto 2014'!G61/'Gtos Mtto 2014'!G$8*'Gtos Mtto 2014 (Otros)'!G$8</f>
        <v>1607.4363022945199</v>
      </c>
      <c r="H61" s="316">
        <f>'Gtos Mtto 2014'!H61/'Gtos Mtto 2014'!H$8*'Gtos Mtto 2014 (Otros)'!H$8</f>
        <v>1666.7075987638357</v>
      </c>
      <c r="I61" s="316">
        <f>'Gtos Mtto 2014'!I61/'Gtos Mtto 2014'!I$8*'Gtos Mtto 2014 (Otros)'!I$8</f>
        <v>1658.6437794346696</v>
      </c>
      <c r="J61" s="316">
        <f>'Gtos Mtto 2014'!J61/'Gtos Mtto 2014'!J$8*'Gtos Mtto 2014 (Otros)'!J$8</f>
        <v>1536.565839067373</v>
      </c>
      <c r="K61" s="316">
        <f>'Gtos Mtto 2014'!K61/'Gtos Mtto 2014'!K$8*'Gtos Mtto 2014 (Otros)'!K$8</f>
        <v>1568.9715057884316</v>
      </c>
      <c r="L61" s="316">
        <f>'Gtos Mtto 2014'!L61/'Gtos Mtto 2014'!L$8*'Gtos Mtto 2014 (Otros)'!L$8</f>
        <v>1772.8807378779113</v>
      </c>
      <c r="M61" s="316">
        <f>'Gtos Mtto 2014'!M61/'Gtos Mtto 2014'!M$8*'Gtos Mtto 2014 (Otros)'!M$8</f>
        <v>1372.9250723601199</v>
      </c>
      <c r="N61" s="316">
        <f>'Gtos Mtto 2014'!N61/'Gtos Mtto 2014'!N$8*'Gtos Mtto 2014 (Otros)'!N$8</f>
        <v>1544.5407064051349</v>
      </c>
      <c r="O61" s="316">
        <f>'Gtos Mtto 2014'!O61/'Gtos Mtto 2014'!O$8*'Gtos Mtto 2014 (Otros)'!O$8</f>
        <v>1544.5407064051349</v>
      </c>
      <c r="P61" s="449">
        <f t="shared" si="17"/>
        <v>19436.957408177703</v>
      </c>
      <c r="R61" s="111" t="s">
        <v>762</v>
      </c>
      <c r="S61" s="277" t="str">
        <f t="shared" si="2"/>
        <v>0501153700</v>
      </c>
      <c r="T61" s="111" t="s">
        <v>785</v>
      </c>
      <c r="U61" s="585" t="s">
        <v>769</v>
      </c>
      <c r="V61" s="111">
        <v>2014</v>
      </c>
      <c r="W61" s="111" t="s">
        <v>770</v>
      </c>
      <c r="X61" s="111">
        <f t="shared" si="3"/>
        <v>19439</v>
      </c>
      <c r="Y61" s="111">
        <f t="shared" si="4"/>
        <v>1713</v>
      </c>
      <c r="Z61" s="111">
        <f t="shared" si="5"/>
        <v>1754</v>
      </c>
      <c r="AA61" s="111">
        <f t="shared" si="6"/>
        <v>1697</v>
      </c>
      <c r="AB61" s="111">
        <f t="shared" si="7"/>
        <v>1607</v>
      </c>
      <c r="AC61" s="111">
        <f t="shared" si="8"/>
        <v>1667</v>
      </c>
      <c r="AD61" s="111">
        <f t="shared" si="9"/>
        <v>1659</v>
      </c>
      <c r="AE61" s="111">
        <f t="shared" si="10"/>
        <v>1537</v>
      </c>
      <c r="AF61" s="111">
        <f t="shared" si="11"/>
        <v>1569</v>
      </c>
      <c r="AG61" s="111">
        <f t="shared" si="12"/>
        <v>1773</v>
      </c>
      <c r="AH61" s="111">
        <f t="shared" si="13"/>
        <v>1373</v>
      </c>
      <c r="AI61" s="111">
        <f t="shared" si="14"/>
        <v>1545</v>
      </c>
      <c r="AJ61" s="111">
        <f t="shared" si="15"/>
        <v>1545</v>
      </c>
      <c r="AK61" s="111" t="s">
        <v>767</v>
      </c>
    </row>
    <row r="62" spans="1:37" ht="15" x14ac:dyDescent="0.25">
      <c r="A62" s="349"/>
      <c r="B62" s="277"/>
      <c r="C62" s="111"/>
      <c r="D62" s="299"/>
      <c r="E62" s="299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449">
        <f>SUM(D62:O62)</f>
        <v>0</v>
      </c>
    </row>
    <row r="63" spans="1:37" ht="15" x14ac:dyDescent="0.25">
      <c r="A63" s="350" t="s">
        <v>292</v>
      </c>
      <c r="B63" s="290"/>
      <c r="C63" s="292"/>
      <c r="D63" s="307">
        <f t="shared" ref="D63:P63" si="18">SUM(D34:D62)</f>
        <v>128268.19995478372</v>
      </c>
      <c r="E63" s="307">
        <f t="shared" si="18"/>
        <v>126823.04216081552</v>
      </c>
      <c r="F63" s="307">
        <f t="shared" si="18"/>
        <v>125365.95883095462</v>
      </c>
      <c r="G63" s="307">
        <f t="shared" si="18"/>
        <v>124775.54378210456</v>
      </c>
      <c r="H63" s="307">
        <f t="shared" si="18"/>
        <v>132443.75250206588</v>
      </c>
      <c r="I63" s="307">
        <f t="shared" si="18"/>
        <v>127635.09852178719</v>
      </c>
      <c r="J63" s="307">
        <f t="shared" si="18"/>
        <v>125436.42482428244</v>
      </c>
      <c r="K63" s="307">
        <f t="shared" si="18"/>
        <v>126082.39394576351</v>
      </c>
      <c r="L63" s="307">
        <f t="shared" si="18"/>
        <v>129844.25225370056</v>
      </c>
      <c r="M63" s="307">
        <f t="shared" si="18"/>
        <v>126779.33546168086</v>
      </c>
      <c r="N63" s="307">
        <f t="shared" si="18"/>
        <v>127092.76132167429</v>
      </c>
      <c r="O63" s="307">
        <f t="shared" si="18"/>
        <v>127491.67321937637</v>
      </c>
      <c r="P63" s="308">
        <f t="shared" si="18"/>
        <v>1528038.4367789894</v>
      </c>
      <c r="Q63" s="20"/>
    </row>
    <row r="64" spans="1:37" ht="15.75" thickBot="1" x14ac:dyDescent="0.3">
      <c r="A64" s="355" t="s">
        <v>333</v>
      </c>
      <c r="B64" s="340"/>
      <c r="C64" s="341"/>
      <c r="D64" s="356">
        <f t="shared" ref="D64:P64" si="19">D63+D32</f>
        <v>133395.07995478372</v>
      </c>
      <c r="E64" s="356">
        <f t="shared" si="19"/>
        <v>131949.92216081551</v>
      </c>
      <c r="F64" s="356">
        <f t="shared" si="19"/>
        <v>130492.83883095463</v>
      </c>
      <c r="G64" s="356">
        <f t="shared" si="19"/>
        <v>129902.42378210457</v>
      </c>
      <c r="H64" s="356">
        <f t="shared" si="19"/>
        <v>137570.63250206588</v>
      </c>
      <c r="I64" s="356">
        <f t="shared" si="19"/>
        <v>132761.97852178718</v>
      </c>
      <c r="J64" s="356">
        <f t="shared" si="19"/>
        <v>130563.30482428244</v>
      </c>
      <c r="K64" s="356">
        <f t="shared" si="19"/>
        <v>131209.2739457635</v>
      </c>
      <c r="L64" s="356">
        <f t="shared" si="19"/>
        <v>134971.13225370055</v>
      </c>
      <c r="M64" s="356">
        <f t="shared" si="19"/>
        <v>131906.21546168087</v>
      </c>
      <c r="N64" s="356">
        <f t="shared" si="19"/>
        <v>132219.64132167428</v>
      </c>
      <c r="O64" s="356">
        <f t="shared" si="19"/>
        <v>132618.55321937636</v>
      </c>
      <c r="P64" s="357">
        <f t="shared" si="19"/>
        <v>1589560.9967789894</v>
      </c>
      <c r="Q64" s="10"/>
    </row>
    <row r="67" spans="16:16" x14ac:dyDescent="0.2">
      <c r="P67" s="10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0"/>
  <sheetViews>
    <sheetView topLeftCell="A185" zoomScale="80" zoomScaleNormal="80" workbookViewId="0">
      <selection activeCell="H209" sqref="H209"/>
    </sheetView>
  </sheetViews>
  <sheetFormatPr baseColWidth="10" defaultRowHeight="12.75" x14ac:dyDescent="0.2"/>
  <cols>
    <col min="1" max="1" width="33.85546875" customWidth="1"/>
    <col min="2" max="13" width="12.85546875" bestFit="1" customWidth="1"/>
    <col min="14" max="14" width="13.85546875" bestFit="1" customWidth="1"/>
    <col min="15" max="15" width="13.42578125" customWidth="1"/>
    <col min="16" max="16" width="17.28515625" customWidth="1"/>
  </cols>
  <sheetData>
    <row r="2" spans="1:16" x14ac:dyDescent="0.2">
      <c r="A2" s="183" t="s">
        <v>109</v>
      </c>
      <c r="B2" s="117" t="s">
        <v>5</v>
      </c>
      <c r="C2" s="117" t="s">
        <v>6</v>
      </c>
      <c r="D2" s="117" t="s">
        <v>7</v>
      </c>
      <c r="E2" s="117" t="s">
        <v>8</v>
      </c>
      <c r="F2" s="117" t="s">
        <v>9</v>
      </c>
      <c r="G2" s="117" t="s">
        <v>10</v>
      </c>
      <c r="H2" s="117" t="s">
        <v>11</v>
      </c>
      <c r="I2" s="117" t="s">
        <v>12</v>
      </c>
      <c r="J2" s="117" t="s">
        <v>13</v>
      </c>
      <c r="K2" s="117" t="s">
        <v>14</v>
      </c>
      <c r="L2" s="117" t="s">
        <v>15</v>
      </c>
      <c r="M2" s="117" t="s">
        <v>16</v>
      </c>
      <c r="N2" s="117" t="s">
        <v>36</v>
      </c>
    </row>
    <row r="3" spans="1:16" x14ac:dyDescent="0.2">
      <c r="A3" s="127" t="s">
        <v>100</v>
      </c>
      <c r="B3" s="128">
        <v>5687724.479999993</v>
      </c>
      <c r="C3" s="128">
        <v>5352069.410000002</v>
      </c>
      <c r="D3" s="128">
        <v>5622079.1700000018</v>
      </c>
      <c r="E3" s="128">
        <v>5385096.0599999987</v>
      </c>
      <c r="F3" s="128">
        <v>4965374.1499999985</v>
      </c>
      <c r="G3" s="128">
        <v>4375395.080000001</v>
      </c>
      <c r="H3" s="128">
        <v>5588292.3499999987</v>
      </c>
      <c r="I3" s="128">
        <v>6010595.450000002</v>
      </c>
      <c r="J3" s="128">
        <v>5229893.4799999995</v>
      </c>
      <c r="K3" s="128">
        <v>7394493.3299999963</v>
      </c>
      <c r="L3" s="192">
        <f t="shared" ref="L3:M14" si="0">$K67*L51</f>
        <v>6572882.9599999962</v>
      </c>
      <c r="M3" s="192">
        <f t="shared" si="0"/>
        <v>6572882.9599999962</v>
      </c>
      <c r="N3" s="119">
        <f>SUM(B3:M3)</f>
        <v>68756778.87999998</v>
      </c>
    </row>
    <row r="4" spans="1:16" x14ac:dyDescent="0.2">
      <c r="A4" s="129" t="s">
        <v>152</v>
      </c>
      <c r="B4" s="130" t="str">
        <f>caratula!B26</f>
        <v>PRESUPUESTO  2014</v>
      </c>
      <c r="C4" s="130">
        <v>523179.75</v>
      </c>
      <c r="D4" s="130">
        <v>307938.33999999991</v>
      </c>
      <c r="E4" s="130">
        <v>253056.92000000004</v>
      </c>
      <c r="F4" s="130">
        <v>218349.5</v>
      </c>
      <c r="G4" s="130">
        <v>323201.29000000015</v>
      </c>
      <c r="H4" s="130">
        <v>465656.37</v>
      </c>
      <c r="I4" s="130">
        <v>528619.80999999994</v>
      </c>
      <c r="J4" s="130">
        <v>738155.23999999953</v>
      </c>
      <c r="K4" s="130">
        <v>884926.5699999996</v>
      </c>
      <c r="L4" s="192">
        <f t="shared" si="0"/>
        <v>786601.39555555524</v>
      </c>
      <c r="M4" s="192">
        <f t="shared" si="0"/>
        <v>786601.39555555524</v>
      </c>
      <c r="N4" s="119">
        <f t="shared" ref="N4:N14" si="1">SUM(B4:M4)</f>
        <v>5816286.5811111089</v>
      </c>
    </row>
    <row r="5" spans="1:16" x14ac:dyDescent="0.2">
      <c r="A5" s="129" t="s">
        <v>161</v>
      </c>
      <c r="B5" s="130">
        <v>6511874.8200000003</v>
      </c>
      <c r="C5" s="130">
        <v>7130396.1600000076</v>
      </c>
      <c r="D5" s="130">
        <v>10080772.840000028</v>
      </c>
      <c r="E5" s="130">
        <v>8852951.8300000019</v>
      </c>
      <c r="F5" s="130">
        <v>7115947.4800000023</v>
      </c>
      <c r="G5" s="130">
        <v>6138576.4800000088</v>
      </c>
      <c r="H5" s="130">
        <v>5917870.2899999954</v>
      </c>
      <c r="I5" s="130">
        <v>5421615.410000002</v>
      </c>
      <c r="J5" s="130">
        <v>3814439.6999999983</v>
      </c>
      <c r="K5" s="130">
        <v>5893784.8400000036</v>
      </c>
      <c r="L5" s="192">
        <f t="shared" si="0"/>
        <v>5238919.8577777818</v>
      </c>
      <c r="M5" s="192">
        <f t="shared" si="0"/>
        <v>5238919.8577777818</v>
      </c>
      <c r="N5" s="119">
        <f t="shared" si="1"/>
        <v>77356069.565555602</v>
      </c>
    </row>
    <row r="6" spans="1:16" x14ac:dyDescent="0.2">
      <c r="A6" s="129" t="s">
        <v>101</v>
      </c>
      <c r="B6" s="130">
        <v>1333731.1700000011</v>
      </c>
      <c r="C6" s="130">
        <v>1676179.2099999997</v>
      </c>
      <c r="D6" s="130">
        <v>2443678.67</v>
      </c>
      <c r="E6" s="130">
        <v>1764617.7599999993</v>
      </c>
      <c r="F6" s="130">
        <v>1241721.0399999998</v>
      </c>
      <c r="G6" s="130">
        <v>1423976.7000000011</v>
      </c>
      <c r="H6" s="130">
        <v>1205536.6900000002</v>
      </c>
      <c r="I6" s="130">
        <v>1135543.3399999996</v>
      </c>
      <c r="J6" s="130">
        <v>932590.61999999988</v>
      </c>
      <c r="K6" s="130">
        <v>2395322.4500000016</v>
      </c>
      <c r="L6" s="192">
        <f t="shared" si="0"/>
        <v>2129175.5111111123</v>
      </c>
      <c r="M6" s="192">
        <f t="shared" si="0"/>
        <v>2129175.5111111123</v>
      </c>
      <c r="N6" s="119">
        <f t="shared" si="1"/>
        <v>19811248.672222227</v>
      </c>
    </row>
    <row r="7" spans="1:16" x14ac:dyDescent="0.2">
      <c r="A7" s="129" t="s">
        <v>39</v>
      </c>
      <c r="B7" s="130">
        <v>1164425.2300000002</v>
      </c>
      <c r="C7" s="130">
        <v>1160224.9400000002</v>
      </c>
      <c r="D7" s="130">
        <v>694515.83000000019</v>
      </c>
      <c r="E7" s="130">
        <v>990804.16000000038</v>
      </c>
      <c r="F7" s="130">
        <v>754159.14000000025</v>
      </c>
      <c r="G7" s="130">
        <v>1047059.3500000007</v>
      </c>
      <c r="H7" s="130">
        <v>1290948.1100000003</v>
      </c>
      <c r="I7" s="130">
        <v>940394.3600000001</v>
      </c>
      <c r="J7" s="130">
        <v>1140622.95</v>
      </c>
      <c r="K7" s="130">
        <v>1060997.9199999997</v>
      </c>
      <c r="L7" s="192">
        <f t="shared" si="0"/>
        <v>943109.26222222205</v>
      </c>
      <c r="M7" s="192">
        <f t="shared" si="0"/>
        <v>943109.26222222205</v>
      </c>
      <c r="N7" s="119">
        <f t="shared" si="1"/>
        <v>12130370.514444448</v>
      </c>
      <c r="O7" t="s">
        <v>205</v>
      </c>
      <c r="P7" t="s">
        <v>206</v>
      </c>
    </row>
    <row r="8" spans="1:16" x14ac:dyDescent="0.2">
      <c r="A8" s="212" t="s">
        <v>44</v>
      </c>
      <c r="B8" s="213">
        <v>130189.16999999998</v>
      </c>
      <c r="C8" s="213">
        <v>67744.08</v>
      </c>
      <c r="D8" s="213">
        <v>81970.340000000011</v>
      </c>
      <c r="E8" s="213">
        <v>200264.03</v>
      </c>
      <c r="F8" s="213">
        <v>157347.82</v>
      </c>
      <c r="G8" s="213">
        <v>139371.78</v>
      </c>
      <c r="H8" s="213">
        <v>184863.58</v>
      </c>
      <c r="I8" s="213">
        <v>149719.78999999998</v>
      </c>
      <c r="J8" s="213">
        <v>81642.87</v>
      </c>
      <c r="K8" s="213">
        <v>168010.71999999997</v>
      </c>
      <c r="L8" s="214">
        <f t="shared" si="0"/>
        <v>149342.8622222222</v>
      </c>
      <c r="M8" s="214">
        <f t="shared" si="0"/>
        <v>149342.8622222222</v>
      </c>
      <c r="N8" s="215">
        <f t="shared" si="1"/>
        <v>1659809.9044444442</v>
      </c>
      <c r="O8" s="17">
        <f t="shared" ref="O8:O13" si="2">N8/N56</f>
        <v>173.58433334221496</v>
      </c>
    </row>
    <row r="9" spans="1:16" x14ac:dyDescent="0.2">
      <c r="A9" s="212" t="s">
        <v>45</v>
      </c>
      <c r="B9" s="213"/>
      <c r="C9" s="213">
        <v>126426.01000000001</v>
      </c>
      <c r="D9" s="213">
        <v>50561.779999999992</v>
      </c>
      <c r="E9" s="213">
        <v>40433.33</v>
      </c>
      <c r="F9" s="213">
        <v>91356.56</v>
      </c>
      <c r="G9" s="213">
        <v>24761.5</v>
      </c>
      <c r="H9" s="213"/>
      <c r="I9" s="213">
        <v>20025.099999999999</v>
      </c>
      <c r="J9" s="213">
        <v>50859.099999999991</v>
      </c>
      <c r="K9" s="213">
        <v>84585.909999999989</v>
      </c>
      <c r="L9" s="214">
        <f t="shared" si="0"/>
        <v>75187.475555555546</v>
      </c>
      <c r="M9" s="214">
        <f t="shared" si="0"/>
        <v>75187.475555555546</v>
      </c>
      <c r="N9" s="215">
        <f t="shared" si="1"/>
        <v>639384.24111111101</v>
      </c>
      <c r="O9" s="17">
        <f t="shared" si="2"/>
        <v>167.00051059663596</v>
      </c>
    </row>
    <row r="10" spans="1:16" x14ac:dyDescent="0.2">
      <c r="A10" s="212" t="s">
        <v>154</v>
      </c>
      <c r="B10" s="213">
        <v>16925.989999999998</v>
      </c>
      <c r="C10" s="213">
        <v>22625.999999999996</v>
      </c>
      <c r="D10" s="213">
        <v>19718.39</v>
      </c>
      <c r="E10" s="213"/>
      <c r="F10" s="213">
        <v>27800.85</v>
      </c>
      <c r="G10" s="213"/>
      <c r="H10" s="213"/>
      <c r="I10" s="213">
        <v>12514.13</v>
      </c>
      <c r="J10" s="213"/>
      <c r="K10" s="213">
        <v>30227.82</v>
      </c>
      <c r="L10" s="214">
        <f t="shared" si="0"/>
        <v>26869.173333333336</v>
      </c>
      <c r="M10" s="214">
        <f t="shared" si="0"/>
        <v>26869.173333333336</v>
      </c>
      <c r="N10" s="215">
        <f t="shared" si="1"/>
        <v>183551.52666666667</v>
      </c>
      <c r="O10" s="17">
        <f t="shared" si="2"/>
        <v>176.63196927049503</v>
      </c>
    </row>
    <row r="11" spans="1:16" x14ac:dyDescent="0.2">
      <c r="A11" s="212" t="s">
        <v>41</v>
      </c>
      <c r="B11" s="213">
        <v>790820.55999999959</v>
      </c>
      <c r="C11" s="213">
        <v>884812.69000000018</v>
      </c>
      <c r="D11" s="213">
        <v>772580.23</v>
      </c>
      <c r="E11" s="213">
        <v>998301.39999999898</v>
      </c>
      <c r="F11" s="213">
        <v>935790.56999999948</v>
      </c>
      <c r="G11" s="213">
        <v>1243396.2199999997</v>
      </c>
      <c r="H11" s="213">
        <v>867522.33000000019</v>
      </c>
      <c r="I11" s="213">
        <v>981523.82000000018</v>
      </c>
      <c r="J11" s="213">
        <v>775266.41000000038</v>
      </c>
      <c r="K11" s="213">
        <v>815954.55</v>
      </c>
      <c r="L11" s="214">
        <f t="shared" si="0"/>
        <v>725292.93333333335</v>
      </c>
      <c r="M11" s="214">
        <f t="shared" si="0"/>
        <v>725292.93333333335</v>
      </c>
      <c r="N11" s="215">
        <f t="shared" si="1"/>
        <v>10516554.646666666</v>
      </c>
      <c r="O11" s="17">
        <f t="shared" si="2"/>
        <v>123.02294154690807</v>
      </c>
    </row>
    <row r="12" spans="1:16" x14ac:dyDescent="0.2">
      <c r="A12" s="212" t="s">
        <v>102</v>
      </c>
      <c r="B12" s="213">
        <v>4947219.3699999992</v>
      </c>
      <c r="C12" s="213">
        <v>5162986.37</v>
      </c>
      <c r="D12" s="213">
        <v>4991794.5399999982</v>
      </c>
      <c r="E12" s="213">
        <v>5762660.7799999937</v>
      </c>
      <c r="F12" s="213">
        <v>5550438.7899999898</v>
      </c>
      <c r="G12" s="213">
        <v>5119995.5000000028</v>
      </c>
      <c r="H12" s="213">
        <v>5061866.96</v>
      </c>
      <c r="I12" s="213">
        <v>4663762.7199999988</v>
      </c>
      <c r="J12" s="213">
        <v>5032595.8000000017</v>
      </c>
      <c r="K12" s="213">
        <v>6476486.2700000051</v>
      </c>
      <c r="L12" s="214">
        <f t="shared" si="0"/>
        <v>5756876.6844444489</v>
      </c>
      <c r="M12" s="214">
        <f t="shared" si="0"/>
        <v>5756876.6844444489</v>
      </c>
      <c r="N12" s="215">
        <f t="shared" si="1"/>
        <v>64283560.468888886</v>
      </c>
      <c r="O12" s="17">
        <f t="shared" si="2"/>
        <v>263.68910534902898</v>
      </c>
    </row>
    <row r="13" spans="1:16" x14ac:dyDescent="0.2">
      <c r="A13" s="212" t="s">
        <v>153</v>
      </c>
      <c r="B13" s="213">
        <v>255018.45000000004</v>
      </c>
      <c r="C13" s="213">
        <v>210027.33999999997</v>
      </c>
      <c r="D13" s="213">
        <v>71418.22</v>
      </c>
      <c r="E13" s="213">
        <v>202307.45000000004</v>
      </c>
      <c r="F13" s="213">
        <v>84040.28</v>
      </c>
      <c r="G13" s="213">
        <v>93921.45</v>
      </c>
      <c r="H13" s="213">
        <v>143921.91</v>
      </c>
      <c r="I13" s="213">
        <v>129114.09</v>
      </c>
      <c r="J13" s="213">
        <v>135135.32</v>
      </c>
      <c r="K13" s="213">
        <v>238952.92</v>
      </c>
      <c r="L13" s="214">
        <f t="shared" si="0"/>
        <v>212402.59555555557</v>
      </c>
      <c r="M13" s="214">
        <f t="shared" si="0"/>
        <v>212402.59555555557</v>
      </c>
      <c r="N13" s="215">
        <f t="shared" si="1"/>
        <v>1988662.6211111112</v>
      </c>
      <c r="O13" s="17">
        <f t="shared" si="2"/>
        <v>139.45968875912729</v>
      </c>
    </row>
    <row r="14" spans="1:16" x14ac:dyDescent="0.2">
      <c r="A14" s="129" t="s">
        <v>37</v>
      </c>
      <c r="B14" s="130">
        <v>2078536.8499999996</v>
      </c>
      <c r="C14" s="130">
        <v>2363537.0500000017</v>
      </c>
      <c r="D14" s="130">
        <v>1958782.2399999995</v>
      </c>
      <c r="E14" s="130">
        <v>2781161.7100000018</v>
      </c>
      <c r="F14" s="130">
        <v>2728523.7200000007</v>
      </c>
      <c r="G14" s="130">
        <v>2359805.16</v>
      </c>
      <c r="H14" s="130">
        <v>2499537.8400000008</v>
      </c>
      <c r="I14" s="130">
        <v>2361149.5900000008</v>
      </c>
      <c r="J14" s="130">
        <v>2160937.7300000004</v>
      </c>
      <c r="K14" s="130">
        <v>2433517.4999999972</v>
      </c>
      <c r="L14" s="192">
        <f t="shared" si="0"/>
        <v>2163126.6666666637</v>
      </c>
      <c r="M14" s="192">
        <f t="shared" si="0"/>
        <v>2163126.6666666637</v>
      </c>
      <c r="N14" s="119">
        <f t="shared" si="1"/>
        <v>28051742.723333329</v>
      </c>
    </row>
    <row r="15" spans="1:16" x14ac:dyDescent="0.2">
      <c r="A15" s="120" t="s">
        <v>36</v>
      </c>
      <c r="B15" s="121">
        <f t="shared" ref="B15:N15" si="3">SUM(B3:B14)</f>
        <v>22916466.089999989</v>
      </c>
      <c r="C15" s="121">
        <f t="shared" si="3"/>
        <v>24680209.010000009</v>
      </c>
      <c r="D15" s="121">
        <f t="shared" si="3"/>
        <v>27095810.59000003</v>
      </c>
      <c r="E15" s="121">
        <f t="shared" si="3"/>
        <v>27231655.429999992</v>
      </c>
      <c r="F15" s="121">
        <f t="shared" si="3"/>
        <v>23870849.899999991</v>
      </c>
      <c r="G15" s="121">
        <f t="shared" si="3"/>
        <v>22289460.510000013</v>
      </c>
      <c r="H15" s="121">
        <f t="shared" si="3"/>
        <v>23226016.429999996</v>
      </c>
      <c r="I15" s="121">
        <f t="shared" si="3"/>
        <v>22354577.609999999</v>
      </c>
      <c r="J15" s="121">
        <f t="shared" si="3"/>
        <v>20092139.219999999</v>
      </c>
      <c r="K15" s="121">
        <f t="shared" si="3"/>
        <v>27877260.800000001</v>
      </c>
      <c r="L15" s="121">
        <f t="shared" si="3"/>
        <v>24779787.377777781</v>
      </c>
      <c r="M15" s="121">
        <f t="shared" si="3"/>
        <v>24779787.377777781</v>
      </c>
      <c r="N15" s="121">
        <f t="shared" si="3"/>
        <v>291194020.3455556</v>
      </c>
    </row>
    <row r="17" spans="1:14" x14ac:dyDescent="0.2">
      <c r="A17" s="178" t="s">
        <v>117</v>
      </c>
      <c r="B17" s="117" t="s">
        <v>5</v>
      </c>
      <c r="C17" s="117" t="s">
        <v>6</v>
      </c>
      <c r="D17" s="117" t="s">
        <v>7</v>
      </c>
      <c r="E17" s="117" t="s">
        <v>8</v>
      </c>
      <c r="F17" s="117" t="s">
        <v>9</v>
      </c>
      <c r="G17" s="117" t="s">
        <v>10</v>
      </c>
      <c r="H17" s="117" t="s">
        <v>11</v>
      </c>
      <c r="I17" s="117" t="s">
        <v>12</v>
      </c>
      <c r="J17" s="117" t="s">
        <v>13</v>
      </c>
      <c r="K17" s="117" t="s">
        <v>14</v>
      </c>
      <c r="L17" s="117" t="s">
        <v>15</v>
      </c>
      <c r="M17" s="117" t="s">
        <v>16</v>
      </c>
      <c r="N17" s="117" t="s">
        <v>36</v>
      </c>
    </row>
    <row r="18" spans="1:14" x14ac:dyDescent="0.2">
      <c r="A18" t="s">
        <v>100</v>
      </c>
      <c r="B18" s="20">
        <v>577</v>
      </c>
      <c r="C18" s="20">
        <v>548</v>
      </c>
      <c r="D18" s="20">
        <v>541</v>
      </c>
      <c r="E18" s="20">
        <v>477</v>
      </c>
      <c r="F18" s="20">
        <v>505</v>
      </c>
      <c r="G18" s="20">
        <v>430</v>
      </c>
      <c r="H18" s="20">
        <v>507</v>
      </c>
      <c r="I18" s="20">
        <v>515</v>
      </c>
      <c r="J18" s="10">
        <v>454</v>
      </c>
      <c r="K18" s="20">
        <v>593</v>
      </c>
      <c r="L18" s="192">
        <f t="shared" ref="L18:M29" si="4">L51/$K129</f>
        <v>527.11111111111109</v>
      </c>
      <c r="M18" s="192">
        <f t="shared" si="4"/>
        <v>527.11111111111109</v>
      </c>
      <c r="N18" s="20">
        <f>SUM(B18:M18)</f>
        <v>6201.2222222222226</v>
      </c>
    </row>
    <row r="19" spans="1:14" x14ac:dyDescent="0.2">
      <c r="A19" t="s">
        <v>152</v>
      </c>
      <c r="B19" s="20">
        <v>128</v>
      </c>
      <c r="C19" s="20">
        <v>93</v>
      </c>
      <c r="D19" s="20">
        <v>72</v>
      </c>
      <c r="E19" s="20">
        <v>49</v>
      </c>
      <c r="F19" s="20">
        <v>39</v>
      </c>
      <c r="G19" s="20">
        <v>57</v>
      </c>
      <c r="H19" s="20">
        <v>77</v>
      </c>
      <c r="I19" s="20">
        <v>77</v>
      </c>
      <c r="J19" s="20">
        <v>104</v>
      </c>
      <c r="K19" s="20">
        <v>124</v>
      </c>
      <c r="L19" s="192">
        <f t="shared" si="4"/>
        <v>110.22222222222221</v>
      </c>
      <c r="M19" s="192">
        <f t="shared" si="4"/>
        <v>110.22222222222221</v>
      </c>
      <c r="N19" s="20">
        <f>SUM(B19:M19)</f>
        <v>1040.4444444444443</v>
      </c>
    </row>
    <row r="20" spans="1:14" x14ac:dyDescent="0.2">
      <c r="A20" t="s">
        <v>161</v>
      </c>
      <c r="B20" s="20">
        <v>874</v>
      </c>
      <c r="C20" s="20">
        <v>881</v>
      </c>
      <c r="D20" s="20">
        <v>921</v>
      </c>
      <c r="E20" s="20">
        <v>908</v>
      </c>
      <c r="F20" s="20">
        <v>982</v>
      </c>
      <c r="G20" s="20">
        <v>951</v>
      </c>
      <c r="H20" s="20">
        <v>1084</v>
      </c>
      <c r="I20" s="20">
        <v>1091</v>
      </c>
      <c r="J20" s="20">
        <v>778</v>
      </c>
      <c r="K20" s="20">
        <v>928</v>
      </c>
      <c r="L20" s="192">
        <f t="shared" si="4"/>
        <v>824.88888888888891</v>
      </c>
      <c r="M20" s="192">
        <f t="shared" si="4"/>
        <v>824.88888888888891</v>
      </c>
      <c r="N20" s="20">
        <f t="shared" ref="N20:N30" si="5">SUM(B20:M20)</f>
        <v>11047.777777777777</v>
      </c>
    </row>
    <row r="21" spans="1:14" x14ac:dyDescent="0.2">
      <c r="A21" t="s">
        <v>101</v>
      </c>
      <c r="B21" s="20">
        <v>124</v>
      </c>
      <c r="C21" s="20">
        <v>131</v>
      </c>
      <c r="D21" s="20">
        <v>182</v>
      </c>
      <c r="E21" s="20">
        <v>136</v>
      </c>
      <c r="F21" s="20">
        <v>95</v>
      </c>
      <c r="G21" s="20">
        <v>119</v>
      </c>
      <c r="H21" s="20">
        <v>98</v>
      </c>
      <c r="I21" s="20">
        <v>108</v>
      </c>
      <c r="J21" s="20">
        <v>80</v>
      </c>
      <c r="K21" s="20">
        <v>163</v>
      </c>
      <c r="L21" s="192">
        <f t="shared" si="4"/>
        <v>144.88888888888889</v>
      </c>
      <c r="M21" s="192">
        <f t="shared" si="4"/>
        <v>144.88888888888889</v>
      </c>
      <c r="N21" s="20">
        <f t="shared" si="5"/>
        <v>1525.7777777777778</v>
      </c>
    </row>
    <row r="22" spans="1:14" x14ac:dyDescent="0.2">
      <c r="A22" t="s">
        <v>39</v>
      </c>
      <c r="B22" s="20">
        <v>206</v>
      </c>
      <c r="C22" s="20">
        <v>195</v>
      </c>
      <c r="D22" s="20">
        <v>133</v>
      </c>
      <c r="E22" s="20">
        <v>166</v>
      </c>
      <c r="F22" s="20">
        <v>148</v>
      </c>
      <c r="G22" s="20">
        <v>186</v>
      </c>
      <c r="H22" s="20">
        <v>206</v>
      </c>
      <c r="I22" s="20">
        <v>148</v>
      </c>
      <c r="J22" s="20">
        <v>159</v>
      </c>
      <c r="K22" s="20">
        <v>135</v>
      </c>
      <c r="L22" s="192">
        <f t="shared" si="4"/>
        <v>120</v>
      </c>
      <c r="M22" s="192">
        <f t="shared" si="4"/>
        <v>120</v>
      </c>
      <c r="N22" s="20">
        <f t="shared" si="5"/>
        <v>1922</v>
      </c>
    </row>
    <row r="23" spans="1:14" x14ac:dyDescent="0.2">
      <c r="A23" t="s">
        <v>44</v>
      </c>
      <c r="B23" s="20">
        <v>31</v>
      </c>
      <c r="C23" s="20">
        <v>14</v>
      </c>
      <c r="D23" s="20">
        <v>18</v>
      </c>
      <c r="E23" s="20">
        <v>43</v>
      </c>
      <c r="F23" s="20">
        <v>36</v>
      </c>
      <c r="G23" s="20">
        <v>28</v>
      </c>
      <c r="H23" s="20">
        <v>36</v>
      </c>
      <c r="I23" s="20">
        <v>30</v>
      </c>
      <c r="J23" s="10">
        <v>16</v>
      </c>
      <c r="K23" s="20">
        <v>34</v>
      </c>
      <c r="L23" s="192">
        <f t="shared" si="4"/>
        <v>30.222222222222225</v>
      </c>
      <c r="M23" s="192">
        <f t="shared" si="4"/>
        <v>30.222222222222225</v>
      </c>
      <c r="N23" s="20">
        <f t="shared" si="5"/>
        <v>346.44444444444446</v>
      </c>
    </row>
    <row r="24" spans="1:14" x14ac:dyDescent="0.2">
      <c r="A24" t="s">
        <v>45</v>
      </c>
      <c r="B24" s="20">
        <v>0</v>
      </c>
      <c r="C24" s="20">
        <v>27</v>
      </c>
      <c r="D24" s="20">
        <v>12</v>
      </c>
      <c r="E24" s="20">
        <v>7</v>
      </c>
      <c r="F24" s="20">
        <v>23</v>
      </c>
      <c r="G24" s="20">
        <v>5</v>
      </c>
      <c r="H24" s="20">
        <v>0</v>
      </c>
      <c r="I24" s="20">
        <v>6</v>
      </c>
      <c r="J24" s="10">
        <v>12</v>
      </c>
      <c r="K24" s="20">
        <v>17</v>
      </c>
      <c r="L24" s="192">
        <f t="shared" si="4"/>
        <v>15.111111111111112</v>
      </c>
      <c r="M24" s="192">
        <f t="shared" si="4"/>
        <v>15.111111111111112</v>
      </c>
      <c r="N24" s="20">
        <f t="shared" si="5"/>
        <v>139.22222222222223</v>
      </c>
    </row>
    <row r="25" spans="1:14" x14ac:dyDescent="0.2">
      <c r="A25" t="s">
        <v>154</v>
      </c>
      <c r="B25" s="20">
        <v>4</v>
      </c>
      <c r="C25" s="20">
        <v>8</v>
      </c>
      <c r="D25" s="20">
        <v>7</v>
      </c>
      <c r="E25" s="20">
        <v>0</v>
      </c>
      <c r="F25" s="20">
        <v>7</v>
      </c>
      <c r="G25" s="20">
        <v>0</v>
      </c>
      <c r="H25" s="20">
        <v>0</v>
      </c>
      <c r="I25" s="20">
        <v>1</v>
      </c>
      <c r="J25" s="20">
        <v>0</v>
      </c>
      <c r="K25" s="20">
        <v>4</v>
      </c>
      <c r="L25" s="192">
        <f t="shared" si="4"/>
        <v>3.5555555555555558</v>
      </c>
      <c r="M25" s="192">
        <f t="shared" si="4"/>
        <v>3.5555555555555558</v>
      </c>
      <c r="N25" s="20">
        <f t="shared" si="5"/>
        <v>38.111111111111114</v>
      </c>
    </row>
    <row r="26" spans="1:14" x14ac:dyDescent="0.2">
      <c r="A26" t="s">
        <v>41</v>
      </c>
      <c r="B26" s="20">
        <v>267</v>
      </c>
      <c r="C26" s="20">
        <v>279</v>
      </c>
      <c r="D26" s="20">
        <v>244</v>
      </c>
      <c r="E26" s="20">
        <v>304</v>
      </c>
      <c r="F26" s="20">
        <v>279</v>
      </c>
      <c r="G26" s="20">
        <v>375</v>
      </c>
      <c r="H26" s="20">
        <v>259</v>
      </c>
      <c r="I26" s="20">
        <v>271</v>
      </c>
      <c r="J26" s="20">
        <v>229</v>
      </c>
      <c r="K26" s="20">
        <f>230+8</f>
        <v>238</v>
      </c>
      <c r="L26" s="192">
        <f t="shared" si="4"/>
        <v>211.55555555555557</v>
      </c>
      <c r="M26" s="192">
        <f t="shared" si="4"/>
        <v>211.55555555555557</v>
      </c>
      <c r="N26" s="20">
        <f t="shared" si="5"/>
        <v>3168.1111111111113</v>
      </c>
    </row>
    <row r="27" spans="1:14" x14ac:dyDescent="0.2">
      <c r="A27" t="s">
        <v>102</v>
      </c>
      <c r="B27" s="20">
        <v>454</v>
      </c>
      <c r="C27" s="20">
        <v>433</v>
      </c>
      <c r="D27" s="20">
        <v>442</v>
      </c>
      <c r="E27" s="20">
        <v>507</v>
      </c>
      <c r="F27" s="20">
        <v>531</v>
      </c>
      <c r="G27" s="20">
        <v>564</v>
      </c>
      <c r="H27" s="20">
        <v>624</v>
      </c>
      <c r="I27" s="20">
        <v>588</v>
      </c>
      <c r="J27" s="20">
        <v>713</v>
      </c>
      <c r="K27" s="20">
        <f>1267-K24-K25-K26-K28</f>
        <v>938</v>
      </c>
      <c r="L27" s="192">
        <f t="shared" si="4"/>
        <v>833.77777777777771</v>
      </c>
      <c r="M27" s="192">
        <f t="shared" si="4"/>
        <v>833.77777777777771</v>
      </c>
      <c r="N27" s="20">
        <f t="shared" si="5"/>
        <v>7461.5555555555547</v>
      </c>
    </row>
    <row r="28" spans="1:14" x14ac:dyDescent="0.2">
      <c r="A28" t="s">
        <v>153</v>
      </c>
      <c r="B28" s="20">
        <v>55</v>
      </c>
      <c r="C28" s="20">
        <v>60</v>
      </c>
      <c r="D28" s="20">
        <v>21</v>
      </c>
      <c r="E28" s="20">
        <v>60</v>
      </c>
      <c r="F28" s="20">
        <v>25</v>
      </c>
      <c r="G28" s="20">
        <v>28</v>
      </c>
      <c r="H28" s="20">
        <v>42</v>
      </c>
      <c r="I28" s="20">
        <v>37</v>
      </c>
      <c r="J28" s="20">
        <v>38</v>
      </c>
      <c r="K28" s="20">
        <v>70</v>
      </c>
      <c r="L28" s="192">
        <f t="shared" si="4"/>
        <v>62.222222222222229</v>
      </c>
      <c r="M28" s="192">
        <f t="shared" si="4"/>
        <v>62.222222222222229</v>
      </c>
      <c r="N28" s="20">
        <f t="shared" si="5"/>
        <v>560.44444444444446</v>
      </c>
    </row>
    <row r="29" spans="1:14" x14ac:dyDescent="0.2">
      <c r="A29" t="s">
        <v>37</v>
      </c>
      <c r="B29" s="20">
        <v>287</v>
      </c>
      <c r="C29" s="20">
        <v>294</v>
      </c>
      <c r="D29" s="20">
        <v>270</v>
      </c>
      <c r="E29" s="20">
        <v>391</v>
      </c>
      <c r="F29" s="20">
        <v>340</v>
      </c>
      <c r="G29" s="20">
        <v>316</v>
      </c>
      <c r="H29" s="20">
        <v>320</v>
      </c>
      <c r="I29" s="10">
        <v>303</v>
      </c>
      <c r="J29" s="20">
        <v>284</v>
      </c>
      <c r="K29" s="20">
        <v>287</v>
      </c>
      <c r="L29" s="192">
        <f t="shared" si="4"/>
        <v>255.11111111111109</v>
      </c>
      <c r="M29" s="192">
        <f t="shared" si="4"/>
        <v>255.11111111111109</v>
      </c>
      <c r="N29" s="20">
        <f t="shared" si="5"/>
        <v>3602.2222222222226</v>
      </c>
    </row>
    <row r="30" spans="1:14" x14ac:dyDescent="0.2">
      <c r="A30" s="125" t="s">
        <v>107</v>
      </c>
      <c r="B30" s="121">
        <f t="shared" ref="B30:M30" si="6">SUM(B18:B29)</f>
        <v>3007</v>
      </c>
      <c r="C30" s="121">
        <f t="shared" si="6"/>
        <v>2963</v>
      </c>
      <c r="D30" s="121">
        <f t="shared" si="6"/>
        <v>2863</v>
      </c>
      <c r="E30" s="121">
        <f t="shared" si="6"/>
        <v>3048</v>
      </c>
      <c r="F30" s="121">
        <f t="shared" si="6"/>
        <v>3010</v>
      </c>
      <c r="G30" s="121">
        <f t="shared" si="6"/>
        <v>3059</v>
      </c>
      <c r="H30" s="121">
        <f t="shared" si="6"/>
        <v>3253</v>
      </c>
      <c r="I30" s="121">
        <f t="shared" si="6"/>
        <v>3175</v>
      </c>
      <c r="J30" s="121">
        <f t="shared" si="6"/>
        <v>2867</v>
      </c>
      <c r="K30" s="121">
        <f t="shared" si="6"/>
        <v>3531</v>
      </c>
      <c r="L30" s="121">
        <f t="shared" si="6"/>
        <v>3138.666666666667</v>
      </c>
      <c r="M30" s="121">
        <f t="shared" si="6"/>
        <v>3138.666666666667</v>
      </c>
      <c r="N30" s="121">
        <f t="shared" si="5"/>
        <v>37053.333333333328</v>
      </c>
    </row>
    <row r="33" spans="1:15" x14ac:dyDescent="0.2">
      <c r="A33" s="178" t="s">
        <v>118</v>
      </c>
      <c r="B33" s="117" t="s">
        <v>5</v>
      </c>
      <c r="C33" s="117" t="s">
        <v>6</v>
      </c>
      <c r="D33" s="117" t="s">
        <v>7</v>
      </c>
      <c r="E33" s="117" t="s">
        <v>8</v>
      </c>
      <c r="F33" s="117" t="s">
        <v>9</v>
      </c>
      <c r="G33" s="117" t="s">
        <v>10</v>
      </c>
      <c r="H33" s="117" t="s">
        <v>11</v>
      </c>
      <c r="I33" s="117" t="s">
        <v>12</v>
      </c>
      <c r="J33" s="117" t="s">
        <v>13</v>
      </c>
      <c r="K33" s="117" t="s">
        <v>14</v>
      </c>
      <c r="L33" s="117" t="s">
        <v>15</v>
      </c>
      <c r="M33" s="117" t="s">
        <v>16</v>
      </c>
      <c r="N33" s="117" t="s">
        <v>36</v>
      </c>
    </row>
    <row r="34" spans="1:15" x14ac:dyDescent="0.2">
      <c r="A34" t="s">
        <v>100</v>
      </c>
      <c r="B34" s="20">
        <v>272724</v>
      </c>
      <c r="C34" s="20">
        <v>238703</v>
      </c>
      <c r="D34" s="20">
        <v>246610</v>
      </c>
      <c r="E34" s="20">
        <v>234384</v>
      </c>
      <c r="F34" s="20">
        <v>205298</v>
      </c>
      <c r="G34" s="20">
        <v>185482</v>
      </c>
      <c r="H34" s="20">
        <v>223732</v>
      </c>
      <c r="I34" s="20">
        <v>243112</v>
      </c>
      <c r="J34" s="20">
        <v>202842</v>
      </c>
      <c r="K34" s="20">
        <v>284710</v>
      </c>
      <c r="L34" s="193">
        <f t="shared" ref="L34:M45" si="7">L18*$K145</f>
        <v>253075.55555555556</v>
      </c>
      <c r="M34" s="193">
        <f t="shared" si="7"/>
        <v>253075.55555555556</v>
      </c>
      <c r="N34" s="20">
        <f>SUM(B34:M34)</f>
        <v>2843748.111111111</v>
      </c>
      <c r="O34">
        <f>N34/N18</f>
        <v>458.57864937019582</v>
      </c>
    </row>
    <row r="35" spans="1:15" x14ac:dyDescent="0.2">
      <c r="A35" t="s">
        <v>152</v>
      </c>
      <c r="B35" s="20">
        <v>28655</v>
      </c>
      <c r="C35" s="20">
        <v>13293</v>
      </c>
      <c r="D35" s="20">
        <v>6490</v>
      </c>
      <c r="E35" s="20">
        <v>4060</v>
      </c>
      <c r="F35" s="20">
        <v>4198</v>
      </c>
      <c r="G35" s="20">
        <v>7142</v>
      </c>
      <c r="H35" s="20">
        <v>14784</v>
      </c>
      <c r="I35" s="20">
        <v>18618</v>
      </c>
      <c r="J35" s="20">
        <v>30268</v>
      </c>
      <c r="K35" s="20">
        <v>37082</v>
      </c>
      <c r="L35" s="193">
        <f t="shared" si="7"/>
        <v>32961.777777777774</v>
      </c>
      <c r="M35" s="193">
        <f t="shared" si="7"/>
        <v>32961.777777777774</v>
      </c>
      <c r="N35" s="20">
        <f t="shared" ref="N35:N45" si="8">SUM(B35:M35)</f>
        <v>230513.55555555556</v>
      </c>
    </row>
    <row r="36" spans="1:15" x14ac:dyDescent="0.2">
      <c r="A36" t="s">
        <v>161</v>
      </c>
      <c r="B36" s="20">
        <v>303360</v>
      </c>
      <c r="C36" s="20">
        <v>336427</v>
      </c>
      <c r="D36" s="20">
        <v>435938</v>
      </c>
      <c r="E36" s="20">
        <v>380388</v>
      </c>
      <c r="F36" s="20">
        <v>318084</v>
      </c>
      <c r="G36" s="20">
        <v>289866</v>
      </c>
      <c r="H36" s="20">
        <v>260016</v>
      </c>
      <c r="I36" s="20">
        <v>224260</v>
      </c>
      <c r="J36" s="20">
        <v>200974</v>
      </c>
      <c r="K36" s="20">
        <v>274730</v>
      </c>
      <c r="L36" s="193">
        <f t="shared" si="7"/>
        <v>244204.44444444444</v>
      </c>
      <c r="M36" s="193">
        <f t="shared" si="7"/>
        <v>244204.44444444444</v>
      </c>
      <c r="N36" s="20">
        <f t="shared" si="8"/>
        <v>3512451.888888889</v>
      </c>
    </row>
    <row r="37" spans="1:15" x14ac:dyDescent="0.2">
      <c r="A37" t="s">
        <v>101</v>
      </c>
      <c r="B37" s="20">
        <v>58550</v>
      </c>
      <c r="C37" s="20">
        <v>68676</v>
      </c>
      <c r="D37" s="20">
        <v>94794</v>
      </c>
      <c r="E37" s="20">
        <v>71126</v>
      </c>
      <c r="F37" s="20">
        <v>50572</v>
      </c>
      <c r="G37" s="20">
        <v>57770</v>
      </c>
      <c r="H37" s="20">
        <v>43426</v>
      </c>
      <c r="I37" s="20">
        <v>38498</v>
      </c>
      <c r="J37" s="20">
        <v>32636</v>
      </c>
      <c r="K37" s="20">
        <v>87862</v>
      </c>
      <c r="L37" s="193">
        <f t="shared" si="7"/>
        <v>78099.555555555547</v>
      </c>
      <c r="M37" s="193">
        <f t="shared" si="7"/>
        <v>78099.555555555547</v>
      </c>
      <c r="N37" s="20">
        <f t="shared" si="8"/>
        <v>760109.11111111101</v>
      </c>
    </row>
    <row r="38" spans="1:15" x14ac:dyDescent="0.2">
      <c r="A38" t="s">
        <v>39</v>
      </c>
      <c r="B38" s="20">
        <v>58207</v>
      </c>
      <c r="C38" s="20">
        <v>57092</v>
      </c>
      <c r="D38" s="20">
        <v>29956</v>
      </c>
      <c r="E38" s="20">
        <v>45716</v>
      </c>
      <c r="F38" s="20">
        <v>32704</v>
      </c>
      <c r="G38" s="20">
        <v>49168</v>
      </c>
      <c r="H38" s="20">
        <v>54876</v>
      </c>
      <c r="I38" s="20">
        <v>42064</v>
      </c>
      <c r="J38" s="20">
        <v>43924</v>
      </c>
      <c r="K38" s="20">
        <v>37948</v>
      </c>
      <c r="L38" s="193">
        <f t="shared" si="7"/>
        <v>33731.555555555555</v>
      </c>
      <c r="M38" s="193">
        <f t="shared" si="7"/>
        <v>33731.555555555555</v>
      </c>
      <c r="N38" s="20">
        <f t="shared" si="8"/>
        <v>519118.11111111112</v>
      </c>
    </row>
    <row r="39" spans="1:15" x14ac:dyDescent="0.2">
      <c r="A39" s="216" t="s">
        <v>44</v>
      </c>
      <c r="B39" s="214">
        <v>3439</v>
      </c>
      <c r="C39" s="214">
        <v>1334</v>
      </c>
      <c r="D39" s="214">
        <v>1442</v>
      </c>
      <c r="E39" s="214">
        <v>4396</v>
      </c>
      <c r="F39" s="214">
        <v>3296</v>
      </c>
      <c r="G39" s="214">
        <v>3694</v>
      </c>
      <c r="H39" s="214">
        <v>6278</v>
      </c>
      <c r="I39" s="214">
        <v>5208</v>
      </c>
      <c r="J39" s="214">
        <v>3248</v>
      </c>
      <c r="K39" s="214">
        <f>2432*2</f>
        <v>4864</v>
      </c>
      <c r="L39" s="217">
        <f t="shared" si="7"/>
        <v>4323.5555555555557</v>
      </c>
      <c r="M39" s="217">
        <f t="shared" si="7"/>
        <v>4323.5555555555557</v>
      </c>
      <c r="N39" s="214">
        <f t="shared" si="8"/>
        <v>45846.111111111109</v>
      </c>
      <c r="O39">
        <f t="shared" ref="O39:O44" si="9">N39/N23</f>
        <v>132.33322642719691</v>
      </c>
    </row>
    <row r="40" spans="1:15" x14ac:dyDescent="0.2">
      <c r="A40" s="216" t="s">
        <v>45</v>
      </c>
      <c r="B40" s="214">
        <v>0</v>
      </c>
      <c r="C40" s="214">
        <v>2883</v>
      </c>
      <c r="D40" s="214">
        <v>1523</v>
      </c>
      <c r="E40" s="214">
        <v>4390</v>
      </c>
      <c r="F40" s="214">
        <v>2358</v>
      </c>
      <c r="G40" s="214">
        <v>674</v>
      </c>
      <c r="H40" s="214">
        <v>0</v>
      </c>
      <c r="I40" s="214">
        <v>96</v>
      </c>
      <c r="J40" s="214">
        <v>786</v>
      </c>
      <c r="K40" s="214">
        <f>1356*2</f>
        <v>2712</v>
      </c>
      <c r="L40" s="217">
        <f t="shared" si="7"/>
        <v>2410.666666666667</v>
      </c>
      <c r="M40" s="217">
        <f t="shared" si="7"/>
        <v>2410.666666666667</v>
      </c>
      <c r="N40" s="214">
        <f t="shared" si="8"/>
        <v>20243.333333333336</v>
      </c>
      <c r="O40">
        <f t="shared" si="9"/>
        <v>145.40303272146849</v>
      </c>
    </row>
    <row r="41" spans="1:15" x14ac:dyDescent="0.2">
      <c r="A41" s="216" t="s">
        <v>154</v>
      </c>
      <c r="B41" s="214">
        <v>196</v>
      </c>
      <c r="C41" s="214">
        <v>1490</v>
      </c>
      <c r="D41" s="214">
        <v>343</v>
      </c>
      <c r="E41" s="214">
        <v>0</v>
      </c>
      <c r="F41" s="214">
        <v>1044</v>
      </c>
      <c r="G41" s="214">
        <v>0</v>
      </c>
      <c r="H41" s="214">
        <v>0</v>
      </c>
      <c r="I41" s="214">
        <v>744</v>
      </c>
      <c r="J41" s="214">
        <v>0</v>
      </c>
      <c r="K41" s="214">
        <f>1141*2</f>
        <v>2282</v>
      </c>
      <c r="L41" s="217">
        <f t="shared" si="7"/>
        <v>2028.4444444444446</v>
      </c>
      <c r="M41" s="217">
        <f t="shared" si="7"/>
        <v>2028.4444444444446</v>
      </c>
      <c r="N41" s="214">
        <f t="shared" si="8"/>
        <v>10155.888888888889</v>
      </c>
      <c r="O41">
        <f t="shared" si="9"/>
        <v>266.48104956268219</v>
      </c>
    </row>
    <row r="42" spans="1:15" x14ac:dyDescent="0.2">
      <c r="A42" s="216" t="s">
        <v>41</v>
      </c>
      <c r="B42" s="214">
        <v>12001</v>
      </c>
      <c r="C42" s="214">
        <v>16226</v>
      </c>
      <c r="D42" s="214">
        <v>13637</v>
      </c>
      <c r="E42" s="214">
        <v>16252</v>
      </c>
      <c r="F42" s="214">
        <v>14108</v>
      </c>
      <c r="G42" s="214">
        <v>18526</v>
      </c>
      <c r="H42" s="214">
        <v>12568</v>
      </c>
      <c r="I42" s="214">
        <v>13456</v>
      </c>
      <c r="J42" s="214">
        <v>11994</v>
      </c>
      <c r="K42" s="214">
        <f>5725*2+976</f>
        <v>12426</v>
      </c>
      <c r="L42" s="217">
        <f t="shared" si="7"/>
        <v>11045.333333333334</v>
      </c>
      <c r="M42" s="217">
        <f t="shared" si="7"/>
        <v>11045.333333333334</v>
      </c>
      <c r="N42" s="214">
        <f t="shared" si="8"/>
        <v>163284.66666666669</v>
      </c>
      <c r="O42">
        <f t="shared" si="9"/>
        <v>51.540069442008914</v>
      </c>
    </row>
    <row r="43" spans="1:15" x14ac:dyDescent="0.2">
      <c r="A43" s="216" t="s">
        <v>102</v>
      </c>
      <c r="B43" s="214">
        <v>274873</v>
      </c>
      <c r="C43" s="214">
        <v>250864</v>
      </c>
      <c r="D43" s="214">
        <v>217708</v>
      </c>
      <c r="E43" s="214">
        <v>267800</v>
      </c>
      <c r="F43" s="214">
        <v>255756</v>
      </c>
      <c r="G43" s="214">
        <v>224050</v>
      </c>
      <c r="H43" s="214">
        <v>196980</v>
      </c>
      <c r="I43" s="214">
        <v>182952</v>
      </c>
      <c r="J43" s="214">
        <v>207218</v>
      </c>
      <c r="K43" s="214">
        <f>278790-K40-K41-K42-K44</f>
        <v>258290</v>
      </c>
      <c r="L43" s="217">
        <f t="shared" si="7"/>
        <v>229591.11111111109</v>
      </c>
      <c r="M43" s="217">
        <f t="shared" si="7"/>
        <v>229591.11111111109</v>
      </c>
      <c r="N43" s="214">
        <f t="shared" si="8"/>
        <v>2795673.222222222</v>
      </c>
      <c r="O43">
        <f t="shared" si="9"/>
        <v>374.67699615808442</v>
      </c>
    </row>
    <row r="44" spans="1:15" x14ac:dyDescent="0.2">
      <c r="A44" s="216" t="s">
        <v>153</v>
      </c>
      <c r="B44" s="214">
        <v>3749</v>
      </c>
      <c r="C44" s="214">
        <v>1687</v>
      </c>
      <c r="D44" s="214">
        <v>414</v>
      </c>
      <c r="E44" s="214">
        <v>2616</v>
      </c>
      <c r="F44" s="214">
        <v>1100</v>
      </c>
      <c r="G44" s="214">
        <v>1232</v>
      </c>
      <c r="H44" s="214">
        <v>1848</v>
      </c>
      <c r="I44" s="214">
        <v>1628</v>
      </c>
      <c r="J44" s="214">
        <v>1672</v>
      </c>
      <c r="K44" s="214">
        <f>1540*2</f>
        <v>3080</v>
      </c>
      <c r="L44" s="217">
        <f t="shared" si="7"/>
        <v>2737.7777777777783</v>
      </c>
      <c r="M44" s="217">
        <f t="shared" si="7"/>
        <v>2737.7777777777783</v>
      </c>
      <c r="N44" s="214">
        <f t="shared" si="8"/>
        <v>24501.555555555555</v>
      </c>
      <c r="O44">
        <f t="shared" si="9"/>
        <v>43.718080888183977</v>
      </c>
    </row>
    <row r="45" spans="1:15" x14ac:dyDescent="0.2">
      <c r="A45" t="s">
        <v>37</v>
      </c>
      <c r="B45" s="20">
        <v>132978</v>
      </c>
      <c r="C45" s="20">
        <v>90634</v>
      </c>
      <c r="D45" s="20">
        <v>79851</v>
      </c>
      <c r="E45" s="20">
        <v>108086</v>
      </c>
      <c r="F45" s="20">
        <v>115646</v>
      </c>
      <c r="G45" s="20">
        <v>101546</v>
      </c>
      <c r="H45" s="20">
        <v>106498</v>
      </c>
      <c r="I45" s="20">
        <v>103888</v>
      </c>
      <c r="J45" s="10">
        <v>91976</v>
      </c>
      <c r="K45" s="20">
        <v>97216</v>
      </c>
      <c r="L45" s="193">
        <f t="shared" si="7"/>
        <v>86414.222222222219</v>
      </c>
      <c r="M45" s="193">
        <f t="shared" si="7"/>
        <v>86414.222222222219</v>
      </c>
      <c r="N45" s="20">
        <f t="shared" si="8"/>
        <v>1201147.4444444445</v>
      </c>
    </row>
    <row r="46" spans="1:15" x14ac:dyDescent="0.2">
      <c r="A46" s="125" t="s">
        <v>107</v>
      </c>
      <c r="B46" s="126">
        <f t="shared" ref="B46:M46" si="10">SUM(B34:B45)</f>
        <v>1148732</v>
      </c>
      <c r="C46" s="126">
        <f t="shared" si="10"/>
        <v>1079309</v>
      </c>
      <c r="D46" s="126">
        <f t="shared" si="10"/>
        <v>1128706</v>
      </c>
      <c r="E46" s="126">
        <f t="shared" si="10"/>
        <v>1139214</v>
      </c>
      <c r="F46" s="126">
        <f t="shared" si="10"/>
        <v>1004164</v>
      </c>
      <c r="G46" s="126">
        <f t="shared" si="10"/>
        <v>939150</v>
      </c>
      <c r="H46" s="126">
        <f t="shared" si="10"/>
        <v>921006</v>
      </c>
      <c r="I46" s="126">
        <f t="shared" si="10"/>
        <v>874524</v>
      </c>
      <c r="J46" s="126">
        <f t="shared" si="10"/>
        <v>827538</v>
      </c>
      <c r="K46" s="126">
        <f t="shared" si="10"/>
        <v>1103202</v>
      </c>
      <c r="L46" s="126">
        <f t="shared" si="10"/>
        <v>980623.99999999988</v>
      </c>
      <c r="M46" s="126">
        <f t="shared" si="10"/>
        <v>980623.99999999988</v>
      </c>
      <c r="N46" s="126">
        <f>SUM(B46:M46)</f>
        <v>12126793</v>
      </c>
    </row>
    <row r="50" spans="1:15" x14ac:dyDescent="0.2">
      <c r="A50" s="178" t="s">
        <v>108</v>
      </c>
      <c r="B50" s="124" t="s">
        <v>5</v>
      </c>
      <c r="C50" s="124" t="s">
        <v>6</v>
      </c>
      <c r="D50" s="124" t="s">
        <v>7</v>
      </c>
      <c r="E50" s="124" t="s">
        <v>8</v>
      </c>
      <c r="F50" s="124" t="s">
        <v>9</v>
      </c>
      <c r="G50" s="124" t="s">
        <v>10</v>
      </c>
      <c r="H50" s="124" t="s">
        <v>11</v>
      </c>
      <c r="I50" s="124" t="s">
        <v>12</v>
      </c>
      <c r="J50" s="124" t="s">
        <v>13</v>
      </c>
      <c r="K50" s="124" t="s">
        <v>14</v>
      </c>
      <c r="L50" s="124" t="s">
        <v>15</v>
      </c>
      <c r="M50" s="124" t="s">
        <v>16</v>
      </c>
      <c r="N50" s="124" t="s">
        <v>36</v>
      </c>
      <c r="O50" s="191" t="s">
        <v>178</v>
      </c>
    </row>
    <row r="51" spans="1:15" x14ac:dyDescent="0.2">
      <c r="A51" t="s">
        <v>100</v>
      </c>
      <c r="B51" s="20">
        <v>17621.370000000003</v>
      </c>
      <c r="C51" s="20">
        <v>16499.960000000003</v>
      </c>
      <c r="D51" s="20">
        <v>17153.46000000001</v>
      </c>
      <c r="E51" s="20">
        <v>15713.25</v>
      </c>
      <c r="F51" s="20">
        <v>16695.409999999989</v>
      </c>
      <c r="G51" s="20">
        <v>14140.719999999996</v>
      </c>
      <c r="H51" s="20">
        <v>17607.599999999991</v>
      </c>
      <c r="I51" s="20">
        <v>18090.650000000009</v>
      </c>
      <c r="J51" s="20">
        <v>16419.980000000007</v>
      </c>
      <c r="K51" s="20">
        <v>22029.649999999961</v>
      </c>
      <c r="L51" s="193">
        <f>L$237*($K51/$K$237)</f>
        <v>19581.911111111076</v>
      </c>
      <c r="M51" s="193">
        <f>M$237*($K51/$K$237)</f>
        <v>19581.911111111076</v>
      </c>
      <c r="N51" s="20">
        <f t="shared" ref="N51:N62" si="11">SUM(B51:M51)</f>
        <v>211135.87222222213</v>
      </c>
      <c r="O51" s="21">
        <f>N51/$N$63</f>
        <v>0.1901500691170277</v>
      </c>
    </row>
    <row r="52" spans="1:15" x14ac:dyDescent="0.2">
      <c r="A52" t="s">
        <v>152</v>
      </c>
      <c r="B52" s="20">
        <v>3912.0299999999997</v>
      </c>
      <c r="C52" s="20">
        <v>2686.2999999999997</v>
      </c>
      <c r="D52" s="20">
        <v>2129.67</v>
      </c>
      <c r="E52" s="20">
        <v>1532.8100000000002</v>
      </c>
      <c r="F52" s="20">
        <v>1254.0999999999999</v>
      </c>
      <c r="G52" s="20">
        <v>1837.6000000000001</v>
      </c>
      <c r="H52" s="20">
        <v>2384.8200000000006</v>
      </c>
      <c r="I52" s="20">
        <v>2432.6</v>
      </c>
      <c r="J52" s="20">
        <v>3138.8399999999997</v>
      </c>
      <c r="K52" s="20">
        <v>3707.2499999999995</v>
      </c>
      <c r="L52" s="193">
        <f>L$237*($K52/$K$237)</f>
        <v>3295.333333333333</v>
      </c>
      <c r="M52" s="193">
        <f>M$237*($K52/$K$237)</f>
        <v>3295.333333333333</v>
      </c>
      <c r="N52" s="20">
        <f t="shared" si="11"/>
        <v>31606.686666666665</v>
      </c>
      <c r="O52" s="21">
        <f t="shared" ref="O52:O62" si="12">N52/$N$63</f>
        <v>2.8465147068430504E-2</v>
      </c>
    </row>
    <row r="53" spans="1:15" x14ac:dyDescent="0.2">
      <c r="A53" t="s">
        <v>161</v>
      </c>
      <c r="B53" s="20">
        <v>24048.270000000008</v>
      </c>
      <c r="C53" s="20">
        <v>23123.360000000015</v>
      </c>
      <c r="D53" s="20">
        <v>28352.809999999976</v>
      </c>
      <c r="E53" s="20">
        <v>26978.620000000024</v>
      </c>
      <c r="F53" s="20">
        <v>25933.229999999974</v>
      </c>
      <c r="G53" s="20">
        <v>25100.935999999961</v>
      </c>
      <c r="H53" s="20">
        <v>27949.479999999967</v>
      </c>
      <c r="I53" s="20">
        <v>28221.940999999955</v>
      </c>
      <c r="J53" s="20">
        <v>18168.352000000003</v>
      </c>
      <c r="K53" s="20">
        <v>23465.500000000004</v>
      </c>
      <c r="L53" s="193">
        <f t="shared" ref="L53:M62" si="13">L$237*($K53/$K$237)</f>
        <v>20858.222222222226</v>
      </c>
      <c r="M53" s="193">
        <f t="shared" si="13"/>
        <v>20858.222222222226</v>
      </c>
      <c r="N53" s="20">
        <f t="shared" si="11"/>
        <v>293058.94344444439</v>
      </c>
      <c r="O53" s="21">
        <f t="shared" si="12"/>
        <v>0.2639304148784013</v>
      </c>
    </row>
    <row r="54" spans="1:15" x14ac:dyDescent="0.2">
      <c r="A54" t="s">
        <v>101</v>
      </c>
      <c r="B54" s="20">
        <v>4302.3099999999986</v>
      </c>
      <c r="C54" s="20">
        <v>4788.3860000000013</v>
      </c>
      <c r="D54" s="20">
        <v>6931.4000000000005</v>
      </c>
      <c r="E54" s="20">
        <v>4858.920000000001</v>
      </c>
      <c r="F54" s="20">
        <v>3401.7439999999988</v>
      </c>
      <c r="G54" s="20">
        <v>4144.0399999999991</v>
      </c>
      <c r="H54" s="20">
        <v>3761.38</v>
      </c>
      <c r="I54" s="20">
        <v>4047.6499999999996</v>
      </c>
      <c r="J54" s="20">
        <v>3051.6200000000003</v>
      </c>
      <c r="K54" s="20">
        <v>6401.3600000000006</v>
      </c>
      <c r="L54" s="193">
        <f t="shared" si="13"/>
        <v>5690.097777777778</v>
      </c>
      <c r="M54" s="193">
        <f t="shared" si="13"/>
        <v>5690.097777777778</v>
      </c>
      <c r="N54" s="20">
        <f t="shared" si="11"/>
        <v>57069.005555555566</v>
      </c>
      <c r="O54" s="21">
        <f t="shared" si="12"/>
        <v>5.1396644429078618E-2</v>
      </c>
    </row>
    <row r="55" spans="1:15" x14ac:dyDescent="0.2">
      <c r="A55" t="s">
        <v>39</v>
      </c>
      <c r="B55" s="20">
        <v>4994.6870000000017</v>
      </c>
      <c r="C55" s="20">
        <v>4645.2099999999991</v>
      </c>
      <c r="D55" s="20">
        <v>3199.242999999999</v>
      </c>
      <c r="E55" s="20">
        <v>4043.8869999999993</v>
      </c>
      <c r="F55" s="20">
        <v>3539.7660000000019</v>
      </c>
      <c r="G55" s="20">
        <v>4443.2830000000013</v>
      </c>
      <c r="H55" s="20">
        <v>5197.3240000000033</v>
      </c>
      <c r="I55" s="20">
        <v>3694.1009999999992</v>
      </c>
      <c r="J55" s="20">
        <v>4463.9139999999989</v>
      </c>
      <c r="K55" s="20">
        <v>4070.5750000000003</v>
      </c>
      <c r="L55" s="193">
        <f t="shared" si="13"/>
        <v>3618.2888888888892</v>
      </c>
      <c r="M55" s="193">
        <f t="shared" si="13"/>
        <v>3618.2888888888892</v>
      </c>
      <c r="N55" s="20">
        <f t="shared" si="11"/>
        <v>49528.567777777782</v>
      </c>
      <c r="O55" s="21">
        <f t="shared" si="12"/>
        <v>4.4605686788739836E-2</v>
      </c>
    </row>
    <row r="56" spans="1:15" x14ac:dyDescent="0.2">
      <c r="A56" t="s">
        <v>44</v>
      </c>
      <c r="B56" s="20">
        <v>798.6550000000002</v>
      </c>
      <c r="C56" s="20">
        <v>373.65000000000003</v>
      </c>
      <c r="D56" s="20">
        <v>514.17000000000007</v>
      </c>
      <c r="E56" s="20">
        <v>1233.5150000000001</v>
      </c>
      <c r="F56" s="20">
        <v>1012.1200000000001</v>
      </c>
      <c r="G56" s="20">
        <v>771.7750000000002</v>
      </c>
      <c r="H56" s="20">
        <v>987.77499999999998</v>
      </c>
      <c r="I56" s="20">
        <v>831.38099999999986</v>
      </c>
      <c r="J56" s="20">
        <v>412.3</v>
      </c>
      <c r="K56" s="20">
        <v>945.58999999999969</v>
      </c>
      <c r="L56" s="193">
        <f t="shared" si="13"/>
        <v>840.52444444444427</v>
      </c>
      <c r="M56" s="193">
        <f t="shared" si="13"/>
        <v>840.52444444444427</v>
      </c>
      <c r="N56" s="20">
        <f t="shared" si="11"/>
        <v>9561.9798888888872</v>
      </c>
      <c r="O56" s="21">
        <f t="shared" si="12"/>
        <v>8.6115690225021038E-3</v>
      </c>
    </row>
    <row r="57" spans="1:15" x14ac:dyDescent="0.2">
      <c r="A57" t="s">
        <v>45</v>
      </c>
      <c r="B57" s="20"/>
      <c r="C57" s="20">
        <v>715.65199999999982</v>
      </c>
      <c r="D57" s="20">
        <v>312.54000000000002</v>
      </c>
      <c r="E57" s="20">
        <v>163.98499999999999</v>
      </c>
      <c r="F57" s="20">
        <v>606.09500000000003</v>
      </c>
      <c r="G57" s="20">
        <v>145.85000000000002</v>
      </c>
      <c r="H57" s="20"/>
      <c r="I57" s="20">
        <v>167.01499999999999</v>
      </c>
      <c r="J57" s="20">
        <v>346.30500000000001</v>
      </c>
      <c r="K57" s="20">
        <v>493.63</v>
      </c>
      <c r="L57" s="193">
        <f t="shared" si="13"/>
        <v>438.78222222222223</v>
      </c>
      <c r="M57" s="193">
        <f t="shared" si="13"/>
        <v>438.78222222222223</v>
      </c>
      <c r="N57" s="20">
        <f t="shared" si="11"/>
        <v>3828.6364444444439</v>
      </c>
      <c r="O57" s="21">
        <f t="shared" si="12"/>
        <v>3.448089975770864E-3</v>
      </c>
    </row>
    <row r="58" spans="1:15" x14ac:dyDescent="0.2">
      <c r="A58" t="s">
        <v>154</v>
      </c>
      <c r="B58" s="20">
        <v>149.96</v>
      </c>
      <c r="C58" s="20">
        <v>192.17000000000002</v>
      </c>
      <c r="D58" s="20">
        <v>166.4</v>
      </c>
      <c r="E58" s="20"/>
      <c r="F58" s="20">
        <v>173.85</v>
      </c>
      <c r="G58" s="20"/>
      <c r="H58" s="20"/>
      <c r="I58" s="20">
        <v>31.17</v>
      </c>
      <c r="J58" s="20"/>
      <c r="K58" s="20">
        <v>117.22499999999999</v>
      </c>
      <c r="L58" s="193">
        <f t="shared" si="13"/>
        <v>104.2</v>
      </c>
      <c r="M58" s="193">
        <f t="shared" si="13"/>
        <v>104.2</v>
      </c>
      <c r="N58" s="20">
        <f t="shared" si="11"/>
        <v>1039.175</v>
      </c>
      <c r="O58" s="21">
        <f t="shared" si="12"/>
        <v>9.3588643177940209E-4</v>
      </c>
    </row>
    <row r="59" spans="1:15" x14ac:dyDescent="0.2">
      <c r="A59" t="s">
        <v>41</v>
      </c>
      <c r="B59" s="20">
        <v>6734.0700000000024</v>
      </c>
      <c r="C59" s="20">
        <v>7235.7200000000048</v>
      </c>
      <c r="D59" s="20">
        <v>6318.2800000000034</v>
      </c>
      <c r="E59" s="20">
        <v>8200.25</v>
      </c>
      <c r="F59" s="20">
        <v>7696.71</v>
      </c>
      <c r="G59" s="20">
        <v>10217.77999999999</v>
      </c>
      <c r="H59" s="20">
        <v>7095.6700000000028</v>
      </c>
      <c r="I59" s="20">
        <v>7741.75</v>
      </c>
      <c r="J59" s="20">
        <v>6162.2699999999995</v>
      </c>
      <c r="K59" s="20">
        <v>6509.5200000000041</v>
      </c>
      <c r="L59" s="193">
        <f t="shared" si="13"/>
        <v>5786.2400000000034</v>
      </c>
      <c r="M59" s="193">
        <f t="shared" si="13"/>
        <v>5786.2400000000034</v>
      </c>
      <c r="N59" s="20">
        <f t="shared" si="11"/>
        <v>85484.500000000029</v>
      </c>
      <c r="O59" s="21">
        <f t="shared" si="12"/>
        <v>7.6987787117132653E-2</v>
      </c>
    </row>
    <row r="60" spans="1:15" x14ac:dyDescent="0.2">
      <c r="A60" t="s">
        <v>102</v>
      </c>
      <c r="B60" s="20">
        <v>13988.57499999999</v>
      </c>
      <c r="C60" s="20">
        <v>13919.290000000008</v>
      </c>
      <c r="D60" s="20">
        <v>14327.570000000011</v>
      </c>
      <c r="E60" s="20">
        <v>16880.149999999994</v>
      </c>
      <c r="F60" s="20">
        <v>18246.930000000004</v>
      </c>
      <c r="G60" s="20">
        <v>19147.704999999994</v>
      </c>
      <c r="H60" s="20">
        <v>21475.080000000027</v>
      </c>
      <c r="I60" s="20">
        <v>19959.939999999991</v>
      </c>
      <c r="J60" s="20">
        <v>22543.740000000009</v>
      </c>
      <c r="K60" s="20">
        <v>29986.720000000027</v>
      </c>
      <c r="L60" s="193">
        <f t="shared" si="13"/>
        <v>26654.862222222244</v>
      </c>
      <c r="M60" s="193">
        <f t="shared" si="13"/>
        <v>26654.862222222244</v>
      </c>
      <c r="N60" s="20">
        <f t="shared" si="11"/>
        <v>243785.42444444454</v>
      </c>
      <c r="O60" s="21">
        <f t="shared" si="12"/>
        <v>0.21955442635084391</v>
      </c>
    </row>
    <row r="61" spans="1:15" x14ac:dyDescent="0.2">
      <c r="A61" t="s">
        <v>153</v>
      </c>
      <c r="B61" s="20">
        <v>1572.6199999999997</v>
      </c>
      <c r="C61" s="20">
        <v>1480.9099999999996</v>
      </c>
      <c r="D61" s="20">
        <v>529.22</v>
      </c>
      <c r="E61" s="20">
        <v>1502.3399999999997</v>
      </c>
      <c r="F61" s="20">
        <v>622.74000000000012</v>
      </c>
      <c r="G61" s="20">
        <v>695.93000000000006</v>
      </c>
      <c r="H61" s="20">
        <v>1059.9000000000001</v>
      </c>
      <c r="I61" s="20">
        <v>945.54999999999984</v>
      </c>
      <c r="J61" s="20">
        <v>989.64000000000021</v>
      </c>
      <c r="K61" s="20">
        <v>1749.9299999999998</v>
      </c>
      <c r="L61" s="193">
        <f t="shared" si="13"/>
        <v>1555.4933333333333</v>
      </c>
      <c r="M61" s="193">
        <f t="shared" si="13"/>
        <v>1555.4933333333333</v>
      </c>
      <c r="N61" s="20">
        <f t="shared" si="11"/>
        <v>14259.766666666665</v>
      </c>
      <c r="O61" s="21">
        <f t="shared" si="12"/>
        <v>1.2842420327349603E-2</v>
      </c>
    </row>
    <row r="62" spans="1:15" x14ac:dyDescent="0.2">
      <c r="A62" t="s">
        <v>37</v>
      </c>
      <c r="B62" s="20">
        <v>8965.2700000000059</v>
      </c>
      <c r="C62" s="20">
        <v>9371.4939999999988</v>
      </c>
      <c r="D62" s="20">
        <v>7984.1400000000094</v>
      </c>
      <c r="E62" s="20">
        <v>11690.790000000003</v>
      </c>
      <c r="F62" s="20">
        <v>10315.730000000001</v>
      </c>
      <c r="G62" s="20">
        <v>9287.9200000000019</v>
      </c>
      <c r="H62" s="20">
        <v>9559.600000000004</v>
      </c>
      <c r="I62" s="20">
        <v>8909.8110000000015</v>
      </c>
      <c r="J62" s="20">
        <v>8441.6400000000085</v>
      </c>
      <c r="K62" s="20">
        <v>9172.61</v>
      </c>
      <c r="L62" s="193">
        <f t="shared" si="13"/>
        <v>8153.431111111111</v>
      </c>
      <c r="M62" s="193">
        <f t="shared" si="13"/>
        <v>8153.431111111111</v>
      </c>
      <c r="N62" s="20">
        <f t="shared" si="11"/>
        <v>110005.86722222228</v>
      </c>
      <c r="O62" s="21">
        <f t="shared" si="12"/>
        <v>9.9071858492943241E-2</v>
      </c>
    </row>
    <row r="63" spans="1:15" x14ac:dyDescent="0.2">
      <c r="A63" s="125" t="s">
        <v>36</v>
      </c>
      <c r="B63" s="131">
        <f t="shared" ref="B63:N63" si="14">SUM(B51:B62)</f>
        <v>87087.816999999995</v>
      </c>
      <c r="C63" s="131">
        <f t="shared" si="14"/>
        <v>85032.102000000043</v>
      </c>
      <c r="D63" s="131">
        <f t="shared" si="14"/>
        <v>87918.90300000002</v>
      </c>
      <c r="E63" s="131">
        <f t="shared" si="14"/>
        <v>92798.517000000022</v>
      </c>
      <c r="F63" s="131">
        <f t="shared" si="14"/>
        <v>89498.424999999974</v>
      </c>
      <c r="G63" s="131">
        <f t="shared" si="14"/>
        <v>89933.538999999946</v>
      </c>
      <c r="H63" s="131">
        <f t="shared" si="14"/>
        <v>97078.628999999986</v>
      </c>
      <c r="I63" s="131">
        <f t="shared" si="14"/>
        <v>95073.558999999965</v>
      </c>
      <c r="J63" s="131">
        <f t="shared" si="14"/>
        <v>84138.601000000024</v>
      </c>
      <c r="K63" s="131">
        <f t="shared" si="14"/>
        <v>108649.55999999998</v>
      </c>
      <c r="L63" s="131">
        <f t="shared" si="14"/>
        <v>96577.386666666673</v>
      </c>
      <c r="M63" s="131">
        <f t="shared" si="14"/>
        <v>96577.386666666673</v>
      </c>
      <c r="N63" s="131">
        <f t="shared" si="14"/>
        <v>1110364.4253333337</v>
      </c>
    </row>
    <row r="64" spans="1:15" x14ac:dyDescent="0.2">
      <c r="A64" s="11" t="s">
        <v>110</v>
      </c>
      <c r="B64" s="21">
        <f>B63/$N$63</f>
        <v>7.843174278017423E-2</v>
      </c>
      <c r="C64" s="21">
        <f t="shared" ref="C64:M64" si="15">C63/$N$63</f>
        <v>7.6580355115819954E-2</v>
      </c>
      <c r="D64" s="21">
        <f t="shared" si="15"/>
        <v>7.9180223171871331E-2</v>
      </c>
      <c r="E64" s="21">
        <f t="shared" si="15"/>
        <v>8.3574829022590238E-2</v>
      </c>
      <c r="F64" s="21">
        <f t="shared" si="15"/>
        <v>8.0602748933650645E-2</v>
      </c>
      <c r="G64" s="21">
        <f t="shared" si="15"/>
        <v>8.0994614874302831E-2</v>
      </c>
      <c r="H64" s="21">
        <f t="shared" si="15"/>
        <v>8.7429520241389919E-2</v>
      </c>
      <c r="I64" s="21">
        <f t="shared" si="15"/>
        <v>8.562374372851389E-2</v>
      </c>
      <c r="J64" s="21">
        <f t="shared" si="15"/>
        <v>7.5775663449179256E-2</v>
      </c>
      <c r="K64" s="21">
        <f t="shared" si="15"/>
        <v>9.785036112570264E-2</v>
      </c>
      <c r="L64" s="21">
        <f t="shared" si="15"/>
        <v>8.697809877840236E-2</v>
      </c>
      <c r="M64" s="21">
        <f t="shared" si="15"/>
        <v>8.697809877840236E-2</v>
      </c>
      <c r="N64" s="21">
        <f>SUM(B64:M64)</f>
        <v>0.99999999999999967</v>
      </c>
    </row>
    <row r="66" spans="1:14" x14ac:dyDescent="0.2">
      <c r="A66" s="178" t="s">
        <v>162</v>
      </c>
      <c r="B66" s="117" t="s">
        <v>5</v>
      </c>
      <c r="C66" s="117" t="s">
        <v>6</v>
      </c>
      <c r="D66" s="117" t="s">
        <v>7</v>
      </c>
      <c r="E66" s="117" t="s">
        <v>8</v>
      </c>
      <c r="F66" s="117" t="s">
        <v>9</v>
      </c>
      <c r="G66" s="117" t="s">
        <v>10</v>
      </c>
      <c r="H66" s="117" t="s">
        <v>11</v>
      </c>
      <c r="I66" s="117" t="s">
        <v>12</v>
      </c>
      <c r="J66" s="117" t="s">
        <v>13</v>
      </c>
      <c r="K66" s="117" t="s">
        <v>14</v>
      </c>
      <c r="L66" s="117" t="s">
        <v>15</v>
      </c>
      <c r="M66" s="117" t="s">
        <v>16</v>
      </c>
      <c r="N66" s="117" t="s">
        <v>36</v>
      </c>
    </row>
    <row r="67" spans="1:14" x14ac:dyDescent="0.2">
      <c r="A67" s="179" t="s">
        <v>100</v>
      </c>
      <c r="B67" s="119">
        <f t="shared" ref="B67:M67" si="16">IF(B51=0,0,B3/B51)</f>
        <v>322.77424967525184</v>
      </c>
      <c r="C67" s="119">
        <f t="shared" si="16"/>
        <v>324.36862937849554</v>
      </c>
      <c r="D67" s="119">
        <f t="shared" si="16"/>
        <v>327.75190369756297</v>
      </c>
      <c r="E67" s="119">
        <f t="shared" si="16"/>
        <v>342.71051882965003</v>
      </c>
      <c r="F67" s="119">
        <f t="shared" si="16"/>
        <v>297.40953651332921</v>
      </c>
      <c r="G67" s="119">
        <f t="shared" si="16"/>
        <v>309.4181258097185</v>
      </c>
      <c r="H67" s="119">
        <f t="shared" si="16"/>
        <v>317.37956053068001</v>
      </c>
      <c r="I67" s="119">
        <f t="shared" si="16"/>
        <v>332.24872793404325</v>
      </c>
      <c r="J67" s="119">
        <f t="shared" si="16"/>
        <v>318.5079080486089</v>
      </c>
      <c r="K67" s="119">
        <f t="shared" si="16"/>
        <v>335.66095376004654</v>
      </c>
      <c r="L67" s="196">
        <f t="shared" si="16"/>
        <v>335.66095376004654</v>
      </c>
      <c r="M67" s="196">
        <f t="shared" si="16"/>
        <v>335.66095376004654</v>
      </c>
      <c r="N67" s="119">
        <f>N3/N51</f>
        <v>325.65180969168966</v>
      </c>
    </row>
    <row r="68" spans="1:14" x14ac:dyDescent="0.2">
      <c r="A68" s="118" t="s">
        <v>152</v>
      </c>
      <c r="B68" s="119" t="e">
        <f t="shared" ref="B68:M68" si="17">IF(B52=0,0,B4/B52)</f>
        <v>#VALUE!</v>
      </c>
      <c r="C68" s="119">
        <f t="shared" si="17"/>
        <v>194.7584968171835</v>
      </c>
      <c r="D68" s="119">
        <f t="shared" si="17"/>
        <v>144.59439255847144</v>
      </c>
      <c r="E68" s="119">
        <f t="shared" si="17"/>
        <v>165.09346885784933</v>
      </c>
      <c r="F68" s="119">
        <f t="shared" si="17"/>
        <v>174.10852404114505</v>
      </c>
      <c r="G68" s="119">
        <f t="shared" si="17"/>
        <v>175.88228667827607</v>
      </c>
      <c r="H68" s="119">
        <f t="shared" si="17"/>
        <v>195.25849749666637</v>
      </c>
      <c r="I68" s="119">
        <f t="shared" si="17"/>
        <v>217.30650744059852</v>
      </c>
      <c r="J68" s="119">
        <f t="shared" si="17"/>
        <v>235.16816403512112</v>
      </c>
      <c r="K68" s="119">
        <f t="shared" si="17"/>
        <v>238.70161710162512</v>
      </c>
      <c r="L68" s="196">
        <f t="shared" si="17"/>
        <v>238.70161710162512</v>
      </c>
      <c r="M68" s="196">
        <f t="shared" si="17"/>
        <v>238.70161710162512</v>
      </c>
      <c r="N68" s="119">
        <f t="shared" ref="N68:N78" si="18">N4/N52</f>
        <v>184.02076251937964</v>
      </c>
    </row>
    <row r="69" spans="1:14" x14ac:dyDescent="0.2">
      <c r="A69" s="118" t="s">
        <v>161</v>
      </c>
      <c r="B69" s="119">
        <f t="shared" ref="B69:M69" si="19">IF(B53=0,0,B5/B53)</f>
        <v>270.78350417722351</v>
      </c>
      <c r="C69" s="119">
        <f t="shared" si="19"/>
        <v>308.36332436116561</v>
      </c>
      <c r="D69" s="119">
        <f t="shared" si="19"/>
        <v>355.54757500226737</v>
      </c>
      <c r="E69" s="119">
        <f t="shared" si="19"/>
        <v>328.14694858373014</v>
      </c>
      <c r="F69" s="119">
        <f t="shared" si="19"/>
        <v>274.39495504416573</v>
      </c>
      <c r="G69" s="119">
        <f t="shared" si="19"/>
        <v>244.55568031407347</v>
      </c>
      <c r="H69" s="119">
        <f t="shared" si="19"/>
        <v>211.7345399628187</v>
      </c>
      <c r="I69" s="119">
        <f t="shared" si="19"/>
        <v>192.10639728854974</v>
      </c>
      <c r="J69" s="119">
        <f t="shared" si="19"/>
        <v>209.94968063146277</v>
      </c>
      <c r="K69" s="119">
        <f t="shared" si="19"/>
        <v>251.1680910272529</v>
      </c>
      <c r="L69" s="196">
        <f t="shared" si="19"/>
        <v>251.16809102725293</v>
      </c>
      <c r="M69" s="196">
        <f t="shared" si="19"/>
        <v>251.16809102725293</v>
      </c>
      <c r="N69" s="119">
        <f t="shared" si="18"/>
        <v>263.96078773900342</v>
      </c>
    </row>
    <row r="70" spans="1:14" x14ac:dyDescent="0.2">
      <c r="A70" s="118" t="s">
        <v>101</v>
      </c>
      <c r="B70" s="119">
        <f t="shared" ref="B70:M70" si="20">IF(B54=0,0,B6/B54)</f>
        <v>310.00350276944283</v>
      </c>
      <c r="C70" s="119">
        <f t="shared" si="20"/>
        <v>350.05097959938888</v>
      </c>
      <c r="D70" s="119">
        <f t="shared" si="20"/>
        <v>352.55196208558152</v>
      </c>
      <c r="E70" s="119">
        <f t="shared" si="20"/>
        <v>363.17077869156088</v>
      </c>
      <c r="F70" s="119">
        <f t="shared" si="20"/>
        <v>365.02483432027816</v>
      </c>
      <c r="G70" s="119">
        <f t="shared" si="20"/>
        <v>343.62040424320264</v>
      </c>
      <c r="H70" s="119">
        <f t="shared" si="20"/>
        <v>320.50382838213636</v>
      </c>
      <c r="I70" s="119">
        <f t="shared" si="20"/>
        <v>280.54385631168697</v>
      </c>
      <c r="J70" s="119">
        <f t="shared" si="20"/>
        <v>305.60509499872194</v>
      </c>
      <c r="K70" s="119">
        <f t="shared" si="20"/>
        <v>374.18961751877748</v>
      </c>
      <c r="L70" s="196">
        <f t="shared" si="20"/>
        <v>374.18961751877748</v>
      </c>
      <c r="M70" s="196">
        <f t="shared" si="20"/>
        <v>374.18961751877748</v>
      </c>
      <c r="N70" s="119">
        <f t="shared" si="18"/>
        <v>347.14550357700489</v>
      </c>
    </row>
    <row r="71" spans="1:14" x14ac:dyDescent="0.2">
      <c r="A71" s="118" t="s">
        <v>39</v>
      </c>
      <c r="B71" s="119">
        <f t="shared" ref="B71:M71" si="21">IF(B55=0,0,B7/B55)</f>
        <v>233.13277288446699</v>
      </c>
      <c r="C71" s="119">
        <f t="shared" si="21"/>
        <v>249.76802771026507</v>
      </c>
      <c r="D71" s="119">
        <f t="shared" si="21"/>
        <v>217.08755164893708</v>
      </c>
      <c r="E71" s="119">
        <f t="shared" si="21"/>
        <v>245.01282058573855</v>
      </c>
      <c r="F71" s="119">
        <f t="shared" si="21"/>
        <v>213.05338827481813</v>
      </c>
      <c r="G71" s="119">
        <f t="shared" si="21"/>
        <v>235.64993496925592</v>
      </c>
      <c r="H71" s="119">
        <f t="shared" si="21"/>
        <v>248.38707573358897</v>
      </c>
      <c r="I71" s="119">
        <f t="shared" si="21"/>
        <v>254.56649939998943</v>
      </c>
      <c r="J71" s="119">
        <f t="shared" si="21"/>
        <v>255.52081648526388</v>
      </c>
      <c r="K71" s="119">
        <f t="shared" si="21"/>
        <v>260.65062552587773</v>
      </c>
      <c r="L71" s="196">
        <f t="shared" si="21"/>
        <v>260.65062552587773</v>
      </c>
      <c r="M71" s="196">
        <f t="shared" si="21"/>
        <v>260.65062552587773</v>
      </c>
      <c r="N71" s="119">
        <f t="shared" si="18"/>
        <v>244.91664222697429</v>
      </c>
    </row>
    <row r="72" spans="1:14" x14ac:dyDescent="0.2">
      <c r="A72" s="118" t="s">
        <v>44</v>
      </c>
      <c r="B72" s="119">
        <f t="shared" ref="B72:M72" si="22">IF(B56=0,0,B8/B56)</f>
        <v>163.01052394337975</v>
      </c>
      <c r="C72" s="119">
        <f t="shared" si="22"/>
        <v>181.30357286230429</v>
      </c>
      <c r="D72" s="119">
        <f t="shared" si="22"/>
        <v>159.42264231674349</v>
      </c>
      <c r="E72" s="119">
        <f t="shared" si="22"/>
        <v>162.35232648163986</v>
      </c>
      <c r="F72" s="119">
        <f t="shared" si="22"/>
        <v>155.46360115401336</v>
      </c>
      <c r="G72" s="119">
        <f t="shared" si="22"/>
        <v>180.58602571993129</v>
      </c>
      <c r="H72" s="119">
        <f t="shared" si="22"/>
        <v>187.15150717521701</v>
      </c>
      <c r="I72" s="119">
        <f t="shared" si="22"/>
        <v>180.08565266706842</v>
      </c>
      <c r="J72" s="119">
        <f t="shared" si="22"/>
        <v>198.01811787533347</v>
      </c>
      <c r="K72" s="119">
        <f t="shared" si="22"/>
        <v>177.67819033619224</v>
      </c>
      <c r="L72" s="196">
        <f t="shared" si="22"/>
        <v>177.67819033619224</v>
      </c>
      <c r="M72" s="196">
        <f t="shared" si="22"/>
        <v>177.67819033619224</v>
      </c>
      <c r="N72" s="119">
        <f t="shared" si="18"/>
        <v>173.58433334221496</v>
      </c>
    </row>
    <row r="73" spans="1:14" x14ac:dyDescent="0.2">
      <c r="A73" s="118" t="s">
        <v>45</v>
      </c>
      <c r="B73" s="119">
        <f t="shared" ref="B73:M73" si="23">IF(B57=0,0,B9/B57)</f>
        <v>0</v>
      </c>
      <c r="C73" s="119">
        <f t="shared" si="23"/>
        <v>176.65850161810494</v>
      </c>
      <c r="D73" s="119">
        <f t="shared" si="23"/>
        <v>161.77698854546614</v>
      </c>
      <c r="E73" s="119">
        <f t="shared" si="23"/>
        <v>246.56724700429922</v>
      </c>
      <c r="F73" s="119">
        <f t="shared" si="23"/>
        <v>150.72977008554764</v>
      </c>
      <c r="G73" s="119">
        <f t="shared" si="23"/>
        <v>169.77374014398353</v>
      </c>
      <c r="H73" s="119">
        <f t="shared" si="23"/>
        <v>0</v>
      </c>
      <c r="I73" s="119">
        <f t="shared" si="23"/>
        <v>119.90000898122923</v>
      </c>
      <c r="J73" s="119">
        <f t="shared" si="23"/>
        <v>146.86215907942417</v>
      </c>
      <c r="K73" s="119">
        <f t="shared" si="23"/>
        <v>171.35488118631361</v>
      </c>
      <c r="L73" s="196">
        <f t="shared" si="23"/>
        <v>171.35488118631361</v>
      </c>
      <c r="M73" s="196">
        <f t="shared" si="23"/>
        <v>171.35488118631361</v>
      </c>
      <c r="N73" s="119">
        <f t="shared" si="18"/>
        <v>167.00051059663596</v>
      </c>
    </row>
    <row r="74" spans="1:14" x14ac:dyDescent="0.2">
      <c r="A74" s="118" t="s">
        <v>154</v>
      </c>
      <c r="B74" s="119">
        <f t="shared" ref="B74:M74" si="24">IF(B58=0,0,B10/B58)</f>
        <v>112.87003200853559</v>
      </c>
      <c r="C74" s="119">
        <f t="shared" si="24"/>
        <v>117.73950148306184</v>
      </c>
      <c r="D74" s="119">
        <f t="shared" si="24"/>
        <v>118.49993990384614</v>
      </c>
      <c r="E74" s="119">
        <f t="shared" si="24"/>
        <v>0</v>
      </c>
      <c r="F74" s="119">
        <f t="shared" si="24"/>
        <v>159.91285591026747</v>
      </c>
      <c r="G74" s="119">
        <f t="shared" si="24"/>
        <v>0</v>
      </c>
      <c r="H74" s="119">
        <f t="shared" si="24"/>
        <v>0</v>
      </c>
      <c r="I74" s="119">
        <f t="shared" si="24"/>
        <v>401.47994866859153</v>
      </c>
      <c r="J74" s="119">
        <f t="shared" si="24"/>
        <v>0</v>
      </c>
      <c r="K74" s="119">
        <f t="shared" si="24"/>
        <v>257.86154830454257</v>
      </c>
      <c r="L74" s="196">
        <f t="shared" si="24"/>
        <v>257.86154830454257</v>
      </c>
      <c r="M74" s="196">
        <f t="shared" si="24"/>
        <v>257.86154830454257</v>
      </c>
      <c r="N74" s="119">
        <f t="shared" si="18"/>
        <v>176.63196927049503</v>
      </c>
    </row>
    <row r="75" spans="1:14" x14ac:dyDescent="0.2">
      <c r="A75" s="118" t="s">
        <v>41</v>
      </c>
      <c r="B75" s="119">
        <f t="shared" ref="B75:M75" si="25">IF(B59=0,0,B11/B59)</f>
        <v>117.43574985113004</v>
      </c>
      <c r="C75" s="119">
        <f t="shared" si="25"/>
        <v>122.28398694255715</v>
      </c>
      <c r="D75" s="119">
        <f t="shared" si="25"/>
        <v>122.27698519217249</v>
      </c>
      <c r="E75" s="119">
        <f t="shared" si="25"/>
        <v>121.74036157434212</v>
      </c>
      <c r="F75" s="119">
        <f t="shared" si="25"/>
        <v>121.58319203919591</v>
      </c>
      <c r="G75" s="119">
        <f t="shared" si="25"/>
        <v>121.68946874957192</v>
      </c>
      <c r="H75" s="119">
        <f t="shared" si="25"/>
        <v>122.26080553351549</v>
      </c>
      <c r="I75" s="119">
        <f t="shared" si="25"/>
        <v>126.78319759744247</v>
      </c>
      <c r="J75" s="119">
        <f t="shared" si="25"/>
        <v>125.80857541133388</v>
      </c>
      <c r="K75" s="119">
        <f t="shared" si="25"/>
        <v>125.34788279320126</v>
      </c>
      <c r="L75" s="196">
        <f t="shared" si="25"/>
        <v>125.34788279320126</v>
      </c>
      <c r="M75" s="196">
        <f t="shared" si="25"/>
        <v>125.34788279320126</v>
      </c>
      <c r="N75" s="119">
        <f t="shared" si="18"/>
        <v>123.02294154690807</v>
      </c>
    </row>
    <row r="76" spans="1:14" x14ac:dyDescent="0.2">
      <c r="A76" s="118" t="s">
        <v>102</v>
      </c>
      <c r="B76" s="119">
        <f t="shared" ref="B76:M76" si="26">IF(B60=0,0,B12/B60)</f>
        <v>353.66142512729158</v>
      </c>
      <c r="C76" s="119">
        <f t="shared" si="26"/>
        <v>370.92311245760357</v>
      </c>
      <c r="D76" s="119">
        <f t="shared" si="26"/>
        <v>348.40482649884063</v>
      </c>
      <c r="E76" s="119">
        <f t="shared" si="26"/>
        <v>341.38682298439267</v>
      </c>
      <c r="F76" s="119">
        <f t="shared" si="26"/>
        <v>304.18480204615179</v>
      </c>
      <c r="G76" s="119">
        <f t="shared" si="26"/>
        <v>267.39473477369762</v>
      </c>
      <c r="H76" s="119">
        <f t="shared" si="26"/>
        <v>235.70887558975303</v>
      </c>
      <c r="I76" s="119">
        <f t="shared" si="26"/>
        <v>233.6561492669818</v>
      </c>
      <c r="J76" s="119">
        <f t="shared" si="26"/>
        <v>223.23695181012556</v>
      </c>
      <c r="K76" s="119">
        <f t="shared" si="26"/>
        <v>215.97848214142792</v>
      </c>
      <c r="L76" s="196">
        <f t="shared" si="26"/>
        <v>215.97848214142792</v>
      </c>
      <c r="M76" s="196">
        <f t="shared" si="26"/>
        <v>215.97848214142792</v>
      </c>
      <c r="N76" s="119">
        <f t="shared" si="18"/>
        <v>263.68910534902898</v>
      </c>
    </row>
    <row r="77" spans="1:14" x14ac:dyDescent="0.2">
      <c r="A77" s="118" t="s">
        <v>153</v>
      </c>
      <c r="B77" s="119">
        <f t="shared" ref="B77:M77" si="27">IF(B61=0,0,B13/B61)</f>
        <v>162.1615202655442</v>
      </c>
      <c r="C77" s="119">
        <f t="shared" si="27"/>
        <v>141.82316278504433</v>
      </c>
      <c r="D77" s="119">
        <f t="shared" si="27"/>
        <v>134.94996409810665</v>
      </c>
      <c r="E77" s="119">
        <f t="shared" si="27"/>
        <v>134.66156129770897</v>
      </c>
      <c r="F77" s="119">
        <f t="shared" si="27"/>
        <v>134.95243600860709</v>
      </c>
      <c r="G77" s="119">
        <f t="shared" si="27"/>
        <v>134.95818544968603</v>
      </c>
      <c r="H77" s="119">
        <f t="shared" si="27"/>
        <v>135.78819699971694</v>
      </c>
      <c r="I77" s="119">
        <f t="shared" si="27"/>
        <v>136.5491935910317</v>
      </c>
      <c r="J77" s="119">
        <f t="shared" si="27"/>
        <v>136.54997776969401</v>
      </c>
      <c r="K77" s="119">
        <f t="shared" si="27"/>
        <v>136.54998771379428</v>
      </c>
      <c r="L77" s="196">
        <f t="shared" si="27"/>
        <v>136.54998771379428</v>
      </c>
      <c r="M77" s="196">
        <f t="shared" si="27"/>
        <v>136.54998771379428</v>
      </c>
      <c r="N77" s="119">
        <f t="shared" si="18"/>
        <v>139.45968875912729</v>
      </c>
    </row>
    <row r="78" spans="1:14" x14ac:dyDescent="0.2">
      <c r="A78" s="118" t="s">
        <v>37</v>
      </c>
      <c r="B78" s="119">
        <f t="shared" ref="B78:M78" si="28">IF(B62=0,0,B14/B62)</f>
        <v>231.84319602198241</v>
      </c>
      <c r="C78" s="119">
        <f t="shared" si="28"/>
        <v>252.20493658748563</v>
      </c>
      <c r="D78" s="119">
        <f t="shared" si="28"/>
        <v>245.33415496221224</v>
      </c>
      <c r="E78" s="119">
        <f t="shared" si="28"/>
        <v>237.89339385961097</v>
      </c>
      <c r="F78" s="119">
        <f t="shared" si="28"/>
        <v>264.50127329815729</v>
      </c>
      <c r="G78" s="119">
        <f t="shared" si="28"/>
        <v>254.0725113911403</v>
      </c>
      <c r="H78" s="119">
        <f t="shared" si="28"/>
        <v>261.46887317460977</v>
      </c>
      <c r="I78" s="119">
        <f t="shared" si="28"/>
        <v>265.0055753146728</v>
      </c>
      <c r="J78" s="119">
        <f t="shared" si="28"/>
        <v>255.98553480129434</v>
      </c>
      <c r="K78" s="119">
        <f t="shared" si="28"/>
        <v>265.3026237897389</v>
      </c>
      <c r="L78" s="196">
        <f t="shared" si="28"/>
        <v>265.3026237897389</v>
      </c>
      <c r="M78" s="196">
        <f t="shared" si="28"/>
        <v>265.3026237897389</v>
      </c>
      <c r="N78" s="119">
        <f t="shared" si="18"/>
        <v>255.00224153195529</v>
      </c>
    </row>
    <row r="79" spans="1:14" x14ac:dyDescent="0.2">
      <c r="A79" s="120" t="s">
        <v>36</v>
      </c>
      <c r="B79" s="121">
        <f t="shared" ref="B79:N79" si="29">IF(B63=0,0,B15/B63)</f>
        <v>263.14204304834038</v>
      </c>
      <c r="C79" s="121">
        <f t="shared" si="29"/>
        <v>290.24578282211576</v>
      </c>
      <c r="D79" s="121">
        <f t="shared" si="29"/>
        <v>308.19095399768605</v>
      </c>
      <c r="E79" s="121">
        <f t="shared" si="29"/>
        <v>293.4492523194092</v>
      </c>
      <c r="F79" s="121">
        <f t="shared" si="29"/>
        <v>266.71810034645858</v>
      </c>
      <c r="G79" s="121">
        <f t="shared" si="29"/>
        <v>247.84369388599313</v>
      </c>
      <c r="H79" s="121">
        <f t="shared" si="29"/>
        <v>239.24953070773176</v>
      </c>
      <c r="I79" s="121">
        <f t="shared" si="29"/>
        <v>235.1292814230296</v>
      </c>
      <c r="J79" s="121">
        <f t="shared" si="29"/>
        <v>238.79811384075654</v>
      </c>
      <c r="K79" s="121">
        <f t="shared" si="29"/>
        <v>256.57960142682589</v>
      </c>
      <c r="L79" s="121">
        <f t="shared" si="29"/>
        <v>256.57960142682589</v>
      </c>
      <c r="M79" s="121">
        <f t="shared" si="29"/>
        <v>256.57960142682589</v>
      </c>
      <c r="N79" s="121">
        <f t="shared" si="29"/>
        <v>262.25085539654117</v>
      </c>
    </row>
    <row r="82" spans="1:14" x14ac:dyDescent="0.2">
      <c r="A82" s="124" t="s">
        <v>163</v>
      </c>
      <c r="B82" s="117" t="s">
        <v>5</v>
      </c>
      <c r="C82" s="117" t="s">
        <v>6</v>
      </c>
      <c r="D82" s="117" t="s">
        <v>7</v>
      </c>
      <c r="E82" s="117" t="s">
        <v>8</v>
      </c>
      <c r="F82" s="117" t="s">
        <v>9</v>
      </c>
      <c r="G82" s="117" t="s">
        <v>10</v>
      </c>
      <c r="H82" s="117" t="s">
        <v>11</v>
      </c>
      <c r="I82" s="117" t="s">
        <v>12</v>
      </c>
      <c r="J82" s="117" t="s">
        <v>13</v>
      </c>
      <c r="K82" s="117" t="s">
        <v>14</v>
      </c>
      <c r="L82" s="117" t="s">
        <v>15</v>
      </c>
      <c r="M82" s="117" t="s">
        <v>16</v>
      </c>
      <c r="N82" s="117" t="s">
        <v>36</v>
      </c>
    </row>
    <row r="83" spans="1:14" x14ac:dyDescent="0.2">
      <c r="A83" s="179" t="s">
        <v>100</v>
      </c>
      <c r="B83" s="119">
        <f>IF(B34=0,0,B3/B34)</f>
        <v>20.855240022880249</v>
      </c>
      <c r="C83" s="119">
        <f t="shared" ref="C83:M83" si="30">IF(C34=0,0,C3/C34)</f>
        <v>22.421458507015004</v>
      </c>
      <c r="D83" s="119">
        <f t="shared" si="30"/>
        <v>22.797450103402142</v>
      </c>
      <c r="E83" s="119">
        <f t="shared" si="30"/>
        <v>22.975527595740317</v>
      </c>
      <c r="F83" s="119">
        <f t="shared" si="30"/>
        <v>24.186178871688952</v>
      </c>
      <c r="G83" s="119">
        <f t="shared" si="30"/>
        <v>23.589324462751108</v>
      </c>
      <c r="H83" s="119">
        <f t="shared" si="30"/>
        <v>24.977617640748747</v>
      </c>
      <c r="I83" s="119">
        <f t="shared" si="30"/>
        <v>24.723565475994612</v>
      </c>
      <c r="J83" s="119">
        <f t="shared" si="30"/>
        <v>25.783089695427964</v>
      </c>
      <c r="K83" s="119">
        <f t="shared" si="30"/>
        <v>25.972018299322105</v>
      </c>
      <c r="L83" s="196">
        <f t="shared" si="30"/>
        <v>25.972018299322102</v>
      </c>
      <c r="M83" s="196">
        <f t="shared" si="30"/>
        <v>25.972018299322102</v>
      </c>
      <c r="N83" s="119">
        <f>IF(N34=0,0,N3/N34)</f>
        <v>24.178224017574923</v>
      </c>
    </row>
    <row r="84" spans="1:14" x14ac:dyDescent="0.2">
      <c r="A84" s="118" t="s">
        <v>152</v>
      </c>
      <c r="B84" s="119" t="e">
        <f t="shared" ref="B84:N84" si="31">IF(B35=0,0,B4/B35)</f>
        <v>#VALUE!</v>
      </c>
      <c r="C84" s="119">
        <f t="shared" si="31"/>
        <v>39.357537801850597</v>
      </c>
      <c r="D84" s="119">
        <f t="shared" si="31"/>
        <v>47.44812634822803</v>
      </c>
      <c r="E84" s="119">
        <f t="shared" si="31"/>
        <v>62.329290640394099</v>
      </c>
      <c r="F84" s="119">
        <f t="shared" si="31"/>
        <v>52.012744163887568</v>
      </c>
      <c r="G84" s="119">
        <f t="shared" si="31"/>
        <v>45.25361103332402</v>
      </c>
      <c r="H84" s="119">
        <f t="shared" si="31"/>
        <v>31.497319399350648</v>
      </c>
      <c r="I84" s="119">
        <f t="shared" si="31"/>
        <v>28.392942851004403</v>
      </c>
      <c r="J84" s="119">
        <f t="shared" si="31"/>
        <v>24.387314655742021</v>
      </c>
      <c r="K84" s="119">
        <f t="shared" si="31"/>
        <v>23.864046437624712</v>
      </c>
      <c r="L84" s="196">
        <f t="shared" si="31"/>
        <v>23.864046437624715</v>
      </c>
      <c r="M84" s="196">
        <f t="shared" si="31"/>
        <v>23.864046437624715</v>
      </c>
      <c r="N84" s="119">
        <f t="shared" si="31"/>
        <v>25.231863553938972</v>
      </c>
    </row>
    <row r="85" spans="1:14" x14ac:dyDescent="0.2">
      <c r="A85" s="118" t="s">
        <v>161</v>
      </c>
      <c r="B85" s="119">
        <f t="shared" ref="B85:N85" si="32">IF(B36=0,0,B5/B36)</f>
        <v>21.465832080696202</v>
      </c>
      <c r="C85" s="119">
        <f t="shared" si="32"/>
        <v>21.19448248802863</v>
      </c>
      <c r="D85" s="119">
        <f t="shared" si="32"/>
        <v>23.124326945574893</v>
      </c>
      <c r="E85" s="119">
        <f t="shared" si="32"/>
        <v>23.273478211720668</v>
      </c>
      <c r="F85" s="119">
        <f t="shared" si="32"/>
        <v>22.371283937576244</v>
      </c>
      <c r="G85" s="119">
        <f t="shared" si="32"/>
        <v>21.177290472149231</v>
      </c>
      <c r="H85" s="119">
        <f t="shared" si="32"/>
        <v>22.759638983754829</v>
      </c>
      <c r="I85" s="119">
        <f t="shared" si="32"/>
        <v>24.175579282975129</v>
      </c>
      <c r="J85" s="119">
        <f t="shared" si="32"/>
        <v>18.979767034541773</v>
      </c>
      <c r="K85" s="119">
        <f t="shared" si="32"/>
        <v>21.453007825865409</v>
      </c>
      <c r="L85" s="196">
        <f t="shared" si="32"/>
        <v>21.453007825865413</v>
      </c>
      <c r="M85" s="196">
        <f t="shared" si="32"/>
        <v>21.453007825865413</v>
      </c>
      <c r="N85" s="119">
        <f t="shared" si="32"/>
        <v>22.023381960123025</v>
      </c>
    </row>
    <row r="86" spans="1:14" x14ac:dyDescent="0.2">
      <c r="A86" s="118" t="s">
        <v>101</v>
      </c>
      <c r="B86" s="119">
        <f t="shared" ref="B86:N86" si="33">IF(B37=0,0,B6/B37)</f>
        <v>22.779353885567911</v>
      </c>
      <c r="C86" s="119">
        <f t="shared" si="33"/>
        <v>24.407059380278405</v>
      </c>
      <c r="D86" s="119">
        <f t="shared" si="33"/>
        <v>25.778832732029453</v>
      </c>
      <c r="E86" s="119">
        <f t="shared" si="33"/>
        <v>24.809742710120059</v>
      </c>
      <c r="F86" s="119">
        <f t="shared" si="33"/>
        <v>24.553528434706948</v>
      </c>
      <c r="G86" s="119">
        <f t="shared" si="33"/>
        <v>24.649068720789355</v>
      </c>
      <c r="H86" s="119">
        <f t="shared" si="33"/>
        <v>27.760712246119841</v>
      </c>
      <c r="I86" s="119">
        <f t="shared" si="33"/>
        <v>29.496164476076668</v>
      </c>
      <c r="J86" s="119">
        <f t="shared" si="33"/>
        <v>28.575518445887973</v>
      </c>
      <c r="K86" s="119">
        <f t="shared" si="33"/>
        <v>27.262325578748509</v>
      </c>
      <c r="L86" s="196">
        <f t="shared" si="33"/>
        <v>27.262325578748509</v>
      </c>
      <c r="M86" s="196">
        <f t="shared" si="33"/>
        <v>27.262325578748509</v>
      </c>
      <c r="N86" s="119">
        <f t="shared" si="33"/>
        <v>26.063690571032062</v>
      </c>
    </row>
    <row r="87" spans="1:14" x14ac:dyDescent="0.2">
      <c r="A87" s="118" t="s">
        <v>39</v>
      </c>
      <c r="B87" s="119">
        <f t="shared" ref="B87:N87" si="34">IF(B38=0,0,B7/B38)</f>
        <v>20.004900269727013</v>
      </c>
      <c r="C87" s="119">
        <f t="shared" si="34"/>
        <v>20.322023050514961</v>
      </c>
      <c r="D87" s="119">
        <f t="shared" si="34"/>
        <v>23.184531646414747</v>
      </c>
      <c r="E87" s="119">
        <f t="shared" si="34"/>
        <v>21.673028261440205</v>
      </c>
      <c r="F87" s="119">
        <f t="shared" si="34"/>
        <v>23.06014982876713</v>
      </c>
      <c r="G87" s="119">
        <f t="shared" si="34"/>
        <v>21.295544866579903</v>
      </c>
      <c r="H87" s="119">
        <f t="shared" si="34"/>
        <v>23.524821597784101</v>
      </c>
      <c r="I87" s="119">
        <f t="shared" si="34"/>
        <v>22.356275199695705</v>
      </c>
      <c r="J87" s="119">
        <f t="shared" si="34"/>
        <v>25.968102859484564</v>
      </c>
      <c r="K87" s="119">
        <f t="shared" si="34"/>
        <v>27.959257931906812</v>
      </c>
      <c r="L87" s="196">
        <f t="shared" si="34"/>
        <v>27.959257931906816</v>
      </c>
      <c r="M87" s="196">
        <f t="shared" si="34"/>
        <v>27.959257931906816</v>
      </c>
      <c r="N87" s="119">
        <f t="shared" si="34"/>
        <v>23.367265088249031</v>
      </c>
    </row>
    <row r="88" spans="1:14" x14ac:dyDescent="0.2">
      <c r="A88" s="118" t="s">
        <v>44</v>
      </c>
      <c r="B88" s="119">
        <f t="shared" ref="B88:N88" si="35">IF(B39=0,0,B8/B39)</f>
        <v>37.856693806339045</v>
      </c>
      <c r="C88" s="119">
        <f t="shared" si="35"/>
        <v>50.782668665667167</v>
      </c>
      <c r="D88" s="119">
        <f t="shared" si="35"/>
        <v>56.844895977808605</v>
      </c>
      <c r="E88" s="119">
        <f t="shared" si="35"/>
        <v>45.555966787989078</v>
      </c>
      <c r="F88" s="119">
        <f t="shared" si="35"/>
        <v>47.739023058252428</v>
      </c>
      <c r="G88" s="119">
        <f t="shared" si="35"/>
        <v>37.729231185706553</v>
      </c>
      <c r="H88" s="119">
        <f t="shared" si="35"/>
        <v>29.446253583943928</v>
      </c>
      <c r="I88" s="119">
        <f t="shared" si="35"/>
        <v>28.748039554531488</v>
      </c>
      <c r="J88" s="119">
        <f t="shared" si="35"/>
        <v>25.136351600985222</v>
      </c>
      <c r="K88" s="119">
        <f t="shared" si="35"/>
        <v>34.541677631578942</v>
      </c>
      <c r="L88" s="196">
        <f t="shared" si="35"/>
        <v>34.541677631578942</v>
      </c>
      <c r="M88" s="196">
        <f t="shared" si="35"/>
        <v>34.541677631578942</v>
      </c>
      <c r="N88" s="119">
        <f t="shared" si="35"/>
        <v>36.203941058856316</v>
      </c>
    </row>
    <row r="89" spans="1:14" x14ac:dyDescent="0.2">
      <c r="A89" s="118" t="s">
        <v>45</v>
      </c>
      <c r="B89" s="119">
        <f t="shared" ref="B89:N89" si="36">IF(B40=0,0,B9/B40)</f>
        <v>0</v>
      </c>
      <c r="C89" s="119">
        <f t="shared" si="36"/>
        <v>43.852240721470693</v>
      </c>
      <c r="D89" s="119">
        <f t="shared" si="36"/>
        <v>33.198804990151011</v>
      </c>
      <c r="E89" s="119">
        <f t="shared" si="36"/>
        <v>9.2103257403189076</v>
      </c>
      <c r="F89" s="119">
        <f t="shared" si="36"/>
        <v>38.743240033927059</v>
      </c>
      <c r="G89" s="119">
        <f t="shared" si="36"/>
        <v>36.738130563798222</v>
      </c>
      <c r="H89" s="119">
        <f t="shared" si="36"/>
        <v>0</v>
      </c>
      <c r="I89" s="119">
        <f t="shared" si="36"/>
        <v>208.59479166666665</v>
      </c>
      <c r="J89" s="119">
        <f t="shared" si="36"/>
        <v>64.7062340966921</v>
      </c>
      <c r="K89" s="119">
        <f t="shared" si="36"/>
        <v>31.189494837758108</v>
      </c>
      <c r="L89" s="196">
        <f t="shared" si="36"/>
        <v>31.189494837758104</v>
      </c>
      <c r="M89" s="196">
        <f t="shared" si="36"/>
        <v>31.189494837758104</v>
      </c>
      <c r="N89" s="119">
        <f t="shared" si="36"/>
        <v>31.584928755694595</v>
      </c>
    </row>
    <row r="90" spans="1:14" x14ac:dyDescent="0.2">
      <c r="A90" s="118" t="s">
        <v>154</v>
      </c>
      <c r="B90" s="119">
        <f t="shared" ref="B90:N90" si="37">IF(B41=0,0,B10/B41)</f>
        <v>86.357091836734682</v>
      </c>
      <c r="C90" s="119">
        <f t="shared" si="37"/>
        <v>15.185234899328856</v>
      </c>
      <c r="D90" s="119">
        <f t="shared" si="37"/>
        <v>57.488017492711371</v>
      </c>
      <c r="E90" s="119">
        <f t="shared" si="37"/>
        <v>0</v>
      </c>
      <c r="F90" s="119">
        <f t="shared" si="37"/>
        <v>26.629166666666666</v>
      </c>
      <c r="G90" s="119">
        <f t="shared" si="37"/>
        <v>0</v>
      </c>
      <c r="H90" s="119">
        <f t="shared" si="37"/>
        <v>0</v>
      </c>
      <c r="I90" s="119">
        <f t="shared" si="37"/>
        <v>16.820067204301075</v>
      </c>
      <c r="J90" s="119">
        <f t="shared" si="37"/>
        <v>0</v>
      </c>
      <c r="K90" s="119">
        <f t="shared" si="37"/>
        <v>13.246196319018404</v>
      </c>
      <c r="L90" s="196">
        <f t="shared" si="37"/>
        <v>13.246196319018406</v>
      </c>
      <c r="M90" s="196">
        <f t="shared" si="37"/>
        <v>13.246196319018406</v>
      </c>
      <c r="N90" s="119">
        <f t="shared" si="37"/>
        <v>18.07340831263744</v>
      </c>
    </row>
    <row r="91" spans="1:14" x14ac:dyDescent="0.2">
      <c r="A91" s="118" t="s">
        <v>41</v>
      </c>
      <c r="B91" s="119">
        <f t="shared" ref="B91:N91" si="38">IF(B42=0,0,B11/B42)</f>
        <v>65.896221981501512</v>
      </c>
      <c r="C91" s="119">
        <f t="shared" si="38"/>
        <v>54.530549118698396</v>
      </c>
      <c r="D91" s="119">
        <f t="shared" si="38"/>
        <v>56.653239715479941</v>
      </c>
      <c r="E91" s="119">
        <f t="shared" si="38"/>
        <v>61.426372138813619</v>
      </c>
      <c r="F91" s="119">
        <f t="shared" si="38"/>
        <v>66.330491210660583</v>
      </c>
      <c r="G91" s="119">
        <f t="shared" si="38"/>
        <v>67.116280902515371</v>
      </c>
      <c r="H91" s="119">
        <f t="shared" si="38"/>
        <v>69.026283418204983</v>
      </c>
      <c r="I91" s="119">
        <f t="shared" si="38"/>
        <v>72.943208977407863</v>
      </c>
      <c r="J91" s="119">
        <f t="shared" si="38"/>
        <v>64.637853093213309</v>
      </c>
      <c r="K91" s="119">
        <f t="shared" si="38"/>
        <v>65.665101400289714</v>
      </c>
      <c r="L91" s="196">
        <f t="shared" si="38"/>
        <v>65.665101400289714</v>
      </c>
      <c r="M91" s="196">
        <f t="shared" si="38"/>
        <v>65.665101400289714</v>
      </c>
      <c r="N91" s="119">
        <f t="shared" si="38"/>
        <v>64.40625970187034</v>
      </c>
    </row>
    <row r="92" spans="1:14" x14ac:dyDescent="0.2">
      <c r="A92" s="118" t="s">
        <v>102</v>
      </c>
      <c r="B92" s="119">
        <f t="shared" ref="B92:N92" si="39">IF(B43=0,0,B12/B43)</f>
        <v>17.998200514419384</v>
      </c>
      <c r="C92" s="119">
        <f t="shared" si="39"/>
        <v>20.580818172396199</v>
      </c>
      <c r="D92" s="119">
        <f t="shared" si="39"/>
        <v>22.928852132213784</v>
      </c>
      <c r="E92" s="119">
        <f t="shared" si="39"/>
        <v>21.518524197162037</v>
      </c>
      <c r="F92" s="119">
        <f t="shared" si="39"/>
        <v>21.702086324465466</v>
      </c>
      <c r="G92" s="119">
        <f t="shared" si="39"/>
        <v>22.852021870118289</v>
      </c>
      <c r="H92" s="119">
        <f t="shared" si="39"/>
        <v>25.697365011676311</v>
      </c>
      <c r="I92" s="119">
        <f t="shared" si="39"/>
        <v>25.491728540819445</v>
      </c>
      <c r="J92" s="119">
        <f t="shared" si="39"/>
        <v>24.286479939001445</v>
      </c>
      <c r="K92" s="119">
        <f t="shared" si="39"/>
        <v>25.07447547330522</v>
      </c>
      <c r="L92" s="196">
        <f t="shared" si="39"/>
        <v>25.07447547330522</v>
      </c>
      <c r="M92" s="196">
        <f t="shared" si="39"/>
        <v>25.07447547330522</v>
      </c>
      <c r="N92" s="119">
        <f t="shared" si="39"/>
        <v>22.993946487705468</v>
      </c>
    </row>
    <row r="93" spans="1:14" x14ac:dyDescent="0.2">
      <c r="A93" s="118" t="s">
        <v>153</v>
      </c>
      <c r="B93" s="119">
        <f t="shared" ref="B93:N93" si="40">IF(B44=0,0,B13/B44)</f>
        <v>68.02305948252868</v>
      </c>
      <c r="C93" s="119">
        <f t="shared" si="40"/>
        <v>124.49753408417307</v>
      </c>
      <c r="D93" s="119">
        <f t="shared" si="40"/>
        <v>172.50777777777779</v>
      </c>
      <c r="E93" s="119">
        <f t="shared" si="40"/>
        <v>77.334652140672802</v>
      </c>
      <c r="F93" s="119">
        <f t="shared" si="40"/>
        <v>76.400254545454544</v>
      </c>
      <c r="G93" s="119">
        <f t="shared" si="40"/>
        <v>76.234943181818181</v>
      </c>
      <c r="H93" s="119">
        <f t="shared" si="40"/>
        <v>77.879821428571432</v>
      </c>
      <c r="I93" s="119">
        <f t="shared" si="40"/>
        <v>79.308409090909095</v>
      </c>
      <c r="J93" s="119">
        <f t="shared" si="40"/>
        <v>80.822559808612439</v>
      </c>
      <c r="K93" s="119">
        <f t="shared" si="40"/>
        <v>77.582116883116882</v>
      </c>
      <c r="L93" s="196">
        <f t="shared" si="40"/>
        <v>77.582116883116868</v>
      </c>
      <c r="M93" s="196">
        <f t="shared" si="40"/>
        <v>77.582116883116868</v>
      </c>
      <c r="N93" s="119">
        <f t="shared" si="40"/>
        <v>81.164749585060363</v>
      </c>
    </row>
    <row r="94" spans="1:14" x14ac:dyDescent="0.2">
      <c r="A94" s="118" t="s">
        <v>37</v>
      </c>
      <c r="B94" s="119">
        <f t="shared" ref="B94:N94" si="41">IF(B45=0,0,B14/B45)</f>
        <v>15.630682142910855</v>
      </c>
      <c r="C94" s="119">
        <f t="shared" si="41"/>
        <v>26.077819030385967</v>
      </c>
      <c r="D94" s="119">
        <f t="shared" si="41"/>
        <v>24.530465992911793</v>
      </c>
      <c r="E94" s="119">
        <f t="shared" si="41"/>
        <v>25.731007808596875</v>
      </c>
      <c r="F94" s="119">
        <f t="shared" si="41"/>
        <v>23.593757847223429</v>
      </c>
      <c r="G94" s="119">
        <f t="shared" si="41"/>
        <v>23.238780060268255</v>
      </c>
      <c r="H94" s="119">
        <f t="shared" si="41"/>
        <v>23.470279629664415</v>
      </c>
      <c r="I94" s="119">
        <f t="shared" si="41"/>
        <v>22.727837575080862</v>
      </c>
      <c r="J94" s="119">
        <f t="shared" si="41"/>
        <v>23.494582608506573</v>
      </c>
      <c r="K94" s="119">
        <f t="shared" si="41"/>
        <v>25.032067766622749</v>
      </c>
      <c r="L94" s="196">
        <f t="shared" si="41"/>
        <v>25.032067766622745</v>
      </c>
      <c r="M94" s="196">
        <f t="shared" si="41"/>
        <v>25.032067766622745</v>
      </c>
      <c r="N94" s="119">
        <f t="shared" si="41"/>
        <v>23.354120972473815</v>
      </c>
    </row>
    <row r="95" spans="1:14" x14ac:dyDescent="0.2">
      <c r="A95" s="120" t="s">
        <v>36</v>
      </c>
      <c r="B95" s="121">
        <f>IF(B46=0,0,B15/B46)</f>
        <v>19.949358153163651</v>
      </c>
      <c r="C95" s="121">
        <f t="shared" ref="C95:N95" si="42">IF(C46=0,0,C15/C46)</f>
        <v>22.866675817583296</v>
      </c>
      <c r="D95" s="121">
        <f t="shared" si="42"/>
        <v>24.006083594842263</v>
      </c>
      <c r="E95" s="121">
        <f t="shared" si="42"/>
        <v>23.903898152585899</v>
      </c>
      <c r="F95" s="121">
        <f t="shared" si="42"/>
        <v>23.771863858891567</v>
      </c>
      <c r="G95" s="121">
        <f t="shared" si="42"/>
        <v>23.733653314167078</v>
      </c>
      <c r="H95" s="121">
        <f t="shared" si="42"/>
        <v>25.218094594389175</v>
      </c>
      <c r="I95" s="121">
        <f t="shared" si="42"/>
        <v>25.561994422108484</v>
      </c>
      <c r="J95" s="121">
        <f t="shared" si="42"/>
        <v>24.279415833472299</v>
      </c>
      <c r="K95" s="121">
        <f t="shared" si="42"/>
        <v>25.269407415867629</v>
      </c>
      <c r="L95" s="121">
        <f t="shared" si="42"/>
        <v>25.269407415867637</v>
      </c>
      <c r="M95" s="121">
        <f t="shared" si="42"/>
        <v>25.269407415867637</v>
      </c>
      <c r="N95" s="121">
        <f t="shared" si="42"/>
        <v>24.012450805877169</v>
      </c>
    </row>
    <row r="98" spans="1:14" x14ac:dyDescent="0.2">
      <c r="A98" s="117" t="s">
        <v>48</v>
      </c>
      <c r="B98" s="117" t="s">
        <v>5</v>
      </c>
      <c r="C98" s="117" t="s">
        <v>6</v>
      </c>
      <c r="D98" s="117" t="s">
        <v>7</v>
      </c>
      <c r="E98" s="117" t="s">
        <v>8</v>
      </c>
      <c r="F98" s="117" t="s">
        <v>9</v>
      </c>
      <c r="G98" s="117" t="s">
        <v>10</v>
      </c>
      <c r="H98" s="117" t="s">
        <v>11</v>
      </c>
      <c r="I98" s="117" t="s">
        <v>12</v>
      </c>
      <c r="J98" s="117" t="s">
        <v>13</v>
      </c>
      <c r="K98" s="117" t="s">
        <v>14</v>
      </c>
      <c r="L98" s="117" t="s">
        <v>15</v>
      </c>
      <c r="M98" s="117" t="s">
        <v>16</v>
      </c>
      <c r="N98" s="117" t="s">
        <v>36</v>
      </c>
    </row>
    <row r="99" spans="1:14" x14ac:dyDescent="0.2">
      <c r="A99" s="179" t="s">
        <v>100</v>
      </c>
      <c r="B99" s="119">
        <f>IF(B18=0,0,B3/B18)</f>
        <v>9857.4081109185317</v>
      </c>
      <c r="C99" s="119">
        <f t="shared" ref="C99:N99" si="43">IF(C18=0,0,C3/C18)</f>
        <v>9766.5500182481792</v>
      </c>
      <c r="D99" s="119">
        <f t="shared" si="43"/>
        <v>10392.013253234754</v>
      </c>
      <c r="E99" s="119">
        <f t="shared" si="43"/>
        <v>11289.509559748425</v>
      </c>
      <c r="F99" s="119">
        <f t="shared" si="43"/>
        <v>9832.4240594059374</v>
      </c>
      <c r="G99" s="119">
        <f t="shared" si="43"/>
        <v>10175.337395348839</v>
      </c>
      <c r="H99" s="119">
        <f t="shared" si="43"/>
        <v>11022.272879684415</v>
      </c>
      <c r="I99" s="119">
        <f t="shared" si="43"/>
        <v>11671.059126213597</v>
      </c>
      <c r="J99" s="119">
        <f t="shared" si="43"/>
        <v>11519.589162995593</v>
      </c>
      <c r="K99" s="119">
        <f t="shared" si="43"/>
        <v>12469.63462057335</v>
      </c>
      <c r="L99" s="196">
        <f t="shared" si="43"/>
        <v>12469.63462057335</v>
      </c>
      <c r="M99" s="196">
        <f t="shared" si="43"/>
        <v>12469.63462057335</v>
      </c>
      <c r="N99" s="119">
        <f t="shared" si="43"/>
        <v>11087.617314149536</v>
      </c>
    </row>
    <row r="100" spans="1:14" x14ac:dyDescent="0.2">
      <c r="A100" s="118" t="s">
        <v>152</v>
      </c>
      <c r="B100" s="119" t="e">
        <f t="shared" ref="B100:N100" si="44">IF(B19=0,0,B4/B19)</f>
        <v>#VALUE!</v>
      </c>
      <c r="C100" s="119">
        <f t="shared" si="44"/>
        <v>5625.5887096774195</v>
      </c>
      <c r="D100" s="119">
        <f t="shared" si="44"/>
        <v>4276.921388888888</v>
      </c>
      <c r="E100" s="119">
        <f t="shared" si="44"/>
        <v>5164.4269387755112</v>
      </c>
      <c r="F100" s="119">
        <f t="shared" si="44"/>
        <v>5598.7051282051279</v>
      </c>
      <c r="G100" s="119">
        <f t="shared" si="44"/>
        <v>5670.198070175441</v>
      </c>
      <c r="H100" s="119">
        <f t="shared" si="44"/>
        <v>6047.4853246753246</v>
      </c>
      <c r="I100" s="119">
        <f t="shared" si="44"/>
        <v>6865.1923376623372</v>
      </c>
      <c r="J100" s="119">
        <f t="shared" si="44"/>
        <v>7097.646538461534</v>
      </c>
      <c r="K100" s="119">
        <f t="shared" si="44"/>
        <v>7136.5045967741908</v>
      </c>
      <c r="L100" s="196">
        <f t="shared" si="44"/>
        <v>7136.5045967741908</v>
      </c>
      <c r="M100" s="196">
        <f t="shared" si="44"/>
        <v>7136.5045967741908</v>
      </c>
      <c r="N100" s="119">
        <f t="shared" si="44"/>
        <v>5590.194279154206</v>
      </c>
    </row>
    <row r="101" spans="1:14" x14ac:dyDescent="0.2">
      <c r="A101" s="118" t="s">
        <v>161</v>
      </c>
      <c r="B101" s="119">
        <f t="shared" ref="B101:N101" si="45">IF(B20=0,0,B5/B20)</f>
        <v>7450.6576887871861</v>
      </c>
      <c r="C101" s="119">
        <f t="shared" si="45"/>
        <v>8093.5257207718587</v>
      </c>
      <c r="D101" s="119">
        <f t="shared" si="45"/>
        <v>10945.464538545089</v>
      </c>
      <c r="E101" s="119">
        <f t="shared" si="45"/>
        <v>9749.9469493392098</v>
      </c>
      <c r="F101" s="119">
        <f t="shared" si="45"/>
        <v>7246.3823625254608</v>
      </c>
      <c r="G101" s="119">
        <f t="shared" si="45"/>
        <v>6454.8648580441732</v>
      </c>
      <c r="H101" s="119">
        <f t="shared" si="45"/>
        <v>5459.28993542435</v>
      </c>
      <c r="I101" s="119">
        <f t="shared" si="45"/>
        <v>4969.4000091659045</v>
      </c>
      <c r="J101" s="119">
        <f t="shared" si="45"/>
        <v>4902.8787917737764</v>
      </c>
      <c r="K101" s="119">
        <f t="shared" si="45"/>
        <v>6351.0612500000043</v>
      </c>
      <c r="L101" s="196">
        <f t="shared" si="45"/>
        <v>6351.0612500000043</v>
      </c>
      <c r="M101" s="196">
        <f t="shared" si="45"/>
        <v>6351.0612500000043</v>
      </c>
      <c r="N101" s="119">
        <f t="shared" si="45"/>
        <v>7001.9574181836515</v>
      </c>
    </row>
    <row r="102" spans="1:14" x14ac:dyDescent="0.2">
      <c r="A102" s="118" t="s">
        <v>101</v>
      </c>
      <c r="B102" s="119">
        <f t="shared" ref="B102:N102" si="46">IF(B21=0,0,B6/B21)</f>
        <v>10755.896532258073</v>
      </c>
      <c r="C102" s="119">
        <f t="shared" si="46"/>
        <v>12795.261145038166</v>
      </c>
      <c r="D102" s="119">
        <f t="shared" si="46"/>
        <v>13426.805879120879</v>
      </c>
      <c r="E102" s="119">
        <f t="shared" si="46"/>
        <v>12975.13058823529</v>
      </c>
      <c r="F102" s="119">
        <f t="shared" si="46"/>
        <v>13070.747789473682</v>
      </c>
      <c r="G102" s="119">
        <f t="shared" si="46"/>
        <v>11966.190756302531</v>
      </c>
      <c r="H102" s="119">
        <f t="shared" si="46"/>
        <v>12301.39479591837</v>
      </c>
      <c r="I102" s="119">
        <f t="shared" si="46"/>
        <v>10514.290185185182</v>
      </c>
      <c r="J102" s="119">
        <f t="shared" si="46"/>
        <v>11657.382749999999</v>
      </c>
      <c r="K102" s="119">
        <f t="shared" si="46"/>
        <v>14695.229754601236</v>
      </c>
      <c r="L102" s="196">
        <f t="shared" si="46"/>
        <v>14695.229754601236</v>
      </c>
      <c r="M102" s="196">
        <f t="shared" si="46"/>
        <v>14695.229754601236</v>
      </c>
      <c r="N102" s="119">
        <f t="shared" si="46"/>
        <v>12984.360475531608</v>
      </c>
    </row>
    <row r="103" spans="1:14" x14ac:dyDescent="0.2">
      <c r="A103" s="118" t="s">
        <v>39</v>
      </c>
      <c r="B103" s="119">
        <f t="shared" ref="B103:N103" si="47">IF(B22=0,0,B7/B22)</f>
        <v>5652.5496601941759</v>
      </c>
      <c r="C103" s="119">
        <f t="shared" si="47"/>
        <v>5949.8714871794882</v>
      </c>
      <c r="D103" s="119">
        <f t="shared" si="47"/>
        <v>5221.9235338345879</v>
      </c>
      <c r="E103" s="119">
        <f t="shared" si="47"/>
        <v>5968.699759036147</v>
      </c>
      <c r="F103" s="119">
        <f t="shared" si="47"/>
        <v>5095.6698648648662</v>
      </c>
      <c r="G103" s="119">
        <f t="shared" si="47"/>
        <v>5629.3513440860252</v>
      </c>
      <c r="H103" s="119">
        <f t="shared" si="47"/>
        <v>6266.7383980582545</v>
      </c>
      <c r="I103" s="119">
        <f t="shared" si="47"/>
        <v>6354.0159459459464</v>
      </c>
      <c r="J103" s="119">
        <f t="shared" si="47"/>
        <v>7173.7292452830188</v>
      </c>
      <c r="K103" s="119">
        <f t="shared" si="47"/>
        <v>7859.2438518518493</v>
      </c>
      <c r="L103" s="196">
        <f t="shared" si="47"/>
        <v>7859.2438518518502</v>
      </c>
      <c r="M103" s="196">
        <f t="shared" si="47"/>
        <v>7859.2438518518502</v>
      </c>
      <c r="N103" s="119">
        <f t="shared" si="47"/>
        <v>6311.3270106370701</v>
      </c>
    </row>
    <row r="104" spans="1:14" x14ac:dyDescent="0.2">
      <c r="A104" s="118" t="s">
        <v>44</v>
      </c>
      <c r="B104" s="119">
        <f t="shared" ref="B104:N104" si="48">IF(B23=0,0,B8/B23)</f>
        <v>4199.6506451612895</v>
      </c>
      <c r="C104" s="119">
        <f t="shared" si="48"/>
        <v>4838.8628571428571</v>
      </c>
      <c r="D104" s="119">
        <f t="shared" si="48"/>
        <v>4553.9077777777784</v>
      </c>
      <c r="E104" s="119">
        <f t="shared" si="48"/>
        <v>4657.303023255814</v>
      </c>
      <c r="F104" s="119">
        <f t="shared" si="48"/>
        <v>4370.7727777777782</v>
      </c>
      <c r="G104" s="119">
        <f t="shared" si="48"/>
        <v>4977.5635714285718</v>
      </c>
      <c r="H104" s="119">
        <f t="shared" si="48"/>
        <v>5135.0994444444441</v>
      </c>
      <c r="I104" s="119">
        <f t="shared" si="48"/>
        <v>4990.6596666666655</v>
      </c>
      <c r="J104" s="119">
        <f t="shared" si="48"/>
        <v>5102.6793749999997</v>
      </c>
      <c r="K104" s="119">
        <f t="shared" si="48"/>
        <v>4941.4917647058819</v>
      </c>
      <c r="L104" s="196">
        <f t="shared" si="48"/>
        <v>4941.491764705881</v>
      </c>
      <c r="M104" s="196">
        <f t="shared" si="48"/>
        <v>4941.491764705881</v>
      </c>
      <c r="N104" s="119">
        <f t="shared" si="48"/>
        <v>4790.9843296985237</v>
      </c>
    </row>
    <row r="105" spans="1:14" x14ac:dyDescent="0.2">
      <c r="A105" s="118" t="s">
        <v>45</v>
      </c>
      <c r="B105" s="119">
        <f t="shared" ref="B105:N105" si="49">IF(B24=0,0,B9/B24)</f>
        <v>0</v>
      </c>
      <c r="C105" s="119">
        <f t="shared" si="49"/>
        <v>4682.4448148148149</v>
      </c>
      <c r="D105" s="119">
        <f t="shared" si="49"/>
        <v>4213.4816666666657</v>
      </c>
      <c r="E105" s="119">
        <f t="shared" si="49"/>
        <v>5776.1900000000005</v>
      </c>
      <c r="F105" s="119">
        <f t="shared" si="49"/>
        <v>3972.0243478260868</v>
      </c>
      <c r="G105" s="119">
        <f t="shared" si="49"/>
        <v>4952.3</v>
      </c>
      <c r="H105" s="119">
        <f t="shared" si="49"/>
        <v>0</v>
      </c>
      <c r="I105" s="119">
        <f t="shared" si="49"/>
        <v>3337.5166666666664</v>
      </c>
      <c r="J105" s="119">
        <f t="shared" si="49"/>
        <v>4238.2583333333323</v>
      </c>
      <c r="K105" s="119">
        <f t="shared" si="49"/>
        <v>4975.6417647058815</v>
      </c>
      <c r="L105" s="196">
        <f t="shared" si="49"/>
        <v>4975.6417647058815</v>
      </c>
      <c r="M105" s="196">
        <f t="shared" si="49"/>
        <v>4975.6417647058815</v>
      </c>
      <c r="N105" s="119">
        <f t="shared" si="49"/>
        <v>4592.5444293695118</v>
      </c>
    </row>
    <row r="106" spans="1:14" x14ac:dyDescent="0.2">
      <c r="A106" s="118" t="s">
        <v>154</v>
      </c>
      <c r="B106" s="119">
        <f t="shared" ref="B106:N106" si="50">IF(B25=0,0,B10/B25)</f>
        <v>4231.4974999999995</v>
      </c>
      <c r="C106" s="119">
        <f t="shared" si="50"/>
        <v>2828.2499999999995</v>
      </c>
      <c r="D106" s="119">
        <f t="shared" si="50"/>
        <v>2816.9128571428569</v>
      </c>
      <c r="E106" s="119">
        <f t="shared" si="50"/>
        <v>0</v>
      </c>
      <c r="F106" s="119">
        <f t="shared" si="50"/>
        <v>3971.5499999999997</v>
      </c>
      <c r="G106" s="119">
        <f t="shared" si="50"/>
        <v>0</v>
      </c>
      <c r="H106" s="119">
        <f t="shared" si="50"/>
        <v>0</v>
      </c>
      <c r="I106" s="119">
        <f t="shared" si="50"/>
        <v>12514.13</v>
      </c>
      <c r="J106" s="119">
        <f t="shared" si="50"/>
        <v>0</v>
      </c>
      <c r="K106" s="119">
        <f t="shared" si="50"/>
        <v>7556.9549999999999</v>
      </c>
      <c r="L106" s="196">
        <f t="shared" si="50"/>
        <v>7556.9549999999999</v>
      </c>
      <c r="M106" s="196">
        <f t="shared" si="50"/>
        <v>7556.9549999999999</v>
      </c>
      <c r="N106" s="119">
        <f t="shared" si="50"/>
        <v>4816.2208163265304</v>
      </c>
    </row>
    <row r="107" spans="1:14" x14ac:dyDescent="0.2">
      <c r="A107" s="118" t="s">
        <v>41</v>
      </c>
      <c r="B107" s="119">
        <f t="shared" ref="B107:N107" si="51">IF(B26=0,0,B11/B26)</f>
        <v>2961.8747565543058</v>
      </c>
      <c r="C107" s="119">
        <f t="shared" si="51"/>
        <v>3171.3716487455204</v>
      </c>
      <c r="D107" s="119">
        <f t="shared" si="51"/>
        <v>3166.3124180327868</v>
      </c>
      <c r="E107" s="119">
        <f t="shared" si="51"/>
        <v>3283.886184210523</v>
      </c>
      <c r="F107" s="119">
        <f t="shared" si="51"/>
        <v>3354.0880645161274</v>
      </c>
      <c r="G107" s="119">
        <f t="shared" si="51"/>
        <v>3315.7232533333327</v>
      </c>
      <c r="H107" s="119">
        <f t="shared" si="51"/>
        <v>3349.5070656370663</v>
      </c>
      <c r="I107" s="119">
        <f t="shared" si="51"/>
        <v>3621.8591143911444</v>
      </c>
      <c r="J107" s="119">
        <f t="shared" si="51"/>
        <v>3385.4428384279495</v>
      </c>
      <c r="K107" s="119">
        <f t="shared" si="51"/>
        <v>3428.380462184874</v>
      </c>
      <c r="L107" s="196">
        <f t="shared" si="51"/>
        <v>3428.380462184874</v>
      </c>
      <c r="M107" s="196">
        <f t="shared" si="51"/>
        <v>3428.380462184874</v>
      </c>
      <c r="N107" s="119">
        <f t="shared" si="51"/>
        <v>3319.5030975344575</v>
      </c>
    </row>
    <row r="108" spans="1:14" x14ac:dyDescent="0.2">
      <c r="A108" s="118" t="s">
        <v>102</v>
      </c>
      <c r="B108" s="119">
        <f t="shared" ref="B108:N108" si="52">IF(B27=0,0,B12/B27)</f>
        <v>10896.958964757707</v>
      </c>
      <c r="C108" s="119">
        <f t="shared" si="52"/>
        <v>11923.756050808315</v>
      </c>
      <c r="D108" s="119">
        <f t="shared" si="52"/>
        <v>11293.65280542986</v>
      </c>
      <c r="E108" s="119">
        <f t="shared" si="52"/>
        <v>11366.194832347128</v>
      </c>
      <c r="F108" s="119">
        <f t="shared" si="52"/>
        <v>10452.803747645932</v>
      </c>
      <c r="G108" s="119">
        <f t="shared" si="52"/>
        <v>9078.0062056737643</v>
      </c>
      <c r="H108" s="119">
        <f t="shared" si="52"/>
        <v>8111.9662820512822</v>
      </c>
      <c r="I108" s="119">
        <f t="shared" si="52"/>
        <v>7931.5692517006783</v>
      </c>
      <c r="J108" s="119">
        <f t="shared" si="52"/>
        <v>7058.3391304347851</v>
      </c>
      <c r="K108" s="119">
        <f t="shared" si="52"/>
        <v>6904.5695842217538</v>
      </c>
      <c r="L108" s="196">
        <f t="shared" si="52"/>
        <v>6904.5695842217547</v>
      </c>
      <c r="M108" s="196">
        <f t="shared" si="52"/>
        <v>6904.5695842217547</v>
      </c>
      <c r="N108" s="119">
        <f t="shared" si="52"/>
        <v>8615.30279983322</v>
      </c>
    </row>
    <row r="109" spans="1:14" x14ac:dyDescent="0.2">
      <c r="A109" s="118" t="s">
        <v>153</v>
      </c>
      <c r="B109" s="119">
        <f t="shared" ref="B109:N109" si="53">IF(B28=0,0,B13/B28)</f>
        <v>4636.6990909090919</v>
      </c>
      <c r="C109" s="119">
        <f t="shared" si="53"/>
        <v>3500.4556666666663</v>
      </c>
      <c r="D109" s="119">
        <f t="shared" si="53"/>
        <v>3400.867619047619</v>
      </c>
      <c r="E109" s="119">
        <f t="shared" si="53"/>
        <v>3371.7908333333339</v>
      </c>
      <c r="F109" s="119">
        <f t="shared" si="53"/>
        <v>3361.6111999999998</v>
      </c>
      <c r="G109" s="119">
        <f t="shared" si="53"/>
        <v>3354.3375000000001</v>
      </c>
      <c r="H109" s="119">
        <f t="shared" si="53"/>
        <v>3426.7121428571431</v>
      </c>
      <c r="I109" s="119">
        <f t="shared" si="53"/>
        <v>3489.5699999999997</v>
      </c>
      <c r="J109" s="119">
        <f t="shared" si="53"/>
        <v>3556.1926315789474</v>
      </c>
      <c r="K109" s="119">
        <f t="shared" si="53"/>
        <v>3413.613142857143</v>
      </c>
      <c r="L109" s="196">
        <f t="shared" si="53"/>
        <v>3413.6131428571425</v>
      </c>
      <c r="M109" s="196">
        <f t="shared" si="53"/>
        <v>3413.6131428571425</v>
      </c>
      <c r="N109" s="119">
        <f t="shared" si="53"/>
        <v>3548.3670876288661</v>
      </c>
    </row>
    <row r="110" spans="1:14" x14ac:dyDescent="0.2">
      <c r="A110" s="118" t="s">
        <v>37</v>
      </c>
      <c r="B110" s="119">
        <f t="shared" ref="B110:N110" si="54">IF(B29=0,0,B14/B29)</f>
        <v>7242.288675958187</v>
      </c>
      <c r="C110" s="119">
        <f t="shared" si="54"/>
        <v>8039.2416666666722</v>
      </c>
      <c r="D110" s="119">
        <f t="shared" si="54"/>
        <v>7254.7490370370351</v>
      </c>
      <c r="E110" s="119">
        <f t="shared" si="54"/>
        <v>7112.9455498721272</v>
      </c>
      <c r="F110" s="119">
        <f t="shared" si="54"/>
        <v>8025.0697647058842</v>
      </c>
      <c r="G110" s="119">
        <f t="shared" si="54"/>
        <v>7467.7378481012665</v>
      </c>
      <c r="H110" s="119">
        <f t="shared" si="54"/>
        <v>7811.0557500000023</v>
      </c>
      <c r="I110" s="119">
        <f t="shared" si="54"/>
        <v>7792.5729042904313</v>
      </c>
      <c r="J110" s="119">
        <f t="shared" si="54"/>
        <v>7608.9356690140858</v>
      </c>
      <c r="K110" s="119">
        <f t="shared" si="54"/>
        <v>8479.1550522647995</v>
      </c>
      <c r="L110" s="196">
        <f t="shared" si="54"/>
        <v>8479.1550522647976</v>
      </c>
      <c r="M110" s="196">
        <f t="shared" si="54"/>
        <v>8479.1550522647976</v>
      </c>
      <c r="N110" s="119">
        <f t="shared" si="54"/>
        <v>7787.3437541640942</v>
      </c>
    </row>
    <row r="111" spans="1:14" x14ac:dyDescent="0.2">
      <c r="A111" s="120" t="s">
        <v>36</v>
      </c>
      <c r="B111" s="121">
        <f t="shared" ref="B111:N111" si="55">IF(B30=0,0,B15/B30)</f>
        <v>7621.0396042567309</v>
      </c>
      <c r="C111" s="121">
        <f t="shared" si="55"/>
        <v>8329.4664225447214</v>
      </c>
      <c r="D111" s="121">
        <f t="shared" si="55"/>
        <v>9464.1322354174044</v>
      </c>
      <c r="E111" s="121">
        <f t="shared" si="55"/>
        <v>8934.270154199472</v>
      </c>
      <c r="F111" s="121">
        <f t="shared" si="55"/>
        <v>7930.514916943519</v>
      </c>
      <c r="G111" s="121">
        <f t="shared" si="55"/>
        <v>7286.5186368094191</v>
      </c>
      <c r="H111" s="121">
        <f t="shared" si="55"/>
        <v>7139.8759391331068</v>
      </c>
      <c r="I111" s="121">
        <f t="shared" si="55"/>
        <v>7040.811845669291</v>
      </c>
      <c r="J111" s="121">
        <f t="shared" si="55"/>
        <v>7008.0708824555277</v>
      </c>
      <c r="K111" s="121">
        <f t="shared" si="55"/>
        <v>7895.004474653073</v>
      </c>
      <c r="L111" s="121">
        <f t="shared" si="55"/>
        <v>7895.004474653073</v>
      </c>
      <c r="M111" s="121">
        <f t="shared" si="55"/>
        <v>7895.004474653073</v>
      </c>
      <c r="N111" s="121">
        <f t="shared" si="55"/>
        <v>7858.7806858282383</v>
      </c>
    </row>
    <row r="113" spans="1:14" x14ac:dyDescent="0.2">
      <c r="A113" s="124" t="s">
        <v>177</v>
      </c>
      <c r="B113" s="117" t="s">
        <v>5</v>
      </c>
      <c r="C113" s="117" t="s">
        <v>6</v>
      </c>
      <c r="D113" s="117" t="s">
        <v>7</v>
      </c>
      <c r="E113" s="117" t="s">
        <v>8</v>
      </c>
      <c r="F113" s="117" t="s">
        <v>9</v>
      </c>
      <c r="G113" s="117" t="s">
        <v>10</v>
      </c>
      <c r="H113" s="117" t="s">
        <v>11</v>
      </c>
      <c r="I113" s="117" t="s">
        <v>12</v>
      </c>
      <c r="J113" s="117" t="s">
        <v>13</v>
      </c>
      <c r="K113" s="117" t="s">
        <v>14</v>
      </c>
      <c r="L113" s="117" t="s">
        <v>15</v>
      </c>
      <c r="M113" s="117" t="s">
        <v>16</v>
      </c>
      <c r="N113" s="117" t="s">
        <v>36</v>
      </c>
    </row>
    <row r="114" spans="1:14" x14ac:dyDescent="0.2">
      <c r="A114" s="179" t="s">
        <v>100</v>
      </c>
      <c r="B114" s="119">
        <f>B18/B$237</f>
        <v>22.192307692307693</v>
      </c>
      <c r="C114" s="119">
        <f t="shared" ref="C114:M114" si="56">C18/C$237</f>
        <v>23.826086956521738</v>
      </c>
      <c r="D114" s="119">
        <f t="shared" si="56"/>
        <v>21.64</v>
      </c>
      <c r="E114" s="119">
        <f t="shared" si="56"/>
        <v>19.875</v>
      </c>
      <c r="F114" s="119">
        <f t="shared" si="56"/>
        <v>19.423076923076923</v>
      </c>
      <c r="G114" s="119">
        <f t="shared" si="56"/>
        <v>17.2</v>
      </c>
      <c r="H114" s="119">
        <f t="shared" si="56"/>
        <v>18.777777777777779</v>
      </c>
      <c r="I114" s="119">
        <f t="shared" si="56"/>
        <v>19.074074074074073</v>
      </c>
      <c r="J114" s="119">
        <f t="shared" si="56"/>
        <v>18.916666666666668</v>
      </c>
      <c r="K114" s="119">
        <f t="shared" si="56"/>
        <v>21.962962962962962</v>
      </c>
      <c r="L114" s="196">
        <f t="shared" si="56"/>
        <v>21.962962962962962</v>
      </c>
      <c r="M114" s="196">
        <f t="shared" si="56"/>
        <v>21.962962962962962</v>
      </c>
      <c r="N114" s="119">
        <f>AVERAGEIF(B114:M114,"&gt;0")</f>
        <v>20.567823248276145</v>
      </c>
    </row>
    <row r="115" spans="1:14" x14ac:dyDescent="0.2">
      <c r="A115" s="118" t="s">
        <v>152</v>
      </c>
      <c r="B115" s="119">
        <f t="shared" ref="B115:M115" si="57">B19/B$237</f>
        <v>4.9230769230769234</v>
      </c>
      <c r="C115" s="119">
        <f t="shared" si="57"/>
        <v>4.0434782608695654</v>
      </c>
      <c r="D115" s="119">
        <f t="shared" si="57"/>
        <v>2.88</v>
      </c>
      <c r="E115" s="119">
        <f t="shared" si="57"/>
        <v>2.0416666666666665</v>
      </c>
      <c r="F115" s="119">
        <f t="shared" si="57"/>
        <v>1.5</v>
      </c>
      <c r="G115" s="119">
        <f t="shared" si="57"/>
        <v>2.2799999999999998</v>
      </c>
      <c r="H115" s="119">
        <f t="shared" si="57"/>
        <v>2.8518518518518516</v>
      </c>
      <c r="I115" s="119">
        <f t="shared" si="57"/>
        <v>2.8518518518518516</v>
      </c>
      <c r="J115" s="119">
        <f t="shared" si="57"/>
        <v>4.333333333333333</v>
      </c>
      <c r="K115" s="119">
        <f t="shared" si="57"/>
        <v>4.5925925925925926</v>
      </c>
      <c r="L115" s="196">
        <f t="shared" si="57"/>
        <v>4.5925925925925926</v>
      </c>
      <c r="M115" s="196">
        <f t="shared" si="57"/>
        <v>4.5925925925925926</v>
      </c>
      <c r="N115" s="119">
        <f t="shared" ref="N115:N125" si="58">AVERAGEIF(B115:M115,"&gt;0")</f>
        <v>3.456919722118998</v>
      </c>
    </row>
    <row r="116" spans="1:14" x14ac:dyDescent="0.2">
      <c r="A116" s="118" t="s">
        <v>161</v>
      </c>
      <c r="B116" s="119">
        <f t="shared" ref="B116:M116" si="59">B20/B$237</f>
        <v>33.615384615384613</v>
      </c>
      <c r="C116" s="119">
        <f t="shared" si="59"/>
        <v>38.304347826086953</v>
      </c>
      <c r="D116" s="119">
        <f t="shared" si="59"/>
        <v>36.840000000000003</v>
      </c>
      <c r="E116" s="119">
        <f t="shared" si="59"/>
        <v>37.833333333333336</v>
      </c>
      <c r="F116" s="119">
        <f t="shared" si="59"/>
        <v>37.769230769230766</v>
      </c>
      <c r="G116" s="119">
        <f t="shared" si="59"/>
        <v>38.04</v>
      </c>
      <c r="H116" s="119">
        <f t="shared" si="59"/>
        <v>40.148148148148145</v>
      </c>
      <c r="I116" s="119">
        <f t="shared" si="59"/>
        <v>40.407407407407405</v>
      </c>
      <c r="J116" s="119">
        <f t="shared" si="59"/>
        <v>32.416666666666664</v>
      </c>
      <c r="K116" s="119">
        <f t="shared" si="59"/>
        <v>34.370370370370374</v>
      </c>
      <c r="L116" s="196">
        <f t="shared" si="59"/>
        <v>34.370370370370374</v>
      </c>
      <c r="M116" s="196">
        <f t="shared" si="59"/>
        <v>34.370370370370374</v>
      </c>
      <c r="N116" s="119">
        <f t="shared" si="58"/>
        <v>36.540469156447422</v>
      </c>
    </row>
    <row r="117" spans="1:14" x14ac:dyDescent="0.2">
      <c r="A117" s="118" t="s">
        <v>101</v>
      </c>
      <c r="B117" s="119">
        <f t="shared" ref="B117:M117" si="60">B21/B$237</f>
        <v>4.7692307692307692</v>
      </c>
      <c r="C117" s="119">
        <f t="shared" si="60"/>
        <v>5.6956521739130439</v>
      </c>
      <c r="D117" s="119">
        <f t="shared" si="60"/>
        <v>7.28</v>
      </c>
      <c r="E117" s="119">
        <f t="shared" si="60"/>
        <v>5.666666666666667</v>
      </c>
      <c r="F117" s="119">
        <f t="shared" si="60"/>
        <v>3.6538461538461537</v>
      </c>
      <c r="G117" s="119">
        <f t="shared" si="60"/>
        <v>4.76</v>
      </c>
      <c r="H117" s="119">
        <f t="shared" si="60"/>
        <v>3.6296296296296298</v>
      </c>
      <c r="I117" s="119">
        <f t="shared" si="60"/>
        <v>4</v>
      </c>
      <c r="J117" s="119">
        <f t="shared" si="60"/>
        <v>3.3333333333333335</v>
      </c>
      <c r="K117" s="119">
        <f t="shared" si="60"/>
        <v>6.0370370370370372</v>
      </c>
      <c r="L117" s="196">
        <f t="shared" si="60"/>
        <v>6.0370370370370372</v>
      </c>
      <c r="M117" s="196">
        <f t="shared" si="60"/>
        <v>6.0370370370370372</v>
      </c>
      <c r="N117" s="119">
        <f t="shared" si="58"/>
        <v>5.0749558198108931</v>
      </c>
    </row>
    <row r="118" spans="1:14" x14ac:dyDescent="0.2">
      <c r="A118" s="118" t="s">
        <v>39</v>
      </c>
      <c r="B118" s="119">
        <f t="shared" ref="B118:M118" si="61">B22/B$237</f>
        <v>7.9230769230769234</v>
      </c>
      <c r="C118" s="119">
        <f t="shared" si="61"/>
        <v>8.4782608695652169</v>
      </c>
      <c r="D118" s="119">
        <f t="shared" si="61"/>
        <v>5.32</v>
      </c>
      <c r="E118" s="119">
        <f t="shared" si="61"/>
        <v>6.916666666666667</v>
      </c>
      <c r="F118" s="119">
        <f t="shared" si="61"/>
        <v>5.6923076923076925</v>
      </c>
      <c r="G118" s="119">
        <f t="shared" si="61"/>
        <v>7.44</v>
      </c>
      <c r="H118" s="119">
        <f t="shared" si="61"/>
        <v>7.6296296296296298</v>
      </c>
      <c r="I118" s="119">
        <f t="shared" si="61"/>
        <v>5.4814814814814818</v>
      </c>
      <c r="J118" s="119">
        <f t="shared" si="61"/>
        <v>6.625</v>
      </c>
      <c r="K118" s="119">
        <f t="shared" si="61"/>
        <v>5</v>
      </c>
      <c r="L118" s="196">
        <f t="shared" si="61"/>
        <v>5</v>
      </c>
      <c r="M118" s="196">
        <f t="shared" si="61"/>
        <v>5</v>
      </c>
      <c r="N118" s="119">
        <f t="shared" si="58"/>
        <v>6.3755352718939671</v>
      </c>
    </row>
    <row r="119" spans="1:14" x14ac:dyDescent="0.2">
      <c r="A119" s="118" t="s">
        <v>44</v>
      </c>
      <c r="B119" s="119">
        <f t="shared" ref="B119:M119" si="62">B23/B$237</f>
        <v>1.1923076923076923</v>
      </c>
      <c r="C119" s="119">
        <f t="shared" si="62"/>
        <v>0.60869565217391308</v>
      </c>
      <c r="D119" s="119">
        <f t="shared" si="62"/>
        <v>0.72</v>
      </c>
      <c r="E119" s="119">
        <f t="shared" si="62"/>
        <v>1.7916666666666667</v>
      </c>
      <c r="F119" s="119">
        <f t="shared" si="62"/>
        <v>1.3846153846153846</v>
      </c>
      <c r="G119" s="119">
        <f t="shared" si="62"/>
        <v>1.1200000000000001</v>
      </c>
      <c r="H119" s="119">
        <f t="shared" si="62"/>
        <v>1.3333333333333333</v>
      </c>
      <c r="I119" s="119">
        <f t="shared" si="62"/>
        <v>1.1111111111111112</v>
      </c>
      <c r="J119" s="119">
        <f t="shared" si="62"/>
        <v>0.66666666666666663</v>
      </c>
      <c r="K119" s="119">
        <f t="shared" si="62"/>
        <v>1.2592592592592593</v>
      </c>
      <c r="L119" s="196">
        <f t="shared" si="62"/>
        <v>1.2592592592592593</v>
      </c>
      <c r="M119" s="196">
        <f t="shared" si="62"/>
        <v>1.2592592592592593</v>
      </c>
      <c r="N119" s="119">
        <f t="shared" si="58"/>
        <v>1.1421811903877122</v>
      </c>
    </row>
    <row r="120" spans="1:14" x14ac:dyDescent="0.2">
      <c r="A120" s="118" t="s">
        <v>45</v>
      </c>
      <c r="B120" s="119">
        <f t="shared" ref="B120:M120" si="63">B24/B$237</f>
        <v>0</v>
      </c>
      <c r="C120" s="119">
        <f t="shared" si="63"/>
        <v>1.173913043478261</v>
      </c>
      <c r="D120" s="119">
        <f t="shared" si="63"/>
        <v>0.48</v>
      </c>
      <c r="E120" s="119">
        <f t="shared" si="63"/>
        <v>0.29166666666666669</v>
      </c>
      <c r="F120" s="119">
        <f t="shared" si="63"/>
        <v>0.88461538461538458</v>
      </c>
      <c r="G120" s="119">
        <f t="shared" si="63"/>
        <v>0.2</v>
      </c>
      <c r="H120" s="119">
        <f t="shared" si="63"/>
        <v>0</v>
      </c>
      <c r="I120" s="119">
        <f t="shared" si="63"/>
        <v>0.22222222222222221</v>
      </c>
      <c r="J120" s="119">
        <f t="shared" si="63"/>
        <v>0.5</v>
      </c>
      <c r="K120" s="119">
        <f t="shared" si="63"/>
        <v>0.62962962962962965</v>
      </c>
      <c r="L120" s="196">
        <f t="shared" si="63"/>
        <v>0.62962962962962965</v>
      </c>
      <c r="M120" s="196">
        <f t="shared" si="63"/>
        <v>0.62962962962962965</v>
      </c>
      <c r="N120" s="119">
        <f t="shared" si="58"/>
        <v>0.56413062058714236</v>
      </c>
    </row>
    <row r="121" spans="1:14" x14ac:dyDescent="0.2">
      <c r="A121" s="118" t="s">
        <v>154</v>
      </c>
      <c r="B121" s="119">
        <f t="shared" ref="B121:M121" si="64">B25/B$237</f>
        <v>0.15384615384615385</v>
      </c>
      <c r="C121" s="119">
        <f t="shared" si="64"/>
        <v>0.34782608695652173</v>
      </c>
      <c r="D121" s="119">
        <f t="shared" si="64"/>
        <v>0.28000000000000003</v>
      </c>
      <c r="E121" s="119">
        <f t="shared" si="64"/>
        <v>0</v>
      </c>
      <c r="F121" s="119">
        <f t="shared" si="64"/>
        <v>0.26923076923076922</v>
      </c>
      <c r="G121" s="119">
        <f t="shared" si="64"/>
        <v>0</v>
      </c>
      <c r="H121" s="119">
        <f t="shared" si="64"/>
        <v>0</v>
      </c>
      <c r="I121" s="119">
        <f t="shared" si="64"/>
        <v>3.7037037037037035E-2</v>
      </c>
      <c r="J121" s="119">
        <f t="shared" si="64"/>
        <v>0</v>
      </c>
      <c r="K121" s="119">
        <f t="shared" si="64"/>
        <v>0.14814814814814814</v>
      </c>
      <c r="L121" s="196">
        <f t="shared" si="64"/>
        <v>0.14814814814814817</v>
      </c>
      <c r="M121" s="196">
        <f t="shared" si="64"/>
        <v>0.14814814814814817</v>
      </c>
      <c r="N121" s="119">
        <f t="shared" si="58"/>
        <v>0.19154806143936579</v>
      </c>
    </row>
    <row r="122" spans="1:14" x14ac:dyDescent="0.2">
      <c r="A122" s="118" t="s">
        <v>41</v>
      </c>
      <c r="B122" s="119">
        <f t="shared" ref="B122:M122" si="65">B26/B$237</f>
        <v>10.26923076923077</v>
      </c>
      <c r="C122" s="119">
        <f t="shared" si="65"/>
        <v>12.130434782608695</v>
      </c>
      <c r="D122" s="119">
        <f t="shared" si="65"/>
        <v>9.76</v>
      </c>
      <c r="E122" s="119">
        <f t="shared" si="65"/>
        <v>12.666666666666666</v>
      </c>
      <c r="F122" s="119">
        <f t="shared" si="65"/>
        <v>10.73076923076923</v>
      </c>
      <c r="G122" s="119">
        <f t="shared" si="65"/>
        <v>15</v>
      </c>
      <c r="H122" s="119">
        <f t="shared" si="65"/>
        <v>9.5925925925925934</v>
      </c>
      <c r="I122" s="119">
        <f t="shared" si="65"/>
        <v>10.037037037037036</v>
      </c>
      <c r="J122" s="119">
        <f t="shared" si="65"/>
        <v>9.5416666666666661</v>
      </c>
      <c r="K122" s="119">
        <f t="shared" si="65"/>
        <v>8.8148148148148149</v>
      </c>
      <c r="L122" s="196">
        <f t="shared" si="65"/>
        <v>8.8148148148148149</v>
      </c>
      <c r="M122" s="196">
        <f t="shared" si="65"/>
        <v>8.8148148148148149</v>
      </c>
      <c r="N122" s="119">
        <f t="shared" si="58"/>
        <v>10.514403515834674</v>
      </c>
    </row>
    <row r="123" spans="1:14" x14ac:dyDescent="0.2">
      <c r="A123" s="118" t="s">
        <v>102</v>
      </c>
      <c r="B123" s="119">
        <f t="shared" ref="B123:M123" si="66">B27/B$237</f>
        <v>17.46153846153846</v>
      </c>
      <c r="C123" s="119">
        <f t="shared" si="66"/>
        <v>18.826086956521738</v>
      </c>
      <c r="D123" s="119">
        <f t="shared" si="66"/>
        <v>17.68</v>
      </c>
      <c r="E123" s="119">
        <f t="shared" si="66"/>
        <v>21.125</v>
      </c>
      <c r="F123" s="119">
        <f t="shared" si="66"/>
        <v>20.423076923076923</v>
      </c>
      <c r="G123" s="119">
        <f t="shared" si="66"/>
        <v>22.56</v>
      </c>
      <c r="H123" s="119">
        <f t="shared" si="66"/>
        <v>23.111111111111111</v>
      </c>
      <c r="I123" s="119">
        <f t="shared" si="66"/>
        <v>21.777777777777779</v>
      </c>
      <c r="J123" s="119">
        <f t="shared" si="66"/>
        <v>29.708333333333332</v>
      </c>
      <c r="K123" s="119">
        <f t="shared" si="66"/>
        <v>34.74074074074074</v>
      </c>
      <c r="L123" s="196">
        <f t="shared" si="66"/>
        <v>34.74074074074074</v>
      </c>
      <c r="M123" s="196">
        <f t="shared" si="66"/>
        <v>34.74074074074074</v>
      </c>
      <c r="N123" s="119">
        <f t="shared" si="58"/>
        <v>24.741262232131799</v>
      </c>
    </row>
    <row r="124" spans="1:14" x14ac:dyDescent="0.2">
      <c r="A124" s="118" t="s">
        <v>153</v>
      </c>
      <c r="B124" s="119">
        <f t="shared" ref="B124:M124" si="67">B28/B$237</f>
        <v>2.1153846153846154</v>
      </c>
      <c r="C124" s="119">
        <f t="shared" si="67"/>
        <v>2.6086956521739131</v>
      </c>
      <c r="D124" s="119">
        <f t="shared" si="67"/>
        <v>0.84</v>
      </c>
      <c r="E124" s="119">
        <f t="shared" si="67"/>
        <v>2.5</v>
      </c>
      <c r="F124" s="119">
        <f t="shared" si="67"/>
        <v>0.96153846153846156</v>
      </c>
      <c r="G124" s="119">
        <f t="shared" si="67"/>
        <v>1.1200000000000001</v>
      </c>
      <c r="H124" s="119">
        <f t="shared" si="67"/>
        <v>1.5555555555555556</v>
      </c>
      <c r="I124" s="119">
        <f t="shared" si="67"/>
        <v>1.3703703703703705</v>
      </c>
      <c r="J124" s="119">
        <f t="shared" si="67"/>
        <v>1.5833333333333333</v>
      </c>
      <c r="K124" s="119">
        <f t="shared" si="67"/>
        <v>2.5925925925925926</v>
      </c>
      <c r="L124" s="196">
        <f t="shared" si="67"/>
        <v>2.592592592592593</v>
      </c>
      <c r="M124" s="196">
        <f t="shared" si="67"/>
        <v>2.592592592592593</v>
      </c>
      <c r="N124" s="119">
        <f t="shared" si="58"/>
        <v>1.8693879805111688</v>
      </c>
    </row>
    <row r="125" spans="1:14" x14ac:dyDescent="0.2">
      <c r="A125" s="118" t="s">
        <v>37</v>
      </c>
      <c r="B125" s="119">
        <f t="shared" ref="B125:M125" si="68">B29/B$237</f>
        <v>11.038461538461538</v>
      </c>
      <c r="C125" s="119">
        <f t="shared" si="68"/>
        <v>12.782608695652174</v>
      </c>
      <c r="D125" s="119">
        <f t="shared" si="68"/>
        <v>10.8</v>
      </c>
      <c r="E125" s="119">
        <f t="shared" si="68"/>
        <v>16.291666666666668</v>
      </c>
      <c r="F125" s="119">
        <f t="shared" si="68"/>
        <v>13.076923076923077</v>
      </c>
      <c r="G125" s="119">
        <f t="shared" si="68"/>
        <v>12.64</v>
      </c>
      <c r="H125" s="119">
        <f t="shared" si="68"/>
        <v>11.851851851851851</v>
      </c>
      <c r="I125" s="119">
        <f t="shared" si="68"/>
        <v>11.222222222222221</v>
      </c>
      <c r="J125" s="119">
        <f t="shared" si="68"/>
        <v>11.833333333333334</v>
      </c>
      <c r="K125" s="119">
        <f t="shared" si="68"/>
        <v>10.62962962962963</v>
      </c>
      <c r="L125" s="196">
        <f t="shared" si="68"/>
        <v>10.629629629629628</v>
      </c>
      <c r="M125" s="196">
        <f t="shared" si="68"/>
        <v>10.629629629629628</v>
      </c>
      <c r="N125" s="119">
        <f t="shared" si="58"/>
        <v>11.952163022833311</v>
      </c>
    </row>
    <row r="126" spans="1:14" x14ac:dyDescent="0.2">
      <c r="A126" s="120" t="s">
        <v>36</v>
      </c>
      <c r="B126" s="121">
        <f t="shared" ref="B126:N126" si="69">IF(B45=0,0,B30/B45)</f>
        <v>2.2612763013430792E-2</v>
      </c>
      <c r="C126" s="121">
        <f t="shared" si="69"/>
        <v>3.2691925767372065E-2</v>
      </c>
      <c r="D126" s="121">
        <f t="shared" si="69"/>
        <v>3.58542785938811E-2</v>
      </c>
      <c r="E126" s="121">
        <f t="shared" si="69"/>
        <v>2.8199766852321298E-2</v>
      </c>
      <c r="F126" s="121">
        <f t="shared" si="69"/>
        <v>2.6027705238399944E-2</v>
      </c>
      <c r="G126" s="121">
        <f t="shared" si="69"/>
        <v>3.0124278652039468E-2</v>
      </c>
      <c r="H126" s="121">
        <f t="shared" si="69"/>
        <v>3.054517455726868E-2</v>
      </c>
      <c r="I126" s="121">
        <f t="shared" si="69"/>
        <v>3.0561758817187739E-2</v>
      </c>
      <c r="J126" s="121">
        <f t="shared" si="69"/>
        <v>3.1171175089153694E-2</v>
      </c>
      <c r="K126" s="121">
        <f t="shared" si="69"/>
        <v>3.6321181698485847E-2</v>
      </c>
      <c r="L126" s="121">
        <f t="shared" si="69"/>
        <v>3.6321181698485853E-2</v>
      </c>
      <c r="M126" s="121">
        <f t="shared" si="69"/>
        <v>3.6321181698485853E-2</v>
      </c>
      <c r="N126" s="121">
        <f t="shared" si="69"/>
        <v>3.0848280537674758E-2</v>
      </c>
    </row>
    <row r="128" spans="1:14" x14ac:dyDescent="0.2">
      <c r="A128" s="124" t="s">
        <v>119</v>
      </c>
      <c r="B128" s="117" t="s">
        <v>5</v>
      </c>
      <c r="C128" s="117" t="s">
        <v>6</v>
      </c>
      <c r="D128" s="117" t="s">
        <v>7</v>
      </c>
      <c r="E128" s="117" t="s">
        <v>8</v>
      </c>
      <c r="F128" s="117" t="s">
        <v>9</v>
      </c>
      <c r="G128" s="117" t="s">
        <v>10</v>
      </c>
      <c r="H128" s="117" t="s">
        <v>11</v>
      </c>
      <c r="I128" s="117" t="s">
        <v>12</v>
      </c>
      <c r="J128" s="117" t="s">
        <v>13</v>
      </c>
      <c r="K128" s="117" t="s">
        <v>14</v>
      </c>
      <c r="L128" s="117" t="s">
        <v>15</v>
      </c>
      <c r="M128" s="117" t="s">
        <v>16</v>
      </c>
      <c r="N128" s="117" t="s">
        <v>36</v>
      </c>
    </row>
    <row r="129" spans="1:15" x14ac:dyDescent="0.2">
      <c r="A129" s="179" t="s">
        <v>100</v>
      </c>
      <c r="B129" s="119">
        <f>IF(B18=0,0,B51/B18)</f>
        <v>30.539636048526866</v>
      </c>
      <c r="C129" s="119">
        <f t="shared" ref="C129:M129" si="70">IF(C18=0,0,C51/C18)</f>
        <v>30.109416058394167</v>
      </c>
      <c r="D129" s="119">
        <f t="shared" si="70"/>
        <v>31.706950092421462</v>
      </c>
      <c r="E129" s="119">
        <f t="shared" si="70"/>
        <v>32.941823899371066</v>
      </c>
      <c r="F129" s="119">
        <f t="shared" si="70"/>
        <v>33.060217821782153</v>
      </c>
      <c r="G129" s="119">
        <f t="shared" si="70"/>
        <v>32.8853953488372</v>
      </c>
      <c r="H129" s="119">
        <f t="shared" si="70"/>
        <v>34.728994082840217</v>
      </c>
      <c r="I129" s="119">
        <f t="shared" si="70"/>
        <v>35.127475728155353</v>
      </c>
      <c r="J129" s="119">
        <f t="shared" si="70"/>
        <v>36.167356828193846</v>
      </c>
      <c r="K129" s="119">
        <f t="shared" si="70"/>
        <v>37.14949409780769</v>
      </c>
      <c r="L129" s="196">
        <f t="shared" si="70"/>
        <v>37.14949409780769</v>
      </c>
      <c r="M129" s="196">
        <f t="shared" si="70"/>
        <v>37.14949409780769</v>
      </c>
      <c r="N129" s="119">
        <f>N51/N18</f>
        <v>34.047461073981815</v>
      </c>
    </row>
    <row r="130" spans="1:15" x14ac:dyDescent="0.2">
      <c r="A130" s="118" t="s">
        <v>152</v>
      </c>
      <c r="B130" s="119">
        <f t="shared" ref="B130:M130" si="71">IF(B19=0,0,B52/B19)</f>
        <v>30.562734374999998</v>
      </c>
      <c r="C130" s="119">
        <f t="shared" si="71"/>
        <v>28.884946236559138</v>
      </c>
      <c r="D130" s="119">
        <f t="shared" si="71"/>
        <v>29.578749999999999</v>
      </c>
      <c r="E130" s="119">
        <f t="shared" si="71"/>
        <v>31.281836734693883</v>
      </c>
      <c r="F130" s="119">
        <f t="shared" si="71"/>
        <v>32.156410256410254</v>
      </c>
      <c r="G130" s="119">
        <f t="shared" si="71"/>
        <v>32.238596491228073</v>
      </c>
      <c r="H130" s="119">
        <f t="shared" si="71"/>
        <v>30.971688311688318</v>
      </c>
      <c r="I130" s="119">
        <f t="shared" si="71"/>
        <v>31.592207792207791</v>
      </c>
      <c r="J130" s="119">
        <f t="shared" si="71"/>
        <v>30.181153846153844</v>
      </c>
      <c r="K130" s="119">
        <f t="shared" si="71"/>
        <v>29.897177419354836</v>
      </c>
      <c r="L130" s="196">
        <f t="shared" si="71"/>
        <v>29.89717741935484</v>
      </c>
      <c r="M130" s="196">
        <f t="shared" si="71"/>
        <v>29.89717741935484</v>
      </c>
      <c r="N130" s="119">
        <f t="shared" ref="N130:N141" si="72">N52/N19</f>
        <v>30.378062793677916</v>
      </c>
    </row>
    <row r="131" spans="1:15" x14ac:dyDescent="0.2">
      <c r="A131" s="118" t="s">
        <v>161</v>
      </c>
      <c r="B131" s="119">
        <f t="shared" ref="B131:M131" si="73">IF(B20=0,0,B53/B20)</f>
        <v>27.515183066361566</v>
      </c>
      <c r="C131" s="119">
        <f t="shared" si="73"/>
        <v>26.246719636776408</v>
      </c>
      <c r="D131" s="119">
        <f t="shared" si="73"/>
        <v>30.784809989142211</v>
      </c>
      <c r="E131" s="119">
        <f t="shared" si="73"/>
        <v>29.71213656387668</v>
      </c>
      <c r="F131" s="119">
        <f t="shared" si="73"/>
        <v>26.408584521384903</v>
      </c>
      <c r="G131" s="119">
        <f t="shared" si="73"/>
        <v>26.39425446897998</v>
      </c>
      <c r="H131" s="119">
        <f t="shared" si="73"/>
        <v>25.783653136531335</v>
      </c>
      <c r="I131" s="119">
        <f t="shared" si="73"/>
        <v>25.867956920256603</v>
      </c>
      <c r="J131" s="119">
        <f t="shared" si="73"/>
        <v>23.352637532133681</v>
      </c>
      <c r="K131" s="119">
        <f t="shared" si="73"/>
        <v>25.286099137931039</v>
      </c>
      <c r="L131" s="196">
        <f t="shared" si="73"/>
        <v>25.286099137931039</v>
      </c>
      <c r="M131" s="196">
        <f t="shared" si="73"/>
        <v>25.286099137931039</v>
      </c>
      <c r="N131" s="119">
        <f t="shared" si="72"/>
        <v>26.526505994166747</v>
      </c>
    </row>
    <row r="132" spans="1:15" x14ac:dyDescent="0.2">
      <c r="A132" s="118" t="s">
        <v>101</v>
      </c>
      <c r="B132" s="119">
        <f t="shared" ref="B132:M132" si="74">IF(B21=0,0,B54/B21)</f>
        <v>34.696048387096759</v>
      </c>
      <c r="C132" s="119">
        <f t="shared" si="74"/>
        <v>36.552564885496196</v>
      </c>
      <c r="D132" s="119">
        <f t="shared" si="74"/>
        <v>38.08461538461539</v>
      </c>
      <c r="E132" s="119">
        <f t="shared" si="74"/>
        <v>35.727352941176477</v>
      </c>
      <c r="F132" s="119">
        <f t="shared" si="74"/>
        <v>35.807831578947358</v>
      </c>
      <c r="G132" s="119">
        <f t="shared" si="74"/>
        <v>34.823865546218478</v>
      </c>
      <c r="H132" s="119">
        <f t="shared" si="74"/>
        <v>38.381428571428572</v>
      </c>
      <c r="I132" s="119">
        <f t="shared" si="74"/>
        <v>37.478240740740738</v>
      </c>
      <c r="J132" s="119">
        <f t="shared" si="74"/>
        <v>38.145250000000004</v>
      </c>
      <c r="K132" s="119">
        <f t="shared" si="74"/>
        <v>39.272147239263809</v>
      </c>
      <c r="L132" s="196">
        <f t="shared" si="74"/>
        <v>39.272147239263809</v>
      </c>
      <c r="M132" s="196">
        <f t="shared" si="74"/>
        <v>39.272147239263809</v>
      </c>
      <c r="N132" s="119">
        <f t="shared" si="72"/>
        <v>37.403222400233041</v>
      </c>
    </row>
    <row r="133" spans="1:15" x14ac:dyDescent="0.2">
      <c r="A133" s="118" t="s">
        <v>39</v>
      </c>
      <c r="B133" s="119">
        <f t="shared" ref="B133:M133" si="75">IF(B22=0,0,B55/B22)</f>
        <v>24.246053398058262</v>
      </c>
      <c r="C133" s="119">
        <f t="shared" si="75"/>
        <v>23.82158974358974</v>
      </c>
      <c r="D133" s="119">
        <f t="shared" si="75"/>
        <v>24.054458646616535</v>
      </c>
      <c r="E133" s="119">
        <f t="shared" si="75"/>
        <v>24.360765060240958</v>
      </c>
      <c r="F133" s="119">
        <f t="shared" si="75"/>
        <v>23.917337837837852</v>
      </c>
      <c r="G133" s="119">
        <f t="shared" si="75"/>
        <v>23.888618279569901</v>
      </c>
      <c r="H133" s="119">
        <f t="shared" si="75"/>
        <v>25.229728155339821</v>
      </c>
      <c r="I133" s="119">
        <f t="shared" si="75"/>
        <v>24.960141891891887</v>
      </c>
      <c r="J133" s="119">
        <f t="shared" si="75"/>
        <v>28.074930817610056</v>
      </c>
      <c r="K133" s="119">
        <f t="shared" si="75"/>
        <v>30.152407407407409</v>
      </c>
      <c r="L133" s="196">
        <f t="shared" si="75"/>
        <v>30.152407407407409</v>
      </c>
      <c r="M133" s="196">
        <f t="shared" si="75"/>
        <v>30.152407407407409</v>
      </c>
      <c r="N133" s="119">
        <f t="shared" si="72"/>
        <v>25.769286044629439</v>
      </c>
    </row>
    <row r="134" spans="1:15" x14ac:dyDescent="0.2">
      <c r="A134" s="218" t="s">
        <v>44</v>
      </c>
      <c r="B134" s="215">
        <f t="shared" ref="B134:M134" si="76">IF(B23=0,0,B56/B23)</f>
        <v>25.763064516129038</v>
      </c>
      <c r="C134" s="215">
        <f t="shared" si="76"/>
        <v>26.689285714285717</v>
      </c>
      <c r="D134" s="215">
        <f t="shared" si="76"/>
        <v>28.565000000000005</v>
      </c>
      <c r="E134" s="215">
        <f t="shared" si="76"/>
        <v>28.686395348837213</v>
      </c>
      <c r="F134" s="215">
        <f t="shared" si="76"/>
        <v>28.114444444444448</v>
      </c>
      <c r="G134" s="215">
        <f t="shared" si="76"/>
        <v>27.563392857142865</v>
      </c>
      <c r="H134" s="215">
        <f t="shared" si="76"/>
        <v>27.438194444444445</v>
      </c>
      <c r="I134" s="215">
        <f t="shared" si="76"/>
        <v>27.712699999999995</v>
      </c>
      <c r="J134" s="215">
        <f t="shared" si="76"/>
        <v>25.768750000000001</v>
      </c>
      <c r="K134" s="215">
        <f t="shared" si="76"/>
        <v>27.811470588235284</v>
      </c>
      <c r="L134" s="215">
        <f t="shared" si="76"/>
        <v>27.811470588235284</v>
      </c>
      <c r="M134" s="215">
        <f t="shared" si="76"/>
        <v>27.811470588235284</v>
      </c>
      <c r="N134" s="215">
        <f t="shared" si="72"/>
        <v>27.600326812059006</v>
      </c>
      <c r="O134" s="219"/>
    </row>
    <row r="135" spans="1:15" x14ac:dyDescent="0.2">
      <c r="A135" s="218" t="s">
        <v>45</v>
      </c>
      <c r="B135" s="215">
        <f t="shared" ref="B135:M135" si="77">IF(B24=0,0,B57/B24)</f>
        <v>0</v>
      </c>
      <c r="C135" s="215">
        <f t="shared" si="77"/>
        <v>26.505629629629624</v>
      </c>
      <c r="D135" s="215">
        <f t="shared" si="77"/>
        <v>26.045000000000002</v>
      </c>
      <c r="E135" s="215">
        <f t="shared" si="77"/>
        <v>23.42642857142857</v>
      </c>
      <c r="F135" s="215">
        <f t="shared" si="77"/>
        <v>26.351956521739133</v>
      </c>
      <c r="G135" s="215">
        <f t="shared" si="77"/>
        <v>29.170000000000005</v>
      </c>
      <c r="H135" s="215">
        <f t="shared" si="77"/>
        <v>0</v>
      </c>
      <c r="I135" s="215">
        <f t="shared" si="77"/>
        <v>27.83583333333333</v>
      </c>
      <c r="J135" s="215">
        <f t="shared" si="77"/>
        <v>28.858750000000001</v>
      </c>
      <c r="K135" s="215">
        <f t="shared" si="77"/>
        <v>29.03705882352941</v>
      </c>
      <c r="L135" s="215">
        <f t="shared" si="77"/>
        <v>29.03705882352941</v>
      </c>
      <c r="M135" s="215">
        <f t="shared" si="77"/>
        <v>29.03705882352941</v>
      </c>
      <c r="N135" s="215">
        <f t="shared" si="72"/>
        <v>27.500181963288103</v>
      </c>
    </row>
    <row r="136" spans="1:15" x14ac:dyDescent="0.2">
      <c r="A136" s="218" t="s">
        <v>154</v>
      </c>
      <c r="B136" s="215">
        <f t="shared" ref="B136:M136" si="78">IF(B25=0,0,B58/B25)</f>
        <v>37.49</v>
      </c>
      <c r="C136" s="215">
        <f t="shared" si="78"/>
        <v>24.021250000000002</v>
      </c>
      <c r="D136" s="215">
        <f t="shared" si="78"/>
        <v>23.771428571428572</v>
      </c>
      <c r="E136" s="215">
        <f t="shared" si="78"/>
        <v>0</v>
      </c>
      <c r="F136" s="215">
        <f t="shared" si="78"/>
        <v>24.835714285714285</v>
      </c>
      <c r="G136" s="215">
        <f t="shared" si="78"/>
        <v>0</v>
      </c>
      <c r="H136" s="215">
        <f t="shared" si="78"/>
        <v>0</v>
      </c>
      <c r="I136" s="215">
        <f t="shared" si="78"/>
        <v>31.17</v>
      </c>
      <c r="J136" s="215">
        <f t="shared" si="78"/>
        <v>0</v>
      </c>
      <c r="K136" s="215">
        <f t="shared" si="78"/>
        <v>29.306249999999999</v>
      </c>
      <c r="L136" s="215">
        <f t="shared" si="78"/>
        <v>29.306249999999999</v>
      </c>
      <c r="M136" s="215">
        <f t="shared" si="78"/>
        <v>29.306249999999999</v>
      </c>
      <c r="N136" s="215">
        <f t="shared" si="72"/>
        <v>27.266982507288628</v>
      </c>
    </row>
    <row r="137" spans="1:15" x14ac:dyDescent="0.2">
      <c r="A137" s="218" t="s">
        <v>41</v>
      </c>
      <c r="B137" s="215">
        <f t="shared" ref="B137:M137" si="79">IF(B26=0,0,B59/B26)</f>
        <v>25.221235955056191</v>
      </c>
      <c r="C137" s="215">
        <f t="shared" si="79"/>
        <v>25.934480286738367</v>
      </c>
      <c r="D137" s="215">
        <f t="shared" si="79"/>
        <v>25.894590163934438</v>
      </c>
      <c r="E137" s="215">
        <f t="shared" si="79"/>
        <v>26.97450657894737</v>
      </c>
      <c r="F137" s="215">
        <f t="shared" si="79"/>
        <v>27.586774193548386</v>
      </c>
      <c r="G137" s="215">
        <f t="shared" si="79"/>
        <v>27.247413333333306</v>
      </c>
      <c r="H137" s="215">
        <f t="shared" si="79"/>
        <v>27.396409266409279</v>
      </c>
      <c r="I137" s="215">
        <f t="shared" si="79"/>
        <v>28.567343173431734</v>
      </c>
      <c r="J137" s="215">
        <f t="shared" si="79"/>
        <v>26.909475982532751</v>
      </c>
      <c r="K137" s="215">
        <f t="shared" si="79"/>
        <v>27.350924369747915</v>
      </c>
      <c r="L137" s="215">
        <f t="shared" si="79"/>
        <v>27.350924369747915</v>
      </c>
      <c r="M137" s="215">
        <f t="shared" si="79"/>
        <v>27.350924369747915</v>
      </c>
      <c r="N137" s="215">
        <f t="shared" si="72"/>
        <v>26.982797320520472</v>
      </c>
    </row>
    <row r="138" spans="1:15" x14ac:dyDescent="0.2">
      <c r="A138" s="218" t="s">
        <v>102</v>
      </c>
      <c r="B138" s="215">
        <f t="shared" ref="B138:M138" si="80">IF(B27=0,0,B60/B27)</f>
        <v>30.811839207048436</v>
      </c>
      <c r="C138" s="215">
        <f t="shared" si="80"/>
        <v>32.146166281755214</v>
      </c>
      <c r="D138" s="215">
        <f t="shared" si="80"/>
        <v>32.415316742081473</v>
      </c>
      <c r="E138" s="215">
        <f t="shared" si="80"/>
        <v>33.294181459566062</v>
      </c>
      <c r="F138" s="215">
        <f t="shared" si="80"/>
        <v>34.363333333333344</v>
      </c>
      <c r="G138" s="215">
        <f t="shared" si="80"/>
        <v>33.949831560283677</v>
      </c>
      <c r="H138" s="215">
        <f t="shared" si="80"/>
        <v>34.415192307692351</v>
      </c>
      <c r="I138" s="215">
        <f t="shared" si="80"/>
        <v>33.945476190476178</v>
      </c>
      <c r="J138" s="215">
        <f t="shared" si="80"/>
        <v>31.618148667601695</v>
      </c>
      <c r="K138" s="215">
        <f t="shared" si="80"/>
        <v>31.968784648187661</v>
      </c>
      <c r="L138" s="215">
        <f t="shared" si="80"/>
        <v>31.968784648187661</v>
      </c>
      <c r="M138" s="215">
        <f t="shared" si="80"/>
        <v>31.968784648187661</v>
      </c>
      <c r="N138" s="215">
        <f t="shared" si="72"/>
        <v>32.672198528754819</v>
      </c>
    </row>
    <row r="139" spans="1:15" x14ac:dyDescent="0.2">
      <c r="A139" s="218" t="s">
        <v>153</v>
      </c>
      <c r="B139" s="215">
        <f t="shared" ref="B139:M139" si="81">IF(B28=0,0,B61/B28)</f>
        <v>28.593090909090904</v>
      </c>
      <c r="C139" s="215">
        <f t="shared" si="81"/>
        <v>24.681833333333326</v>
      </c>
      <c r="D139" s="215">
        <f t="shared" si="81"/>
        <v>25.200952380952383</v>
      </c>
      <c r="E139" s="215">
        <f t="shared" si="81"/>
        <v>25.038999999999994</v>
      </c>
      <c r="F139" s="215">
        <f t="shared" si="81"/>
        <v>24.909600000000005</v>
      </c>
      <c r="G139" s="215">
        <f t="shared" si="81"/>
        <v>24.85464285714286</v>
      </c>
      <c r="H139" s="215">
        <f t="shared" si="81"/>
        <v>25.235714285714288</v>
      </c>
      <c r="I139" s="215">
        <f t="shared" si="81"/>
        <v>25.555405405405402</v>
      </c>
      <c r="J139" s="215">
        <f t="shared" si="81"/>
        <v>26.043157894736847</v>
      </c>
      <c r="K139" s="215">
        <f t="shared" si="81"/>
        <v>24.998999999999999</v>
      </c>
      <c r="L139" s="215">
        <f t="shared" si="81"/>
        <v>24.998999999999999</v>
      </c>
      <c r="M139" s="215">
        <f t="shared" si="81"/>
        <v>24.998999999999999</v>
      </c>
      <c r="N139" s="215">
        <f t="shared" si="72"/>
        <v>25.443675654242661</v>
      </c>
    </row>
    <row r="140" spans="1:15" x14ac:dyDescent="0.2">
      <c r="A140" s="118" t="s">
        <v>37</v>
      </c>
      <c r="B140" s="119">
        <f t="shared" ref="B140:M140" si="82">IF(B29=0,0,B62/B29)</f>
        <v>31.23787456445995</v>
      </c>
      <c r="C140" s="119">
        <f t="shared" si="82"/>
        <v>31.875829931972785</v>
      </c>
      <c r="D140" s="119">
        <f t="shared" si="82"/>
        <v>29.570888888888923</v>
      </c>
      <c r="E140" s="119">
        <f t="shared" si="82"/>
        <v>29.899718670076734</v>
      </c>
      <c r="F140" s="119">
        <f t="shared" si="82"/>
        <v>30.34038235294118</v>
      </c>
      <c r="G140" s="119">
        <f t="shared" si="82"/>
        <v>29.392151898734184</v>
      </c>
      <c r="H140" s="119">
        <f t="shared" si="82"/>
        <v>29.873750000000012</v>
      </c>
      <c r="I140" s="119">
        <f t="shared" si="82"/>
        <v>29.405316831683173</v>
      </c>
      <c r="J140" s="119">
        <f t="shared" si="82"/>
        <v>29.724084507042285</v>
      </c>
      <c r="K140" s="119">
        <f t="shared" si="82"/>
        <v>31.960313588850177</v>
      </c>
      <c r="L140" s="196">
        <f t="shared" si="82"/>
        <v>31.960313588850177</v>
      </c>
      <c r="M140" s="196">
        <f t="shared" si="82"/>
        <v>31.960313588850177</v>
      </c>
      <c r="N140" s="119">
        <f t="shared" si="72"/>
        <v>30.538334515731044</v>
      </c>
    </row>
    <row r="141" spans="1:15" x14ac:dyDescent="0.2">
      <c r="A141" s="120" t="s">
        <v>36</v>
      </c>
      <c r="B141" s="121">
        <f t="shared" ref="B141:M141" si="83">IF(B30=0,0,B63/B30)</f>
        <v>28.961695044895244</v>
      </c>
      <c r="C141" s="121">
        <f t="shared" si="83"/>
        <v>28.697975700303761</v>
      </c>
      <c r="D141" s="121">
        <f t="shared" si="83"/>
        <v>30.708663290254986</v>
      </c>
      <c r="E141" s="121">
        <f t="shared" si="83"/>
        <v>30.445707677165363</v>
      </c>
      <c r="F141" s="121">
        <f t="shared" si="83"/>
        <v>29.733696013289027</v>
      </c>
      <c r="G141" s="121">
        <f t="shared" si="83"/>
        <v>29.399653154625678</v>
      </c>
      <c r="H141" s="121">
        <f t="shared" si="83"/>
        <v>29.842800184445125</v>
      </c>
      <c r="I141" s="121">
        <f t="shared" si="83"/>
        <v>29.944428031496052</v>
      </c>
      <c r="J141" s="121">
        <f t="shared" si="83"/>
        <v>29.347262295081975</v>
      </c>
      <c r="K141" s="121">
        <f t="shared" si="83"/>
        <v>30.770195412064567</v>
      </c>
      <c r="L141" s="121">
        <f t="shared" si="83"/>
        <v>30.77019541206457</v>
      </c>
      <c r="M141" s="121">
        <f t="shared" si="83"/>
        <v>30.77019541206457</v>
      </c>
      <c r="N141" s="121">
        <f t="shared" si="72"/>
        <v>29.966654156171298</v>
      </c>
    </row>
    <row r="144" spans="1:15" x14ac:dyDescent="0.2">
      <c r="A144" s="124" t="s">
        <v>120</v>
      </c>
      <c r="B144" s="117" t="s">
        <v>5</v>
      </c>
      <c r="C144" s="117" t="s">
        <v>6</v>
      </c>
      <c r="D144" s="117" t="s">
        <v>7</v>
      </c>
      <c r="E144" s="117" t="s">
        <v>8</v>
      </c>
      <c r="F144" s="117" t="s">
        <v>9</v>
      </c>
      <c r="G144" s="117" t="s">
        <v>10</v>
      </c>
      <c r="H144" s="117" t="s">
        <v>11</v>
      </c>
      <c r="I144" s="117" t="s">
        <v>12</v>
      </c>
      <c r="J144" s="117" t="s">
        <v>13</v>
      </c>
      <c r="K144" s="117" t="s">
        <v>14</v>
      </c>
      <c r="L144" s="117" t="s">
        <v>15</v>
      </c>
      <c r="M144" s="117" t="s">
        <v>16</v>
      </c>
      <c r="N144" s="117" t="s">
        <v>36</v>
      </c>
    </row>
    <row r="145" spans="1:14" x14ac:dyDescent="0.2">
      <c r="A145" s="179" t="s">
        <v>100</v>
      </c>
      <c r="B145" s="119">
        <f>IF(B18=0,0,B34/B18)</f>
        <v>472.65857885615253</v>
      </c>
      <c r="C145" s="119">
        <f t="shared" ref="C145:N145" si="84">IF(C18=0,0,C34/C18)</f>
        <v>435.58941605839414</v>
      </c>
      <c r="D145" s="119">
        <f t="shared" si="84"/>
        <v>455.84103512014786</v>
      </c>
      <c r="E145" s="119">
        <f t="shared" si="84"/>
        <v>491.37106918238993</v>
      </c>
      <c r="F145" s="119">
        <f t="shared" si="84"/>
        <v>406.53069306930695</v>
      </c>
      <c r="G145" s="119">
        <f t="shared" si="84"/>
        <v>431.35348837209301</v>
      </c>
      <c r="H145" s="119">
        <f t="shared" si="84"/>
        <v>441.2859960552268</v>
      </c>
      <c r="I145" s="119">
        <f t="shared" si="84"/>
        <v>472.06213592233007</v>
      </c>
      <c r="J145" s="119">
        <f t="shared" si="84"/>
        <v>446.78854625550662</v>
      </c>
      <c r="K145" s="119">
        <f t="shared" si="84"/>
        <v>480.11804384485669</v>
      </c>
      <c r="L145" s="196">
        <f t="shared" si="84"/>
        <v>480.11804384485669</v>
      </c>
      <c r="M145" s="196">
        <f t="shared" si="84"/>
        <v>480.11804384485669</v>
      </c>
      <c r="N145" s="119">
        <f t="shared" si="84"/>
        <v>458.57864937019582</v>
      </c>
    </row>
    <row r="146" spans="1:14" x14ac:dyDescent="0.2">
      <c r="A146" s="118" t="s">
        <v>152</v>
      </c>
      <c r="B146" s="119">
        <f t="shared" ref="B146:N146" si="85">IF(B19=0,0,B35/B19)</f>
        <v>223.8671875</v>
      </c>
      <c r="C146" s="119">
        <f t="shared" si="85"/>
        <v>142.93548387096774</v>
      </c>
      <c r="D146" s="119">
        <f t="shared" si="85"/>
        <v>90.138888888888886</v>
      </c>
      <c r="E146" s="119">
        <f t="shared" si="85"/>
        <v>82.857142857142861</v>
      </c>
      <c r="F146" s="119">
        <f t="shared" si="85"/>
        <v>107.64102564102564</v>
      </c>
      <c r="G146" s="119">
        <f t="shared" si="85"/>
        <v>125.29824561403508</v>
      </c>
      <c r="H146" s="119">
        <f t="shared" si="85"/>
        <v>192</v>
      </c>
      <c r="I146" s="119">
        <f t="shared" si="85"/>
        <v>241.79220779220779</v>
      </c>
      <c r="J146" s="119">
        <f t="shared" si="85"/>
        <v>291.03846153846155</v>
      </c>
      <c r="K146" s="119">
        <f t="shared" si="85"/>
        <v>299.04838709677421</v>
      </c>
      <c r="L146" s="196">
        <f t="shared" si="85"/>
        <v>299.04838709677421</v>
      </c>
      <c r="M146" s="196">
        <f t="shared" si="85"/>
        <v>299.04838709677421</v>
      </c>
      <c r="N146" s="119">
        <f t="shared" si="85"/>
        <v>221.55296881674502</v>
      </c>
    </row>
    <row r="147" spans="1:14" x14ac:dyDescent="0.2">
      <c r="A147" s="118" t="s">
        <v>161</v>
      </c>
      <c r="B147" s="119">
        <f t="shared" ref="B147:N147" si="86">IF(B20=0,0,B36/B20)</f>
        <v>347.09382151029746</v>
      </c>
      <c r="C147" s="119">
        <f t="shared" si="86"/>
        <v>381.8694665153235</v>
      </c>
      <c r="D147" s="119">
        <f t="shared" si="86"/>
        <v>473.3311617806732</v>
      </c>
      <c r="E147" s="119">
        <f t="shared" si="86"/>
        <v>418.92951541850221</v>
      </c>
      <c r="F147" s="119">
        <f t="shared" si="86"/>
        <v>323.91446028513241</v>
      </c>
      <c r="G147" s="119">
        <f t="shared" si="86"/>
        <v>304.80126182965301</v>
      </c>
      <c r="H147" s="119">
        <f t="shared" si="86"/>
        <v>239.86715867158671</v>
      </c>
      <c r="I147" s="119">
        <f t="shared" si="86"/>
        <v>205.55453712190652</v>
      </c>
      <c r="J147" s="119">
        <f t="shared" si="86"/>
        <v>258.32133676092548</v>
      </c>
      <c r="K147" s="119">
        <f t="shared" si="86"/>
        <v>296.04525862068965</v>
      </c>
      <c r="L147" s="196">
        <f t="shared" si="86"/>
        <v>296.04525862068965</v>
      </c>
      <c r="M147" s="196">
        <f t="shared" si="86"/>
        <v>296.04525862068965</v>
      </c>
      <c r="N147" s="119">
        <f t="shared" si="86"/>
        <v>317.93288745851356</v>
      </c>
    </row>
    <row r="148" spans="1:14" x14ac:dyDescent="0.2">
      <c r="A148" s="118" t="s">
        <v>101</v>
      </c>
      <c r="B148" s="119">
        <f t="shared" ref="B148:N148" si="87">IF(B21=0,0,B37/B21)</f>
        <v>472.17741935483872</v>
      </c>
      <c r="C148" s="119">
        <f t="shared" si="87"/>
        <v>524.24427480916029</v>
      </c>
      <c r="D148" s="119">
        <f t="shared" si="87"/>
        <v>520.84615384615381</v>
      </c>
      <c r="E148" s="119">
        <f t="shared" si="87"/>
        <v>522.98529411764707</v>
      </c>
      <c r="F148" s="119">
        <f t="shared" si="87"/>
        <v>532.33684210526314</v>
      </c>
      <c r="G148" s="119">
        <f t="shared" si="87"/>
        <v>485.46218487394958</v>
      </c>
      <c r="H148" s="119">
        <f t="shared" si="87"/>
        <v>443.12244897959181</v>
      </c>
      <c r="I148" s="119">
        <f t="shared" si="87"/>
        <v>356.46296296296299</v>
      </c>
      <c r="J148" s="119">
        <f t="shared" si="87"/>
        <v>407.95</v>
      </c>
      <c r="K148" s="119">
        <f t="shared" si="87"/>
        <v>539.03067484662574</v>
      </c>
      <c r="L148" s="196">
        <f t="shared" si="87"/>
        <v>539.03067484662574</v>
      </c>
      <c r="M148" s="196">
        <f t="shared" si="87"/>
        <v>539.03067484662574</v>
      </c>
      <c r="N148" s="119">
        <f t="shared" si="87"/>
        <v>498.17812408971736</v>
      </c>
    </row>
    <row r="149" spans="1:14" x14ac:dyDescent="0.2">
      <c r="A149" s="118" t="s">
        <v>39</v>
      </c>
      <c r="B149" s="119">
        <f t="shared" ref="B149:N149" si="88">IF(B22=0,0,B38/B22)</f>
        <v>282.55825242718447</v>
      </c>
      <c r="C149" s="119">
        <f t="shared" si="88"/>
        <v>292.77948717948721</v>
      </c>
      <c r="D149" s="119">
        <f t="shared" si="88"/>
        <v>225.23308270676691</v>
      </c>
      <c r="E149" s="119">
        <f t="shared" si="88"/>
        <v>275.39759036144579</v>
      </c>
      <c r="F149" s="119">
        <f t="shared" si="88"/>
        <v>220.97297297297297</v>
      </c>
      <c r="G149" s="119">
        <f t="shared" si="88"/>
        <v>264.3440860215054</v>
      </c>
      <c r="H149" s="119">
        <f t="shared" si="88"/>
        <v>266.38834951456312</v>
      </c>
      <c r="I149" s="119">
        <f t="shared" si="88"/>
        <v>284.2162162162162</v>
      </c>
      <c r="J149" s="119">
        <f t="shared" si="88"/>
        <v>276.25157232704402</v>
      </c>
      <c r="K149" s="119">
        <f t="shared" si="88"/>
        <v>281.09629629629632</v>
      </c>
      <c r="L149" s="196">
        <f t="shared" si="88"/>
        <v>281.09629629629632</v>
      </c>
      <c r="M149" s="196">
        <f t="shared" si="88"/>
        <v>281.09629629629632</v>
      </c>
      <c r="N149" s="119">
        <f t="shared" si="88"/>
        <v>270.09266967279456</v>
      </c>
    </row>
    <row r="150" spans="1:14" x14ac:dyDescent="0.2">
      <c r="A150" s="118" t="s">
        <v>44</v>
      </c>
      <c r="B150" s="119">
        <f t="shared" ref="B150:N150" si="89">IF(B23=0,0,B39/B23)</f>
        <v>110.93548387096774</v>
      </c>
      <c r="C150" s="119">
        <f t="shared" si="89"/>
        <v>95.285714285714292</v>
      </c>
      <c r="D150" s="119">
        <f t="shared" si="89"/>
        <v>80.111111111111114</v>
      </c>
      <c r="E150" s="119">
        <f t="shared" si="89"/>
        <v>102.23255813953489</v>
      </c>
      <c r="F150" s="119">
        <f t="shared" si="89"/>
        <v>91.555555555555557</v>
      </c>
      <c r="G150" s="119">
        <f t="shared" si="89"/>
        <v>131.92857142857142</v>
      </c>
      <c r="H150" s="119">
        <f t="shared" si="89"/>
        <v>174.38888888888889</v>
      </c>
      <c r="I150" s="119">
        <f t="shared" si="89"/>
        <v>173.6</v>
      </c>
      <c r="J150" s="119">
        <f t="shared" si="89"/>
        <v>203</v>
      </c>
      <c r="K150" s="119">
        <f t="shared" si="89"/>
        <v>143.05882352941177</v>
      </c>
      <c r="L150" s="196">
        <f t="shared" si="89"/>
        <v>143.05882352941177</v>
      </c>
      <c r="M150" s="196">
        <f t="shared" si="89"/>
        <v>143.05882352941177</v>
      </c>
      <c r="N150" s="119">
        <f t="shared" si="89"/>
        <v>132.33322642719691</v>
      </c>
    </row>
    <row r="151" spans="1:14" x14ac:dyDescent="0.2">
      <c r="A151" s="118" t="s">
        <v>45</v>
      </c>
      <c r="B151" s="119">
        <f t="shared" ref="B151:N151" si="90">IF(B24=0,0,B40/B24)</f>
        <v>0</v>
      </c>
      <c r="C151" s="119">
        <f t="shared" si="90"/>
        <v>106.77777777777777</v>
      </c>
      <c r="D151" s="119">
        <f t="shared" si="90"/>
        <v>126.91666666666667</v>
      </c>
      <c r="E151" s="119">
        <f t="shared" si="90"/>
        <v>627.14285714285711</v>
      </c>
      <c r="F151" s="119">
        <f t="shared" si="90"/>
        <v>102.52173913043478</v>
      </c>
      <c r="G151" s="119">
        <f t="shared" si="90"/>
        <v>134.80000000000001</v>
      </c>
      <c r="H151" s="119">
        <f t="shared" si="90"/>
        <v>0</v>
      </c>
      <c r="I151" s="119">
        <f t="shared" si="90"/>
        <v>16</v>
      </c>
      <c r="J151" s="119">
        <f t="shared" si="90"/>
        <v>65.5</v>
      </c>
      <c r="K151" s="119">
        <f t="shared" si="90"/>
        <v>159.52941176470588</v>
      </c>
      <c r="L151" s="196">
        <f t="shared" si="90"/>
        <v>159.52941176470588</v>
      </c>
      <c r="M151" s="196">
        <f t="shared" si="90"/>
        <v>159.52941176470588</v>
      </c>
      <c r="N151" s="119">
        <f t="shared" si="90"/>
        <v>145.40303272146849</v>
      </c>
    </row>
    <row r="152" spans="1:14" x14ac:dyDescent="0.2">
      <c r="A152" s="118" t="s">
        <v>154</v>
      </c>
      <c r="B152" s="119">
        <f t="shared" ref="B152:N152" si="91">IF(B25=0,0,B41/B25)</f>
        <v>49</v>
      </c>
      <c r="C152" s="119">
        <f t="shared" si="91"/>
        <v>186.25</v>
      </c>
      <c r="D152" s="119">
        <f t="shared" si="91"/>
        <v>49</v>
      </c>
      <c r="E152" s="119">
        <f t="shared" si="91"/>
        <v>0</v>
      </c>
      <c r="F152" s="119">
        <f t="shared" si="91"/>
        <v>149.14285714285714</v>
      </c>
      <c r="G152" s="119">
        <f t="shared" si="91"/>
        <v>0</v>
      </c>
      <c r="H152" s="119">
        <f t="shared" si="91"/>
        <v>0</v>
      </c>
      <c r="I152" s="119">
        <f t="shared" si="91"/>
        <v>744</v>
      </c>
      <c r="J152" s="119">
        <f t="shared" si="91"/>
        <v>0</v>
      </c>
      <c r="K152" s="119">
        <f t="shared" si="91"/>
        <v>570.5</v>
      </c>
      <c r="L152" s="196">
        <f t="shared" si="91"/>
        <v>570.5</v>
      </c>
      <c r="M152" s="196">
        <f t="shared" si="91"/>
        <v>570.5</v>
      </c>
      <c r="N152" s="119">
        <f t="shared" si="91"/>
        <v>266.48104956268219</v>
      </c>
    </row>
    <row r="153" spans="1:14" x14ac:dyDescent="0.2">
      <c r="A153" s="118" t="s">
        <v>41</v>
      </c>
      <c r="B153" s="119">
        <f t="shared" ref="B153:N153" si="92">IF(B26=0,0,B42/B26)</f>
        <v>44.947565543071164</v>
      </c>
      <c r="C153" s="119">
        <f t="shared" si="92"/>
        <v>58.157706093189965</v>
      </c>
      <c r="D153" s="119">
        <f t="shared" si="92"/>
        <v>55.889344262295083</v>
      </c>
      <c r="E153" s="119">
        <f t="shared" si="92"/>
        <v>53.460526315789473</v>
      </c>
      <c r="F153" s="119">
        <f t="shared" si="92"/>
        <v>50.566308243727597</v>
      </c>
      <c r="G153" s="119">
        <f t="shared" si="92"/>
        <v>49.402666666666669</v>
      </c>
      <c r="H153" s="119">
        <f t="shared" si="92"/>
        <v>48.525096525096522</v>
      </c>
      <c r="I153" s="119">
        <f t="shared" si="92"/>
        <v>49.653136531365313</v>
      </c>
      <c r="J153" s="119">
        <f t="shared" si="92"/>
        <v>52.375545851528386</v>
      </c>
      <c r="K153" s="119">
        <f t="shared" si="92"/>
        <v>52.210084033613448</v>
      </c>
      <c r="L153" s="196">
        <f t="shared" si="92"/>
        <v>52.210084033613441</v>
      </c>
      <c r="M153" s="196">
        <f t="shared" si="92"/>
        <v>52.210084033613441</v>
      </c>
      <c r="N153" s="119">
        <f t="shared" si="92"/>
        <v>51.540069442008914</v>
      </c>
    </row>
    <row r="154" spans="1:14" x14ac:dyDescent="0.2">
      <c r="A154" s="118" t="s">
        <v>102</v>
      </c>
      <c r="B154" s="119">
        <f t="shared" ref="B154:N154" si="93">IF(B27=0,0,B43/B27)</f>
        <v>605.4471365638766</v>
      </c>
      <c r="C154" s="119">
        <f t="shared" si="93"/>
        <v>579.36258660508088</v>
      </c>
      <c r="D154" s="119">
        <f t="shared" si="93"/>
        <v>492.55203619909503</v>
      </c>
      <c r="E154" s="119">
        <f t="shared" si="93"/>
        <v>528.20512820512818</v>
      </c>
      <c r="F154" s="119">
        <f t="shared" si="93"/>
        <v>481.64971751412429</v>
      </c>
      <c r="G154" s="119">
        <f t="shared" si="93"/>
        <v>397.25177304964541</v>
      </c>
      <c r="H154" s="119">
        <f t="shared" si="93"/>
        <v>315.67307692307691</v>
      </c>
      <c r="I154" s="119">
        <f t="shared" si="93"/>
        <v>311.14285714285717</v>
      </c>
      <c r="J154" s="119">
        <f t="shared" si="93"/>
        <v>290.62833099579245</v>
      </c>
      <c r="K154" s="119">
        <f t="shared" si="93"/>
        <v>275.36247334754796</v>
      </c>
      <c r="L154" s="196">
        <f t="shared" si="93"/>
        <v>275.36247334754796</v>
      </c>
      <c r="M154" s="196">
        <f t="shared" si="93"/>
        <v>275.36247334754796</v>
      </c>
      <c r="N154" s="119">
        <f t="shared" si="93"/>
        <v>374.67699615808442</v>
      </c>
    </row>
    <row r="155" spans="1:14" x14ac:dyDescent="0.2">
      <c r="A155" s="118" t="s">
        <v>153</v>
      </c>
      <c r="B155" s="119">
        <f t="shared" ref="B155:N155" si="94">IF(B28=0,0,B44/B28)</f>
        <v>68.163636363636357</v>
      </c>
      <c r="C155" s="119">
        <f t="shared" si="94"/>
        <v>28.116666666666667</v>
      </c>
      <c r="D155" s="119">
        <f t="shared" si="94"/>
        <v>19.714285714285715</v>
      </c>
      <c r="E155" s="119">
        <f t="shared" si="94"/>
        <v>43.6</v>
      </c>
      <c r="F155" s="119">
        <f t="shared" si="94"/>
        <v>44</v>
      </c>
      <c r="G155" s="119">
        <f t="shared" si="94"/>
        <v>44</v>
      </c>
      <c r="H155" s="119">
        <f t="shared" si="94"/>
        <v>44</v>
      </c>
      <c r="I155" s="119">
        <f t="shared" si="94"/>
        <v>44</v>
      </c>
      <c r="J155" s="119">
        <f t="shared" si="94"/>
        <v>44</v>
      </c>
      <c r="K155" s="119">
        <f t="shared" si="94"/>
        <v>44</v>
      </c>
      <c r="L155" s="196">
        <f t="shared" si="94"/>
        <v>44.000000000000007</v>
      </c>
      <c r="M155" s="196">
        <f t="shared" si="94"/>
        <v>44.000000000000007</v>
      </c>
      <c r="N155" s="119">
        <f t="shared" si="94"/>
        <v>43.718080888183977</v>
      </c>
    </row>
    <row r="156" spans="1:14" x14ac:dyDescent="0.2">
      <c r="A156" s="118" t="s">
        <v>37</v>
      </c>
      <c r="B156" s="119">
        <f t="shared" ref="B156:N156" si="95">IF(B29=0,0,B45/B29)</f>
        <v>463.33797909407667</v>
      </c>
      <c r="C156" s="119">
        <f t="shared" si="95"/>
        <v>308.27891156462584</v>
      </c>
      <c r="D156" s="119">
        <f t="shared" si="95"/>
        <v>295.74444444444447</v>
      </c>
      <c r="E156" s="119">
        <f t="shared" si="95"/>
        <v>276.43478260869563</v>
      </c>
      <c r="F156" s="119">
        <f t="shared" si="95"/>
        <v>340.13529411764705</v>
      </c>
      <c r="G156" s="119">
        <f t="shared" si="95"/>
        <v>321.34810126582278</v>
      </c>
      <c r="H156" s="119">
        <f t="shared" si="95"/>
        <v>332.80624999999998</v>
      </c>
      <c r="I156" s="119">
        <f t="shared" si="95"/>
        <v>342.86468646864688</v>
      </c>
      <c r="J156" s="119">
        <f t="shared" si="95"/>
        <v>323.85915492957747</v>
      </c>
      <c r="K156" s="119">
        <f t="shared" si="95"/>
        <v>338.73170731707319</v>
      </c>
      <c r="L156" s="196">
        <f t="shared" si="95"/>
        <v>338.73170731707319</v>
      </c>
      <c r="M156" s="196">
        <f t="shared" si="95"/>
        <v>338.73170731707319</v>
      </c>
      <c r="N156" s="119">
        <f t="shared" si="95"/>
        <v>333.44623689080811</v>
      </c>
    </row>
    <row r="157" spans="1:14" x14ac:dyDescent="0.2">
      <c r="A157" s="120" t="s">
        <v>36</v>
      </c>
      <c r="B157" s="121">
        <f t="shared" ref="B157:N157" si="96">IF(B30=0,0,B46/B30)</f>
        <v>382.01928832723644</v>
      </c>
      <c r="C157" s="121">
        <f t="shared" si="96"/>
        <v>364.26223422207221</v>
      </c>
      <c r="D157" s="121">
        <f t="shared" si="96"/>
        <v>394.23891023402024</v>
      </c>
      <c r="E157" s="121">
        <f t="shared" si="96"/>
        <v>373.75787401574803</v>
      </c>
      <c r="F157" s="121">
        <f t="shared" si="96"/>
        <v>333.60930232558138</v>
      </c>
      <c r="G157" s="121">
        <f t="shared" si="96"/>
        <v>307.01209545603137</v>
      </c>
      <c r="H157" s="121">
        <f t="shared" si="96"/>
        <v>283.12511527820476</v>
      </c>
      <c r="I157" s="121">
        <f t="shared" si="96"/>
        <v>275.44062992125987</v>
      </c>
      <c r="J157" s="121">
        <f t="shared" si="96"/>
        <v>288.64248343215905</v>
      </c>
      <c r="K157" s="121">
        <f t="shared" si="96"/>
        <v>312.43330501274426</v>
      </c>
      <c r="L157" s="121">
        <f t="shared" si="96"/>
        <v>312.4333050127442</v>
      </c>
      <c r="M157" s="121">
        <f t="shared" si="96"/>
        <v>312.4333050127442</v>
      </c>
      <c r="N157" s="121">
        <f t="shared" si="96"/>
        <v>327.27940806045342</v>
      </c>
    </row>
    <row r="161" spans="1:14" x14ac:dyDescent="0.2">
      <c r="A161" s="178" t="s">
        <v>164</v>
      </c>
      <c r="B161" s="117" t="s">
        <v>5</v>
      </c>
      <c r="C161" s="117" t="s">
        <v>6</v>
      </c>
      <c r="D161" s="117" t="s">
        <v>7</v>
      </c>
      <c r="E161" s="117" t="s">
        <v>8</v>
      </c>
      <c r="F161" s="117" t="s">
        <v>9</v>
      </c>
      <c r="G161" s="117" t="s">
        <v>10</v>
      </c>
      <c r="H161" s="117" t="s">
        <v>11</v>
      </c>
      <c r="I161" s="117" t="s">
        <v>12</v>
      </c>
      <c r="J161" s="117" t="s">
        <v>13</v>
      </c>
      <c r="K161" s="117" t="s">
        <v>14</v>
      </c>
      <c r="L161" s="117" t="s">
        <v>15</v>
      </c>
      <c r="M161" s="117" t="s">
        <v>16</v>
      </c>
      <c r="N161" s="117" t="s">
        <v>36</v>
      </c>
    </row>
    <row r="162" spans="1:14" x14ac:dyDescent="0.2">
      <c r="A162" s="179" t="s">
        <v>100</v>
      </c>
      <c r="L162" s="194"/>
      <c r="M162" s="194"/>
      <c r="N162">
        <f>SUM(B162:M162)</f>
        <v>0</v>
      </c>
    </row>
    <row r="163" spans="1:14" x14ac:dyDescent="0.2">
      <c r="A163" s="118" t="s">
        <v>152</v>
      </c>
      <c r="L163" s="194"/>
      <c r="M163" s="194"/>
      <c r="N163">
        <f t="shared" ref="N163:N173" si="97">SUM(B163:M163)</f>
        <v>0</v>
      </c>
    </row>
    <row r="164" spans="1:14" x14ac:dyDescent="0.2">
      <c r="A164" s="118" t="s">
        <v>161</v>
      </c>
      <c r="L164" s="194"/>
      <c r="M164" s="194"/>
      <c r="N164">
        <f t="shared" si="97"/>
        <v>0</v>
      </c>
    </row>
    <row r="165" spans="1:14" x14ac:dyDescent="0.2">
      <c r="A165" s="118" t="s">
        <v>101</v>
      </c>
      <c r="L165" s="194"/>
      <c r="M165" s="194"/>
      <c r="N165">
        <f t="shared" si="97"/>
        <v>0</v>
      </c>
    </row>
    <row r="166" spans="1:14" x14ac:dyDescent="0.2">
      <c r="A166" s="118" t="s">
        <v>39</v>
      </c>
      <c r="L166" s="194"/>
      <c r="M166" s="194"/>
      <c r="N166">
        <f t="shared" si="97"/>
        <v>0</v>
      </c>
    </row>
    <row r="167" spans="1:14" x14ac:dyDescent="0.2">
      <c r="A167" s="118" t="s">
        <v>44</v>
      </c>
      <c r="L167" s="194"/>
      <c r="M167" s="194"/>
      <c r="N167">
        <f t="shared" si="97"/>
        <v>0</v>
      </c>
    </row>
    <row r="168" spans="1:14" x14ac:dyDescent="0.2">
      <c r="A168" s="118" t="s">
        <v>45</v>
      </c>
      <c r="L168" s="194"/>
      <c r="M168" s="194"/>
      <c r="N168">
        <f t="shared" si="97"/>
        <v>0</v>
      </c>
    </row>
    <row r="169" spans="1:14" x14ac:dyDescent="0.2">
      <c r="A169" s="118" t="s">
        <v>154</v>
      </c>
      <c r="L169" s="194"/>
      <c r="M169" s="194"/>
      <c r="N169">
        <f t="shared" si="97"/>
        <v>0</v>
      </c>
    </row>
    <row r="170" spans="1:14" x14ac:dyDescent="0.2">
      <c r="A170" s="118" t="s">
        <v>41</v>
      </c>
      <c r="L170" s="194"/>
      <c r="M170" s="194"/>
      <c r="N170">
        <f t="shared" si="97"/>
        <v>0</v>
      </c>
    </row>
    <row r="171" spans="1:14" x14ac:dyDescent="0.2">
      <c r="A171" s="118" t="s">
        <v>102</v>
      </c>
      <c r="K171">
        <v>8500</v>
      </c>
      <c r="L171" s="194"/>
      <c r="M171" s="194"/>
      <c r="N171">
        <f t="shared" si="97"/>
        <v>8500</v>
      </c>
    </row>
    <row r="172" spans="1:14" x14ac:dyDescent="0.2">
      <c r="A172" s="118" t="s">
        <v>153</v>
      </c>
      <c r="L172" s="194"/>
      <c r="M172" s="194"/>
      <c r="N172">
        <f t="shared" si="97"/>
        <v>0</v>
      </c>
    </row>
    <row r="173" spans="1:14" x14ac:dyDescent="0.2">
      <c r="A173" s="118" t="s">
        <v>37</v>
      </c>
      <c r="L173" s="194"/>
      <c r="M173" s="194"/>
      <c r="N173">
        <f t="shared" si="97"/>
        <v>0</v>
      </c>
    </row>
    <row r="174" spans="1:14" x14ac:dyDescent="0.2">
      <c r="A174" s="120" t="s">
        <v>36</v>
      </c>
      <c r="B174" s="121">
        <f t="shared" ref="B174:N174" si="98">SUM(B162:B173)</f>
        <v>0</v>
      </c>
      <c r="C174" s="121">
        <f t="shared" si="98"/>
        <v>0</v>
      </c>
      <c r="D174" s="121">
        <f t="shared" si="98"/>
        <v>0</v>
      </c>
      <c r="E174" s="121">
        <f t="shared" si="98"/>
        <v>0</v>
      </c>
      <c r="F174" s="121">
        <f t="shared" si="98"/>
        <v>0</v>
      </c>
      <c r="G174" s="121">
        <f t="shared" si="98"/>
        <v>0</v>
      </c>
      <c r="H174" s="121">
        <f t="shared" si="98"/>
        <v>0</v>
      </c>
      <c r="I174" s="121">
        <f t="shared" si="98"/>
        <v>0</v>
      </c>
      <c r="J174" s="121">
        <f t="shared" si="98"/>
        <v>0</v>
      </c>
      <c r="K174" s="121">
        <f t="shared" si="98"/>
        <v>8500</v>
      </c>
      <c r="L174" s="121">
        <f t="shared" si="98"/>
        <v>0</v>
      </c>
      <c r="M174" s="121">
        <f t="shared" si="98"/>
        <v>0</v>
      </c>
      <c r="N174" s="121">
        <f t="shared" si="98"/>
        <v>8500</v>
      </c>
    </row>
    <row r="177" spans="1:14" x14ac:dyDescent="0.2">
      <c r="A177" s="178" t="s">
        <v>165</v>
      </c>
      <c r="B177" s="117" t="s">
        <v>5</v>
      </c>
      <c r="C177" s="117" t="s">
        <v>6</v>
      </c>
      <c r="D177" s="117" t="s">
        <v>7</v>
      </c>
      <c r="E177" s="117" t="s">
        <v>8</v>
      </c>
      <c r="F177" s="117" t="s">
        <v>9</v>
      </c>
      <c r="G177" s="117" t="s">
        <v>10</v>
      </c>
      <c r="H177" s="117" t="s">
        <v>11</v>
      </c>
      <c r="I177" s="117" t="s">
        <v>12</v>
      </c>
      <c r="J177" s="117" t="s">
        <v>13</v>
      </c>
      <c r="K177" s="117" t="s">
        <v>14</v>
      </c>
      <c r="L177" s="117" t="s">
        <v>15</v>
      </c>
      <c r="M177" s="117" t="s">
        <v>16</v>
      </c>
      <c r="N177" s="117" t="s">
        <v>36</v>
      </c>
    </row>
    <row r="178" spans="1:14" x14ac:dyDescent="0.2">
      <c r="A178" s="179" t="s">
        <v>100</v>
      </c>
      <c r="F178" s="20">
        <v>56775</v>
      </c>
      <c r="G178" s="20">
        <v>63518</v>
      </c>
      <c r="H178" s="20">
        <v>42838</v>
      </c>
      <c r="I178" s="20">
        <v>67660</v>
      </c>
      <c r="J178" s="20">
        <v>33824</v>
      </c>
      <c r="K178" s="20">
        <v>21471</v>
      </c>
      <c r="L178" s="192"/>
      <c r="M178" s="192"/>
      <c r="N178" s="20">
        <f>SUM(B178:M178)</f>
        <v>286086</v>
      </c>
    </row>
    <row r="179" spans="1:14" x14ac:dyDescent="0.2">
      <c r="A179" s="118" t="s">
        <v>152</v>
      </c>
      <c r="F179" s="20"/>
      <c r="G179" s="20"/>
      <c r="H179" s="20"/>
      <c r="I179" s="20"/>
      <c r="J179" s="20"/>
      <c r="K179" s="20"/>
      <c r="L179" s="192"/>
      <c r="M179" s="192"/>
      <c r="N179" s="20">
        <f t="shared" ref="N179:N189" si="99">SUM(B179:M179)</f>
        <v>0</v>
      </c>
    </row>
    <row r="180" spans="1:14" x14ac:dyDescent="0.2">
      <c r="A180" s="118" t="s">
        <v>161</v>
      </c>
      <c r="F180" s="20"/>
      <c r="G180" s="20"/>
      <c r="H180" s="20"/>
      <c r="I180" s="20">
        <v>1084</v>
      </c>
      <c r="J180" s="20"/>
      <c r="K180" s="20"/>
      <c r="L180" s="192"/>
      <c r="M180" s="192"/>
      <c r="N180" s="20">
        <f t="shared" si="99"/>
        <v>1084</v>
      </c>
    </row>
    <row r="181" spans="1:14" x14ac:dyDescent="0.2">
      <c r="A181" s="118" t="s">
        <v>101</v>
      </c>
      <c r="F181" s="20"/>
      <c r="G181" s="20"/>
      <c r="H181" s="20"/>
      <c r="I181" s="20"/>
      <c r="J181" s="20"/>
      <c r="K181" s="20"/>
      <c r="L181" s="192"/>
      <c r="M181" s="192"/>
      <c r="N181" s="20">
        <f t="shared" si="99"/>
        <v>0</v>
      </c>
    </row>
    <row r="182" spans="1:14" x14ac:dyDescent="0.2">
      <c r="A182" s="118" t="s">
        <v>39</v>
      </c>
      <c r="F182" s="20"/>
      <c r="G182" s="20"/>
      <c r="H182" s="20"/>
      <c r="I182" s="20"/>
      <c r="J182" s="20"/>
      <c r="K182" s="20"/>
      <c r="L182" s="192"/>
      <c r="M182" s="192"/>
      <c r="N182" s="20">
        <f t="shared" si="99"/>
        <v>0</v>
      </c>
    </row>
    <row r="183" spans="1:14" x14ac:dyDescent="0.2">
      <c r="A183" s="118" t="s">
        <v>44</v>
      </c>
      <c r="F183" s="20"/>
      <c r="G183" s="20"/>
      <c r="H183" s="20"/>
      <c r="I183" s="20"/>
      <c r="J183" s="20"/>
      <c r="K183" s="20"/>
      <c r="L183" s="192"/>
      <c r="M183" s="192"/>
      <c r="N183" s="20">
        <f t="shared" si="99"/>
        <v>0</v>
      </c>
    </row>
    <row r="184" spans="1:14" x14ac:dyDescent="0.2">
      <c r="A184" s="118" t="s">
        <v>45</v>
      </c>
      <c r="F184" s="20"/>
      <c r="G184" s="20"/>
      <c r="H184" s="20"/>
      <c r="I184" s="20"/>
      <c r="J184" s="20"/>
      <c r="K184" s="20"/>
      <c r="L184" s="192"/>
      <c r="M184" s="192"/>
      <c r="N184" s="20">
        <f t="shared" si="99"/>
        <v>0</v>
      </c>
    </row>
    <row r="185" spans="1:14" x14ac:dyDescent="0.2">
      <c r="A185" s="118" t="s">
        <v>154</v>
      </c>
      <c r="F185" s="20"/>
      <c r="G185" s="20"/>
      <c r="H185" s="20"/>
      <c r="I185" s="20"/>
      <c r="J185" s="20"/>
      <c r="K185" s="20"/>
      <c r="L185" s="192"/>
      <c r="M185" s="192"/>
      <c r="N185" s="20">
        <f t="shared" si="99"/>
        <v>0</v>
      </c>
    </row>
    <row r="186" spans="1:14" x14ac:dyDescent="0.2">
      <c r="A186" s="118" t="s">
        <v>41</v>
      </c>
      <c r="F186" s="20"/>
      <c r="G186" s="20"/>
      <c r="H186" s="20"/>
      <c r="I186" s="20"/>
      <c r="J186" s="20"/>
      <c r="K186" s="20"/>
      <c r="L186" s="192"/>
      <c r="M186" s="192"/>
      <c r="N186" s="20">
        <f t="shared" si="99"/>
        <v>0</v>
      </c>
    </row>
    <row r="187" spans="1:14" x14ac:dyDescent="0.2">
      <c r="A187" s="118" t="s">
        <v>102</v>
      </c>
      <c r="F187" s="20"/>
      <c r="G187" s="20"/>
      <c r="H187" s="20"/>
      <c r="I187" s="20"/>
      <c r="J187" s="20"/>
      <c r="K187" s="20"/>
      <c r="L187" s="192"/>
      <c r="M187" s="192"/>
      <c r="N187" s="20">
        <f t="shared" si="99"/>
        <v>0</v>
      </c>
    </row>
    <row r="188" spans="1:14" x14ac:dyDescent="0.2">
      <c r="A188" s="118" t="s">
        <v>153</v>
      </c>
      <c r="F188" s="20"/>
      <c r="G188" s="20"/>
      <c r="H188" s="20"/>
      <c r="I188" s="20"/>
      <c r="J188" s="20"/>
      <c r="K188" s="20"/>
      <c r="L188" s="192"/>
      <c r="M188" s="192"/>
      <c r="N188" s="20">
        <f t="shared" si="99"/>
        <v>0</v>
      </c>
    </row>
    <row r="189" spans="1:14" x14ac:dyDescent="0.2">
      <c r="A189" s="118" t="s">
        <v>37</v>
      </c>
      <c r="F189" s="20"/>
      <c r="G189" s="20"/>
      <c r="H189" s="20"/>
      <c r="I189" s="20"/>
      <c r="J189" s="20"/>
      <c r="K189" s="20"/>
      <c r="L189" s="192"/>
      <c r="M189" s="192"/>
      <c r="N189" s="20">
        <f t="shared" si="99"/>
        <v>0</v>
      </c>
    </row>
    <row r="190" spans="1:14" x14ac:dyDescent="0.2">
      <c r="A190" s="120" t="s">
        <v>36</v>
      </c>
      <c r="B190" s="121">
        <f t="shared" ref="B190:N190" si="100">SUM(B178:B189)</f>
        <v>0</v>
      </c>
      <c r="C190" s="121">
        <f t="shared" si="100"/>
        <v>0</v>
      </c>
      <c r="D190" s="121">
        <f t="shared" si="100"/>
        <v>0</v>
      </c>
      <c r="E190" s="121">
        <f t="shared" si="100"/>
        <v>0</v>
      </c>
      <c r="F190" s="121">
        <f t="shared" si="100"/>
        <v>56775</v>
      </c>
      <c r="G190" s="121">
        <f t="shared" si="100"/>
        <v>63518</v>
      </c>
      <c r="H190" s="121">
        <f t="shared" si="100"/>
        <v>42838</v>
      </c>
      <c r="I190" s="121">
        <f t="shared" si="100"/>
        <v>68744</v>
      </c>
      <c r="J190" s="121">
        <f t="shared" si="100"/>
        <v>33824</v>
      </c>
      <c r="K190" s="121">
        <f t="shared" si="100"/>
        <v>21471</v>
      </c>
      <c r="L190" s="121">
        <f t="shared" si="100"/>
        <v>0</v>
      </c>
      <c r="M190" s="121">
        <f t="shared" si="100"/>
        <v>0</v>
      </c>
      <c r="N190" s="121">
        <f t="shared" si="100"/>
        <v>287170</v>
      </c>
    </row>
    <row r="193" spans="1:15" x14ac:dyDescent="0.2">
      <c r="A193" s="180" t="s">
        <v>166</v>
      </c>
      <c r="B193" s="117" t="s">
        <v>5</v>
      </c>
      <c r="C193" s="117" t="s">
        <v>6</v>
      </c>
      <c r="D193" s="117" t="s">
        <v>7</v>
      </c>
      <c r="E193" s="117" t="s">
        <v>8</v>
      </c>
      <c r="F193" s="117" t="s">
        <v>9</v>
      </c>
      <c r="G193" s="117" t="s">
        <v>10</v>
      </c>
      <c r="H193" s="117" t="s">
        <v>11</v>
      </c>
      <c r="I193" s="117" t="s">
        <v>12</v>
      </c>
      <c r="J193" s="117" t="s">
        <v>13</v>
      </c>
      <c r="K193" s="117" t="s">
        <v>14</v>
      </c>
      <c r="L193" s="117" t="s">
        <v>15</v>
      </c>
      <c r="M193" s="117" t="s">
        <v>16</v>
      </c>
      <c r="N193" s="117" t="s">
        <v>36</v>
      </c>
    </row>
    <row r="194" spans="1:15" x14ac:dyDescent="0.2">
      <c r="A194" s="122" t="s">
        <v>100</v>
      </c>
      <c r="B194" s="119">
        <f>B34+B162+B178</f>
        <v>272724</v>
      </c>
      <c r="C194" s="119">
        <f t="shared" ref="C194:M194" si="101">C34+C162+C178</f>
        <v>238703</v>
      </c>
      <c r="D194" s="119">
        <f t="shared" si="101"/>
        <v>246610</v>
      </c>
      <c r="E194" s="119">
        <f t="shared" si="101"/>
        <v>234384</v>
      </c>
      <c r="F194" s="119">
        <f t="shared" si="101"/>
        <v>262073</v>
      </c>
      <c r="G194" s="119">
        <f t="shared" si="101"/>
        <v>249000</v>
      </c>
      <c r="H194" s="119">
        <f t="shared" si="101"/>
        <v>266570</v>
      </c>
      <c r="I194" s="119">
        <f t="shared" si="101"/>
        <v>310772</v>
      </c>
      <c r="J194" s="119">
        <f t="shared" si="101"/>
        <v>236666</v>
      </c>
      <c r="K194" s="119">
        <f t="shared" si="101"/>
        <v>306181</v>
      </c>
      <c r="L194" s="196">
        <f t="shared" si="101"/>
        <v>253075.55555555556</v>
      </c>
      <c r="M194" s="196">
        <f t="shared" si="101"/>
        <v>253075.55555555556</v>
      </c>
      <c r="N194" s="119">
        <f t="shared" ref="N194:N200" si="102">SUM(B194:M194)</f>
        <v>3129834.111111111</v>
      </c>
    </row>
    <row r="195" spans="1:15" x14ac:dyDescent="0.2">
      <c r="A195" s="154" t="s">
        <v>169</v>
      </c>
      <c r="B195" s="119">
        <f>+B35+B163+B179</f>
        <v>28655</v>
      </c>
      <c r="C195" s="119">
        <f t="shared" ref="C195:M195" si="103">+C35+C163+C179</f>
        <v>13293</v>
      </c>
      <c r="D195" s="119">
        <f t="shared" si="103"/>
        <v>6490</v>
      </c>
      <c r="E195" s="119">
        <f t="shared" si="103"/>
        <v>4060</v>
      </c>
      <c r="F195" s="119">
        <f t="shared" si="103"/>
        <v>4198</v>
      </c>
      <c r="G195" s="119">
        <f t="shared" si="103"/>
        <v>7142</v>
      </c>
      <c r="H195" s="119">
        <f t="shared" si="103"/>
        <v>14784</v>
      </c>
      <c r="I195" s="119">
        <f t="shared" si="103"/>
        <v>18618</v>
      </c>
      <c r="J195" s="119">
        <f t="shared" si="103"/>
        <v>30268</v>
      </c>
      <c r="K195" s="119">
        <f t="shared" si="103"/>
        <v>37082</v>
      </c>
      <c r="L195" s="196">
        <f t="shared" si="103"/>
        <v>32961.777777777774</v>
      </c>
      <c r="M195" s="196">
        <f t="shared" si="103"/>
        <v>32961.777777777774</v>
      </c>
      <c r="N195" s="119">
        <f t="shared" si="102"/>
        <v>230513.55555555556</v>
      </c>
    </row>
    <row r="196" spans="1:15" x14ac:dyDescent="0.2">
      <c r="A196" s="154" t="s">
        <v>161</v>
      </c>
      <c r="B196" s="119">
        <f>B36+B164+B180</f>
        <v>303360</v>
      </c>
      <c r="C196" s="119">
        <f t="shared" ref="C196:M196" si="104">C36+C164+C180</f>
        <v>336427</v>
      </c>
      <c r="D196" s="119">
        <f t="shared" si="104"/>
        <v>435938</v>
      </c>
      <c r="E196" s="119">
        <f t="shared" si="104"/>
        <v>380388</v>
      </c>
      <c r="F196" s="119">
        <f t="shared" si="104"/>
        <v>318084</v>
      </c>
      <c r="G196" s="119">
        <f t="shared" si="104"/>
        <v>289866</v>
      </c>
      <c r="H196" s="119">
        <f t="shared" si="104"/>
        <v>260016</v>
      </c>
      <c r="I196" s="119">
        <f t="shared" si="104"/>
        <v>225344</v>
      </c>
      <c r="J196" s="119">
        <f t="shared" si="104"/>
        <v>200974</v>
      </c>
      <c r="K196" s="119">
        <f t="shared" si="104"/>
        <v>274730</v>
      </c>
      <c r="L196" s="196">
        <f t="shared" si="104"/>
        <v>244204.44444444444</v>
      </c>
      <c r="M196" s="196">
        <f t="shared" si="104"/>
        <v>244204.44444444444</v>
      </c>
      <c r="N196" s="119">
        <f t="shared" si="102"/>
        <v>3513535.888888889</v>
      </c>
    </row>
    <row r="197" spans="1:15" x14ac:dyDescent="0.2">
      <c r="A197" s="154" t="s">
        <v>101</v>
      </c>
      <c r="B197" s="119">
        <f>B37+B165+B181</f>
        <v>58550</v>
      </c>
      <c r="C197" s="119">
        <f t="shared" ref="C197:M197" si="105">C37+C165+C181</f>
        <v>68676</v>
      </c>
      <c r="D197" s="119">
        <f t="shared" si="105"/>
        <v>94794</v>
      </c>
      <c r="E197" s="119">
        <f t="shared" si="105"/>
        <v>71126</v>
      </c>
      <c r="F197" s="119">
        <f t="shared" si="105"/>
        <v>50572</v>
      </c>
      <c r="G197" s="119">
        <f t="shared" si="105"/>
        <v>57770</v>
      </c>
      <c r="H197" s="119">
        <f t="shared" si="105"/>
        <v>43426</v>
      </c>
      <c r="I197" s="119">
        <f t="shared" si="105"/>
        <v>38498</v>
      </c>
      <c r="J197" s="119">
        <f t="shared" si="105"/>
        <v>32636</v>
      </c>
      <c r="K197" s="119">
        <f t="shared" si="105"/>
        <v>87862</v>
      </c>
      <c r="L197" s="196">
        <f t="shared" si="105"/>
        <v>78099.555555555547</v>
      </c>
      <c r="M197" s="196">
        <f t="shared" si="105"/>
        <v>78099.555555555547</v>
      </c>
      <c r="N197" s="119">
        <f t="shared" si="102"/>
        <v>760109.11111111101</v>
      </c>
    </row>
    <row r="198" spans="1:15" x14ac:dyDescent="0.2">
      <c r="A198" s="154" t="s">
        <v>39</v>
      </c>
      <c r="B198" s="119">
        <f>B38+B166+B182</f>
        <v>58207</v>
      </c>
      <c r="C198" s="119">
        <f t="shared" ref="C198:M198" si="106">C38+C166+C182</f>
        <v>57092</v>
      </c>
      <c r="D198" s="119">
        <f t="shared" si="106"/>
        <v>29956</v>
      </c>
      <c r="E198" s="119">
        <f t="shared" si="106"/>
        <v>45716</v>
      </c>
      <c r="F198" s="119">
        <f t="shared" si="106"/>
        <v>32704</v>
      </c>
      <c r="G198" s="119">
        <f t="shared" si="106"/>
        <v>49168</v>
      </c>
      <c r="H198" s="119">
        <f t="shared" si="106"/>
        <v>54876</v>
      </c>
      <c r="I198" s="119">
        <f t="shared" si="106"/>
        <v>42064</v>
      </c>
      <c r="J198" s="119">
        <f t="shared" si="106"/>
        <v>43924</v>
      </c>
      <c r="K198" s="119">
        <f t="shared" si="106"/>
        <v>37948</v>
      </c>
      <c r="L198" s="196">
        <f t="shared" si="106"/>
        <v>33731.555555555555</v>
      </c>
      <c r="M198" s="196">
        <f t="shared" si="106"/>
        <v>33731.555555555555</v>
      </c>
      <c r="N198" s="119">
        <f t="shared" si="102"/>
        <v>519118.11111111112</v>
      </c>
    </row>
    <row r="199" spans="1:15" x14ac:dyDescent="0.2">
      <c r="A199" s="154" t="s">
        <v>102</v>
      </c>
      <c r="B199" s="119">
        <f>SUM(B39:B44)+SUM(B167:B172)+SUM(B183:B188)</f>
        <v>294258</v>
      </c>
      <c r="C199" s="119">
        <f t="shared" ref="C199:M199" si="107">SUM(C39:C44)+SUM(C167:C172)+SUM(C183:C188)</f>
        <v>274484</v>
      </c>
      <c r="D199" s="119">
        <f t="shared" si="107"/>
        <v>235067</v>
      </c>
      <c r="E199" s="119">
        <f t="shared" si="107"/>
        <v>295454</v>
      </c>
      <c r="F199" s="119">
        <f t="shared" si="107"/>
        <v>277662</v>
      </c>
      <c r="G199" s="119">
        <f t="shared" si="107"/>
        <v>248176</v>
      </c>
      <c r="H199" s="119">
        <f t="shared" si="107"/>
        <v>217674</v>
      </c>
      <c r="I199" s="119">
        <f t="shared" si="107"/>
        <v>204084</v>
      </c>
      <c r="J199" s="119">
        <f t="shared" si="107"/>
        <v>224918</v>
      </c>
      <c r="K199" s="119">
        <f t="shared" si="107"/>
        <v>292154</v>
      </c>
      <c r="L199" s="196">
        <f t="shared" si="107"/>
        <v>252136.88888888888</v>
      </c>
      <c r="M199" s="196">
        <f t="shared" si="107"/>
        <v>252136.88888888888</v>
      </c>
      <c r="N199" s="119">
        <f t="shared" si="102"/>
        <v>3068204.777777778</v>
      </c>
    </row>
    <row r="200" spans="1:15" x14ac:dyDescent="0.2">
      <c r="A200" s="154" t="s">
        <v>37</v>
      </c>
      <c r="B200" s="119">
        <f>B45+B173+B189</f>
        <v>132978</v>
      </c>
      <c r="C200" s="119">
        <f t="shared" ref="C200:M200" si="108">C45+C173+C189</f>
        <v>90634</v>
      </c>
      <c r="D200" s="119">
        <f t="shared" si="108"/>
        <v>79851</v>
      </c>
      <c r="E200" s="119">
        <f t="shared" si="108"/>
        <v>108086</v>
      </c>
      <c r="F200" s="119">
        <f t="shared" si="108"/>
        <v>115646</v>
      </c>
      <c r="G200" s="119">
        <f t="shared" si="108"/>
        <v>101546</v>
      </c>
      <c r="H200" s="119">
        <f t="shared" si="108"/>
        <v>106498</v>
      </c>
      <c r="I200" s="119">
        <f t="shared" si="108"/>
        <v>103888</v>
      </c>
      <c r="J200" s="119">
        <f t="shared" si="108"/>
        <v>91976</v>
      </c>
      <c r="K200" s="119">
        <f t="shared" si="108"/>
        <v>97216</v>
      </c>
      <c r="L200" s="196">
        <f t="shared" si="108"/>
        <v>86414.222222222219</v>
      </c>
      <c r="M200" s="196">
        <f t="shared" si="108"/>
        <v>86414.222222222219</v>
      </c>
      <c r="N200" s="119">
        <f t="shared" si="102"/>
        <v>1201147.4444444445</v>
      </c>
    </row>
    <row r="201" spans="1:15" x14ac:dyDescent="0.2">
      <c r="A201" s="120" t="s">
        <v>36</v>
      </c>
      <c r="B201" s="121">
        <f t="shared" ref="B201:N201" si="109">SUM(B194:B200)</f>
        <v>1148732</v>
      </c>
      <c r="C201" s="121">
        <f t="shared" si="109"/>
        <v>1079309</v>
      </c>
      <c r="D201" s="121">
        <f t="shared" si="109"/>
        <v>1128706</v>
      </c>
      <c r="E201" s="121">
        <f t="shared" si="109"/>
        <v>1139214</v>
      </c>
      <c r="F201" s="121">
        <f t="shared" si="109"/>
        <v>1060939</v>
      </c>
      <c r="G201" s="121">
        <f t="shared" si="109"/>
        <v>1002668</v>
      </c>
      <c r="H201" s="121">
        <f t="shared" si="109"/>
        <v>963844</v>
      </c>
      <c r="I201" s="121">
        <f t="shared" si="109"/>
        <v>943268</v>
      </c>
      <c r="J201" s="121">
        <f t="shared" si="109"/>
        <v>861362</v>
      </c>
      <c r="K201" s="121">
        <f t="shared" si="109"/>
        <v>1133173</v>
      </c>
      <c r="L201" s="121">
        <f t="shared" si="109"/>
        <v>980623.99999999988</v>
      </c>
      <c r="M201" s="121">
        <f t="shared" si="109"/>
        <v>980623.99999999988</v>
      </c>
      <c r="N201" s="121">
        <f t="shared" si="109"/>
        <v>12422463</v>
      </c>
      <c r="O201" s="123"/>
    </row>
    <row r="204" spans="1:15" x14ac:dyDescent="0.2">
      <c r="A204" s="178" t="s">
        <v>167</v>
      </c>
      <c r="B204" s="181" t="s">
        <v>5</v>
      </c>
      <c r="C204" s="181" t="s">
        <v>6</v>
      </c>
      <c r="D204" s="181" t="s">
        <v>7</v>
      </c>
      <c r="E204" s="181" t="s">
        <v>8</v>
      </c>
      <c r="F204" s="117" t="s">
        <v>9</v>
      </c>
      <c r="G204" s="117" t="s">
        <v>10</v>
      </c>
      <c r="H204" s="117" t="s">
        <v>11</v>
      </c>
      <c r="I204" s="117" t="s">
        <v>12</v>
      </c>
      <c r="J204" s="117" t="s">
        <v>13</v>
      </c>
      <c r="K204" s="117" t="s">
        <v>14</v>
      </c>
      <c r="L204" s="117" t="s">
        <v>15</v>
      </c>
      <c r="M204" s="117" t="s">
        <v>16</v>
      </c>
      <c r="N204" s="117" t="s">
        <v>36</v>
      </c>
    </row>
    <row r="205" spans="1:15" x14ac:dyDescent="0.2">
      <c r="A205" s="179" t="s">
        <v>100</v>
      </c>
      <c r="B205" s="184">
        <v>1222922.2900000003</v>
      </c>
      <c r="C205" s="184">
        <v>1315281.7399999998</v>
      </c>
      <c r="D205" s="184">
        <v>1330920.9999999993</v>
      </c>
      <c r="E205" s="184">
        <v>1174396.4800000002</v>
      </c>
      <c r="F205" s="20">
        <v>1502786.63</v>
      </c>
      <c r="G205" s="20">
        <v>1374009.3900000001</v>
      </c>
      <c r="H205" s="20">
        <v>1577128.84</v>
      </c>
      <c r="I205" s="20">
        <v>1551972.3199999998</v>
      </c>
      <c r="J205" s="20">
        <v>1445497.1300000001</v>
      </c>
      <c r="K205" s="20">
        <v>1647933.81</v>
      </c>
      <c r="L205" s="197"/>
      <c r="M205" s="197"/>
      <c r="N205" s="10">
        <f t="shared" ref="N205:N211" si="110">SUM(B205:M205)</f>
        <v>14142849.630000001</v>
      </c>
    </row>
    <row r="206" spans="1:15" x14ac:dyDescent="0.2">
      <c r="A206" s="118" t="s">
        <v>152</v>
      </c>
      <c r="B206" s="184">
        <v>168281.23</v>
      </c>
      <c r="C206" s="184">
        <v>95331.569999999992</v>
      </c>
      <c r="D206" s="184">
        <v>48438.9</v>
      </c>
      <c r="E206" s="184">
        <v>50613.12000000001</v>
      </c>
      <c r="F206" s="20">
        <v>53051.78</v>
      </c>
      <c r="G206" s="20">
        <v>45569.91</v>
      </c>
      <c r="H206" s="20">
        <v>96933.26</v>
      </c>
      <c r="I206" s="20">
        <v>55481.259999999995</v>
      </c>
      <c r="J206" s="20">
        <v>36119.519999999997</v>
      </c>
      <c r="K206" s="20">
        <v>114932.66</v>
      </c>
      <c r="L206" s="197"/>
      <c r="M206" s="197"/>
      <c r="N206" s="10">
        <f t="shared" si="110"/>
        <v>764753.21000000008</v>
      </c>
    </row>
    <row r="207" spans="1:15" x14ac:dyDescent="0.2">
      <c r="A207" s="118" t="s">
        <v>161</v>
      </c>
      <c r="B207" s="184">
        <v>1693306.4100000018</v>
      </c>
      <c r="C207" s="184">
        <v>2026262.0899999926</v>
      </c>
      <c r="D207" s="184">
        <v>1950639.1500000032</v>
      </c>
      <c r="E207" s="184">
        <v>2210337.4000000004</v>
      </c>
      <c r="F207" s="20">
        <v>1993912.18</v>
      </c>
      <c r="G207" s="20">
        <v>1649818.07</v>
      </c>
      <c r="H207" s="20">
        <v>1508536.9000000001</v>
      </c>
      <c r="I207" s="20">
        <v>1204734.3700000001</v>
      </c>
      <c r="J207" s="20">
        <v>1352212.1099999996</v>
      </c>
      <c r="K207" s="20">
        <v>1718848</v>
      </c>
      <c r="L207" s="197"/>
      <c r="M207" s="197"/>
      <c r="N207" s="10">
        <f t="shared" si="110"/>
        <v>17308606.68</v>
      </c>
    </row>
    <row r="208" spans="1:15" x14ac:dyDescent="0.2">
      <c r="A208" s="118" t="s">
        <v>101</v>
      </c>
      <c r="B208" s="184">
        <v>505478.18999999994</v>
      </c>
      <c r="C208" s="184">
        <v>561712.25000000012</v>
      </c>
      <c r="D208" s="184">
        <v>845822.08000000019</v>
      </c>
      <c r="E208" s="184">
        <v>834351.19000000018</v>
      </c>
      <c r="F208" s="20">
        <v>445447.63</v>
      </c>
      <c r="G208" s="20">
        <v>471692.99</v>
      </c>
      <c r="H208" s="20">
        <v>484147.17999999993</v>
      </c>
      <c r="I208" s="20">
        <v>305231.17</v>
      </c>
      <c r="J208" s="20">
        <v>278460.73</v>
      </c>
      <c r="K208" s="20">
        <v>615291.5</v>
      </c>
      <c r="L208" s="197"/>
      <c r="M208" s="197"/>
      <c r="N208" s="10">
        <f t="shared" si="110"/>
        <v>5347634.91</v>
      </c>
    </row>
    <row r="209" spans="1:16" x14ac:dyDescent="0.2">
      <c r="A209" s="118" t="s">
        <v>39</v>
      </c>
      <c r="B209" s="184">
        <v>261873.19999999998</v>
      </c>
      <c r="C209" s="184">
        <v>240358.64</v>
      </c>
      <c r="D209" s="184">
        <v>182738.15</v>
      </c>
      <c r="E209" s="184">
        <v>274865.97000000003</v>
      </c>
      <c r="F209" s="20">
        <v>139274.76</v>
      </c>
      <c r="G209" s="20">
        <v>140341.47</v>
      </c>
      <c r="H209" s="20">
        <v>334228.73</v>
      </c>
      <c r="I209" s="20">
        <v>189594.37</v>
      </c>
      <c r="J209" s="20">
        <v>326439.74</v>
      </c>
      <c r="K209" s="20">
        <v>260079.88</v>
      </c>
      <c r="L209" s="197"/>
      <c r="M209" s="197"/>
      <c r="N209" s="10">
        <f t="shared" si="110"/>
        <v>2349794.91</v>
      </c>
    </row>
    <row r="210" spans="1:16" x14ac:dyDescent="0.2">
      <c r="A210" s="118" t="s">
        <v>102</v>
      </c>
      <c r="B210" s="184">
        <v>1671001.7400000009</v>
      </c>
      <c r="C210" s="184">
        <v>1404002.6300000001</v>
      </c>
      <c r="D210" s="184">
        <v>1212164.04</v>
      </c>
      <c r="E210" s="184">
        <v>1611197.449999999</v>
      </c>
      <c r="F210" s="20">
        <v>1481773.0899999996</v>
      </c>
      <c r="G210" s="20">
        <v>980582.82</v>
      </c>
      <c r="H210" s="20">
        <v>1290282.2300000002</v>
      </c>
      <c r="I210" s="20">
        <v>1509084.6900000004</v>
      </c>
      <c r="J210" s="20">
        <v>1356979.19</v>
      </c>
      <c r="K210" s="20">
        <v>1547734.07</v>
      </c>
      <c r="L210" s="197"/>
      <c r="M210" s="197"/>
      <c r="N210" s="10">
        <f t="shared" si="110"/>
        <v>14064801.950000001</v>
      </c>
    </row>
    <row r="211" spans="1:16" x14ac:dyDescent="0.2">
      <c r="A211" s="118" t="s">
        <v>37</v>
      </c>
      <c r="B211" s="184">
        <v>693658.11999999976</v>
      </c>
      <c r="C211" s="184">
        <v>613082.3899999999</v>
      </c>
      <c r="D211" s="184">
        <v>819792.06999999972</v>
      </c>
      <c r="E211" s="184">
        <v>702166.03999999992</v>
      </c>
      <c r="F211" s="20">
        <v>804338.25</v>
      </c>
      <c r="G211" s="20">
        <v>733397.54999999993</v>
      </c>
      <c r="H211" s="20">
        <v>888690.09</v>
      </c>
      <c r="I211" s="20">
        <v>793760.24</v>
      </c>
      <c r="J211" s="20">
        <v>795092.63</v>
      </c>
      <c r="K211" s="20">
        <v>733716.67</v>
      </c>
      <c r="L211" s="197"/>
      <c r="M211" s="197"/>
      <c r="N211" s="10">
        <f t="shared" si="110"/>
        <v>7577694.0499999998</v>
      </c>
    </row>
    <row r="212" spans="1:16" x14ac:dyDescent="0.2">
      <c r="A212" s="120" t="s">
        <v>36</v>
      </c>
      <c r="B212" s="182">
        <f t="shared" ref="B212:N212" si="111">SUM(B205:B211)</f>
        <v>6216521.1800000034</v>
      </c>
      <c r="C212" s="182">
        <f t="shared" si="111"/>
        <v>6256031.3099999921</v>
      </c>
      <c r="D212" s="182">
        <f t="shared" si="111"/>
        <v>6390515.3900000025</v>
      </c>
      <c r="E212" s="182">
        <f t="shared" si="111"/>
        <v>6857927.6500000004</v>
      </c>
      <c r="F212" s="148">
        <f t="shared" si="111"/>
        <v>6420584.3199999994</v>
      </c>
      <c r="G212" s="148">
        <f t="shared" si="111"/>
        <v>5395412.2000000002</v>
      </c>
      <c r="H212" s="148">
        <f t="shared" si="111"/>
        <v>6179947.2299999995</v>
      </c>
      <c r="I212" s="148">
        <f t="shared" si="111"/>
        <v>5609858.4200000009</v>
      </c>
      <c r="J212" s="148">
        <f t="shared" si="111"/>
        <v>5590801.0499999998</v>
      </c>
      <c r="K212" s="148">
        <f t="shared" si="111"/>
        <v>6638536.5899999999</v>
      </c>
      <c r="L212" s="148">
        <f t="shared" si="111"/>
        <v>0</v>
      </c>
      <c r="M212" s="148">
        <f t="shared" si="111"/>
        <v>0</v>
      </c>
      <c r="N212" s="148">
        <f t="shared" si="111"/>
        <v>61556135.340000004</v>
      </c>
      <c r="P212" s="82"/>
    </row>
    <row r="213" spans="1:16" x14ac:dyDescent="0.2">
      <c r="N213" s="186"/>
    </row>
    <row r="214" spans="1:16" x14ac:dyDescent="0.2">
      <c r="A214" s="156" t="s">
        <v>170</v>
      </c>
      <c r="B214" s="157">
        <v>9.4664999999999999</v>
      </c>
      <c r="C214" s="157">
        <v>9.561452000000001</v>
      </c>
      <c r="D214" s="157">
        <v>9.6562070000000002</v>
      </c>
      <c r="E214" s="157">
        <v>9.7759999999999998</v>
      </c>
      <c r="F214" s="157">
        <v>9.8458620000000003</v>
      </c>
      <c r="G214" s="157">
        <v>9.9406999999999996</v>
      </c>
      <c r="H214" s="157">
        <v>10.035500000000001</v>
      </c>
      <c r="I214" s="157">
        <v>10.125500000000001</v>
      </c>
      <c r="J214" s="157">
        <v>10.220000000000001</v>
      </c>
      <c r="K214" s="157">
        <v>10.32</v>
      </c>
      <c r="L214" s="157">
        <f>K214+0.09</f>
        <v>10.41</v>
      </c>
      <c r="M214" s="157">
        <f>L214+0.09</f>
        <v>10.5</v>
      </c>
      <c r="N214" s="18"/>
      <c r="P214" s="10"/>
    </row>
    <row r="216" spans="1:16" x14ac:dyDescent="0.2">
      <c r="A216" s="124" t="s">
        <v>168</v>
      </c>
      <c r="B216" s="117" t="s">
        <v>5</v>
      </c>
      <c r="C216" s="117" t="s">
        <v>6</v>
      </c>
      <c r="D216" s="117" t="s">
        <v>7</v>
      </c>
      <c r="E216" s="117" t="s">
        <v>8</v>
      </c>
      <c r="F216" s="117" t="s">
        <v>9</v>
      </c>
      <c r="G216" s="117" t="s">
        <v>10</v>
      </c>
      <c r="H216" s="117" t="s">
        <v>11</v>
      </c>
      <c r="I216" s="117" t="s">
        <v>12</v>
      </c>
      <c r="J216" s="117" t="s">
        <v>13</v>
      </c>
      <c r="K216" s="117" t="s">
        <v>14</v>
      </c>
      <c r="L216" s="117" t="s">
        <v>15</v>
      </c>
      <c r="M216" s="117" t="s">
        <v>16</v>
      </c>
      <c r="N216" s="117" t="s">
        <v>36</v>
      </c>
    </row>
    <row r="217" spans="1:16" x14ac:dyDescent="0.2">
      <c r="A217" s="179" t="s">
        <v>100</v>
      </c>
      <c r="B217" s="149">
        <f>B205/B$214</f>
        <v>129184.20641208475</v>
      </c>
      <c r="C217" s="149">
        <f t="shared" ref="C217:M217" si="112">C205/C$214</f>
        <v>137560.87882886402</v>
      </c>
      <c r="D217" s="149">
        <f t="shared" si="112"/>
        <v>137830.62024250301</v>
      </c>
      <c r="E217" s="149">
        <f t="shared" si="112"/>
        <v>120130.57283142392</v>
      </c>
      <c r="F217" s="149">
        <f t="shared" si="112"/>
        <v>152631.29119624061</v>
      </c>
      <c r="G217" s="149">
        <f t="shared" si="112"/>
        <v>138220.58708139267</v>
      </c>
      <c r="H217" s="149">
        <f t="shared" si="112"/>
        <v>157154.98380748343</v>
      </c>
      <c r="I217" s="149">
        <f t="shared" si="112"/>
        <v>153273.64772110016</v>
      </c>
      <c r="J217" s="149">
        <f t="shared" si="112"/>
        <v>141438.07534246575</v>
      </c>
      <c r="K217" s="149">
        <f t="shared" si="112"/>
        <v>159683.50872093023</v>
      </c>
      <c r="L217" s="197">
        <f t="shared" si="112"/>
        <v>0</v>
      </c>
      <c r="M217" s="197">
        <f t="shared" si="112"/>
        <v>0</v>
      </c>
      <c r="N217" s="10">
        <f>SUM(B217:M217)</f>
        <v>1427108.3721844885</v>
      </c>
    </row>
    <row r="218" spans="1:16" x14ac:dyDescent="0.2">
      <c r="A218" s="118" t="s">
        <v>152</v>
      </c>
      <c r="B218" s="149">
        <f t="shared" ref="B218:M218" si="113">B206/B$214</f>
        <v>17776.499234141447</v>
      </c>
      <c r="C218" s="149">
        <f t="shared" si="113"/>
        <v>9970.4072143017584</v>
      </c>
      <c r="D218" s="149">
        <f t="shared" si="113"/>
        <v>5016.3485517657191</v>
      </c>
      <c r="E218" s="149">
        <f t="shared" si="113"/>
        <v>5177.2831423895268</v>
      </c>
      <c r="F218" s="149">
        <f t="shared" si="113"/>
        <v>5388.2311167879461</v>
      </c>
      <c r="G218" s="149">
        <f t="shared" si="113"/>
        <v>4584.1751586910386</v>
      </c>
      <c r="H218" s="149">
        <f t="shared" si="113"/>
        <v>9659.0364207064904</v>
      </c>
      <c r="I218" s="149">
        <f t="shared" si="113"/>
        <v>5479.3600316033771</v>
      </c>
      <c r="J218" s="149">
        <f t="shared" si="113"/>
        <v>3534.1996086105669</v>
      </c>
      <c r="K218" s="149">
        <f t="shared" si="113"/>
        <v>11136.885658914729</v>
      </c>
      <c r="L218" s="197">
        <f t="shared" si="113"/>
        <v>0</v>
      </c>
      <c r="M218" s="197">
        <f t="shared" si="113"/>
        <v>0</v>
      </c>
      <c r="N218" s="10">
        <f t="shared" ref="N218:N223" si="114">SUM(B218:M218)</f>
        <v>77722.426137912611</v>
      </c>
    </row>
    <row r="219" spans="1:16" x14ac:dyDescent="0.2">
      <c r="A219" s="118" t="s">
        <v>161</v>
      </c>
      <c r="B219" s="149">
        <f t="shared" ref="B219:M219" si="115">B207/B$214</f>
        <v>178873.54460465873</v>
      </c>
      <c r="C219" s="149">
        <f t="shared" si="115"/>
        <v>211919.91446487338</v>
      </c>
      <c r="D219" s="149">
        <f t="shared" si="115"/>
        <v>202008.83742446729</v>
      </c>
      <c r="E219" s="149">
        <f t="shared" si="115"/>
        <v>226098.34288052376</v>
      </c>
      <c r="F219" s="149">
        <f t="shared" si="115"/>
        <v>202512.70838449695</v>
      </c>
      <c r="G219" s="149">
        <f t="shared" si="115"/>
        <v>165965.98529278624</v>
      </c>
      <c r="H219" s="149">
        <f t="shared" si="115"/>
        <v>150320.05380897812</v>
      </c>
      <c r="I219" s="149">
        <f t="shared" si="115"/>
        <v>118980.23505012099</v>
      </c>
      <c r="J219" s="149">
        <f t="shared" si="115"/>
        <v>132310.3825831702</v>
      </c>
      <c r="K219" s="149">
        <f t="shared" si="115"/>
        <v>166555.03875968992</v>
      </c>
      <c r="L219" s="197">
        <f t="shared" si="115"/>
        <v>0</v>
      </c>
      <c r="M219" s="197">
        <f t="shared" si="115"/>
        <v>0</v>
      </c>
      <c r="N219" s="10">
        <f t="shared" si="114"/>
        <v>1755545.0432537657</v>
      </c>
    </row>
    <row r="220" spans="1:16" x14ac:dyDescent="0.2">
      <c r="A220" s="118" t="s">
        <v>101</v>
      </c>
      <c r="B220" s="149">
        <f t="shared" ref="B220:M220" si="116">B208/B$214</f>
        <v>53396.523530343839</v>
      </c>
      <c r="C220" s="149">
        <f t="shared" si="116"/>
        <v>58747.588755348042</v>
      </c>
      <c r="D220" s="149">
        <f t="shared" si="116"/>
        <v>87593.615174156905</v>
      </c>
      <c r="E220" s="149">
        <f t="shared" si="116"/>
        <v>85346.889320785616</v>
      </c>
      <c r="F220" s="149">
        <f t="shared" si="116"/>
        <v>45242.115926467384</v>
      </c>
      <c r="G220" s="149">
        <f t="shared" si="116"/>
        <v>47450.681541541344</v>
      </c>
      <c r="H220" s="149">
        <f t="shared" si="116"/>
        <v>48243.453739225741</v>
      </c>
      <c r="I220" s="149">
        <f t="shared" si="116"/>
        <v>30144.799762974664</v>
      </c>
      <c r="J220" s="149">
        <f t="shared" si="116"/>
        <v>27246.64677103718</v>
      </c>
      <c r="K220" s="149">
        <f t="shared" si="116"/>
        <v>59621.269379844962</v>
      </c>
      <c r="L220" s="197">
        <f t="shared" si="116"/>
        <v>0</v>
      </c>
      <c r="M220" s="197">
        <f t="shared" si="116"/>
        <v>0</v>
      </c>
      <c r="N220" s="10">
        <f t="shared" si="114"/>
        <v>543033.58390172571</v>
      </c>
    </row>
    <row r="221" spans="1:16" x14ac:dyDescent="0.2">
      <c r="A221" s="118" t="s">
        <v>39</v>
      </c>
      <c r="B221" s="149">
        <f t="shared" ref="B221:M221" si="117">B209/B$214</f>
        <v>27663.148999102094</v>
      </c>
      <c r="C221" s="149">
        <f t="shared" si="117"/>
        <v>25138.29907842449</v>
      </c>
      <c r="D221" s="149">
        <f t="shared" si="117"/>
        <v>18924.423430442199</v>
      </c>
      <c r="E221" s="149">
        <f t="shared" si="117"/>
        <v>28116.404459901805</v>
      </c>
      <c r="F221" s="149">
        <f t="shared" si="117"/>
        <v>14145.512094319422</v>
      </c>
      <c r="G221" s="149">
        <f t="shared" si="117"/>
        <v>14117.865945054173</v>
      </c>
      <c r="H221" s="149">
        <f t="shared" si="117"/>
        <v>33304.641522594786</v>
      </c>
      <c r="I221" s="149">
        <f t="shared" si="117"/>
        <v>18724.445212582094</v>
      </c>
      <c r="J221" s="149">
        <f t="shared" si="117"/>
        <v>31941.266144814086</v>
      </c>
      <c r="K221" s="149">
        <f t="shared" si="117"/>
        <v>25201.538759689924</v>
      </c>
      <c r="L221" s="197">
        <f t="shared" si="117"/>
        <v>0</v>
      </c>
      <c r="M221" s="197">
        <f t="shared" si="117"/>
        <v>0</v>
      </c>
      <c r="N221" s="10">
        <f t="shared" si="114"/>
        <v>237277.54564692508</v>
      </c>
    </row>
    <row r="222" spans="1:16" x14ac:dyDescent="0.2">
      <c r="A222" s="118" t="s">
        <v>102</v>
      </c>
      <c r="B222" s="149">
        <f t="shared" ref="B222:M222" si="118">B210/B$214</f>
        <v>176517.37601014113</v>
      </c>
      <c r="C222" s="149">
        <f t="shared" si="118"/>
        <v>146839.89732940143</v>
      </c>
      <c r="D222" s="149">
        <f t="shared" si="118"/>
        <v>125532.11007179113</v>
      </c>
      <c r="E222" s="149">
        <f t="shared" si="118"/>
        <v>164811.5231178395</v>
      </c>
      <c r="F222" s="149">
        <f t="shared" si="118"/>
        <v>150497.0402794595</v>
      </c>
      <c r="G222" s="149">
        <f t="shared" si="118"/>
        <v>98643.236391803395</v>
      </c>
      <c r="H222" s="149">
        <f t="shared" si="118"/>
        <v>128571.79313437299</v>
      </c>
      <c r="I222" s="149">
        <f t="shared" si="118"/>
        <v>149038.04157819369</v>
      </c>
      <c r="J222" s="149">
        <f t="shared" si="118"/>
        <v>132776.82876712328</v>
      </c>
      <c r="K222" s="149">
        <f t="shared" si="118"/>
        <v>149974.2315891473</v>
      </c>
      <c r="L222" s="197">
        <f t="shared" si="118"/>
        <v>0</v>
      </c>
      <c r="M222" s="197">
        <f t="shared" si="118"/>
        <v>0</v>
      </c>
      <c r="N222" s="10">
        <f t="shared" si="114"/>
        <v>1423202.0782692735</v>
      </c>
    </row>
    <row r="223" spans="1:16" x14ac:dyDescent="0.2">
      <c r="A223" s="118" t="s">
        <v>37</v>
      </c>
      <c r="B223" s="149">
        <f t="shared" ref="B223:M223" si="119">B211/B$214</f>
        <v>73275.035123857786</v>
      </c>
      <c r="C223" s="149">
        <f t="shared" si="119"/>
        <v>64120.218351773336</v>
      </c>
      <c r="D223" s="149">
        <f t="shared" si="119"/>
        <v>84897.93870408948</v>
      </c>
      <c r="E223" s="149">
        <f t="shared" si="119"/>
        <v>71825.495090016353</v>
      </c>
      <c r="F223" s="149">
        <f t="shared" si="119"/>
        <v>81693.024947942598</v>
      </c>
      <c r="G223" s="149">
        <f t="shared" si="119"/>
        <v>73777.254116913289</v>
      </c>
      <c r="H223" s="149">
        <f t="shared" si="119"/>
        <v>88554.640027900939</v>
      </c>
      <c r="I223" s="149">
        <f t="shared" si="119"/>
        <v>78392.201866574484</v>
      </c>
      <c r="J223" s="149">
        <f t="shared" si="119"/>
        <v>77797.713307240701</v>
      </c>
      <c r="K223" s="149">
        <f t="shared" si="119"/>
        <v>71096.576550387603</v>
      </c>
      <c r="L223" s="197">
        <f t="shared" si="119"/>
        <v>0</v>
      </c>
      <c r="M223" s="197">
        <f t="shared" si="119"/>
        <v>0</v>
      </c>
      <c r="N223" s="10">
        <f t="shared" si="114"/>
        <v>765430.09808669658</v>
      </c>
    </row>
    <row r="224" spans="1:16" x14ac:dyDescent="0.2">
      <c r="A224" s="120" t="s">
        <v>36</v>
      </c>
      <c r="B224" s="148">
        <f t="shared" ref="B224:N224" si="120">SUM(B217:B223)</f>
        <v>656686.33391432976</v>
      </c>
      <c r="C224" s="148">
        <f t="shared" si="120"/>
        <v>654297.20402298647</v>
      </c>
      <c r="D224" s="148">
        <f t="shared" si="120"/>
        <v>661803.89359921566</v>
      </c>
      <c r="E224" s="148">
        <f t="shared" si="120"/>
        <v>701506.51084288058</v>
      </c>
      <c r="F224" s="148">
        <f t="shared" si="120"/>
        <v>652109.92394571437</v>
      </c>
      <c r="G224" s="148">
        <f t="shared" si="120"/>
        <v>542759.78552818217</v>
      </c>
      <c r="H224" s="148">
        <f t="shared" si="120"/>
        <v>615808.60246126249</v>
      </c>
      <c r="I224" s="148">
        <f t="shared" si="120"/>
        <v>554032.73122314946</v>
      </c>
      <c r="J224" s="148">
        <f t="shared" si="120"/>
        <v>547045.11252446182</v>
      </c>
      <c r="K224" s="148">
        <f t="shared" si="120"/>
        <v>643269.0494186047</v>
      </c>
      <c r="L224" s="148">
        <f t="shared" si="120"/>
        <v>0</v>
      </c>
      <c r="M224" s="148">
        <f t="shared" si="120"/>
        <v>0</v>
      </c>
      <c r="N224" s="148">
        <f t="shared" si="120"/>
        <v>6229319.1474807877</v>
      </c>
    </row>
    <row r="226" spans="1:15" ht="25.5" x14ac:dyDescent="0.2">
      <c r="A226" s="124" t="s">
        <v>171</v>
      </c>
      <c r="B226" s="117" t="s">
        <v>5</v>
      </c>
      <c r="C226" s="117" t="s">
        <v>6</v>
      </c>
      <c r="D226" s="117" t="s">
        <v>7</v>
      </c>
      <c r="E226" s="117" t="s">
        <v>8</v>
      </c>
      <c r="F226" s="117" t="s">
        <v>9</v>
      </c>
      <c r="G226" s="117" t="s">
        <v>10</v>
      </c>
      <c r="H226" s="117" t="s">
        <v>11</v>
      </c>
      <c r="I226" s="117" t="s">
        <v>12</v>
      </c>
      <c r="J226" s="117" t="s">
        <v>13</v>
      </c>
      <c r="K226" s="117" t="s">
        <v>14</v>
      </c>
      <c r="L226" s="117" t="s">
        <v>15</v>
      </c>
      <c r="M226" s="117" t="s">
        <v>16</v>
      </c>
      <c r="N226" s="185" t="s">
        <v>173</v>
      </c>
    </row>
    <row r="227" spans="1:15" x14ac:dyDescent="0.2">
      <c r="A227" s="179" t="s">
        <v>100</v>
      </c>
      <c r="B227" s="150">
        <f t="shared" ref="B227:K227" si="121">IF(B217=0,0,B194/B217)</f>
        <v>2.1111249399174818</v>
      </c>
      <c r="C227" s="150">
        <f t="shared" si="121"/>
        <v>1.735253525800488</v>
      </c>
      <c r="D227" s="150">
        <f t="shared" si="121"/>
        <v>1.7892250616452827</v>
      </c>
      <c r="E227" s="150">
        <f t="shared" si="121"/>
        <v>1.9510770195768974</v>
      </c>
      <c r="F227" s="150">
        <f t="shared" si="121"/>
        <v>1.7170332370643995</v>
      </c>
      <c r="G227" s="150">
        <f t="shared" si="121"/>
        <v>1.801468256341392</v>
      </c>
      <c r="H227" s="150">
        <f t="shared" si="121"/>
        <v>1.6962236484116289</v>
      </c>
      <c r="I227" s="150">
        <f t="shared" si="121"/>
        <v>2.0275631500953577</v>
      </c>
      <c r="J227" s="150">
        <f t="shared" si="121"/>
        <v>1.6732835159624289</v>
      </c>
      <c r="K227" s="150">
        <f t="shared" si="121"/>
        <v>1.9174240499380251</v>
      </c>
      <c r="L227" s="198">
        <f>IF(L217=0,0,L194/L217)</f>
        <v>0</v>
      </c>
      <c r="M227" s="198">
        <f t="shared" ref="M227:M233" si="122">IF(M217=0,0,M194/M217)</f>
        <v>0</v>
      </c>
      <c r="N227" s="152">
        <f>AVERAGEIF(B227:M227,"&gt;0")</f>
        <v>1.8419676404753378</v>
      </c>
      <c r="O227" s="150"/>
    </row>
    <row r="228" spans="1:15" x14ac:dyDescent="0.2">
      <c r="A228" s="118" t="s">
        <v>152</v>
      </c>
      <c r="B228" s="150">
        <f t="shared" ref="B228:L228" si="123">IF(B218=0,0,B195/B218)</f>
        <v>1.6119596790444186</v>
      </c>
      <c r="C228" s="150">
        <f t="shared" si="123"/>
        <v>1.3332454446727358</v>
      </c>
      <c r="D228" s="150">
        <f t="shared" si="123"/>
        <v>1.2937697476614869</v>
      </c>
      <c r="E228" s="150">
        <f t="shared" si="123"/>
        <v>0.784195086175284</v>
      </c>
      <c r="F228" s="150">
        <f t="shared" si="123"/>
        <v>0.77910540750941815</v>
      </c>
      <c r="G228" s="150">
        <f t="shared" si="123"/>
        <v>1.5579683918620859</v>
      </c>
      <c r="H228" s="150">
        <f t="shared" si="123"/>
        <v>1.5305874578034415</v>
      </c>
      <c r="I228" s="150">
        <f t="shared" si="123"/>
        <v>3.3978420641492284</v>
      </c>
      <c r="J228" s="150">
        <f t="shared" si="123"/>
        <v>8.5643153618874237</v>
      </c>
      <c r="K228" s="150">
        <f t="shared" si="123"/>
        <v>3.3296561656190677</v>
      </c>
      <c r="L228" s="198">
        <f t="shared" si="123"/>
        <v>0</v>
      </c>
      <c r="M228" s="198">
        <f t="shared" si="122"/>
        <v>0</v>
      </c>
      <c r="N228" s="152">
        <f t="shared" ref="N228:N233" si="124">AVERAGEIF(B228:M228,"&gt;0")</f>
        <v>2.418264480638459</v>
      </c>
    </row>
    <row r="229" spans="1:15" x14ac:dyDescent="0.2">
      <c r="A229" s="118" t="s">
        <v>161</v>
      </c>
      <c r="B229" s="150">
        <f t="shared" ref="B229:L229" si="125">IF(B219=0,0,B196/B219)</f>
        <v>1.695946712916534</v>
      </c>
      <c r="C229" s="150">
        <f t="shared" si="125"/>
        <v>1.5875195158016364</v>
      </c>
      <c r="D229" s="150">
        <f t="shared" si="125"/>
        <v>2.1580144985637109</v>
      </c>
      <c r="E229" s="150">
        <f t="shared" si="125"/>
        <v>1.6824006543073466</v>
      </c>
      <c r="F229" s="150">
        <f t="shared" si="125"/>
        <v>1.5706866128918477</v>
      </c>
      <c r="G229" s="150">
        <f t="shared" si="125"/>
        <v>1.7465386024048093</v>
      </c>
      <c r="H229" s="150">
        <f t="shared" si="125"/>
        <v>1.7297492477645062</v>
      </c>
      <c r="I229" s="150">
        <f t="shared" si="125"/>
        <v>1.893961630728606</v>
      </c>
      <c r="J229" s="150">
        <f t="shared" si="125"/>
        <v>1.5189586491722817</v>
      </c>
      <c r="K229" s="150">
        <f t="shared" si="125"/>
        <v>1.6494847711955916</v>
      </c>
      <c r="L229" s="198">
        <f t="shared" si="125"/>
        <v>0</v>
      </c>
      <c r="M229" s="198">
        <f t="shared" si="122"/>
        <v>0</v>
      </c>
      <c r="N229" s="152">
        <f t="shared" si="124"/>
        <v>1.7233260895746869</v>
      </c>
    </row>
    <row r="230" spans="1:15" x14ac:dyDescent="0.2">
      <c r="A230" s="118" t="s">
        <v>101</v>
      </c>
      <c r="B230" s="150">
        <f t="shared" ref="B230:L230" si="126">IF(B220=0,0,B197/B220)</f>
        <v>1.0965133332458914</v>
      </c>
      <c r="C230" s="150">
        <f t="shared" si="126"/>
        <v>1.1690011701756549</v>
      </c>
      <c r="D230" s="150">
        <f t="shared" si="126"/>
        <v>1.0822021652094964</v>
      </c>
      <c r="E230" s="150">
        <f t="shared" si="126"/>
        <v>0.83337542312368473</v>
      </c>
      <c r="F230" s="150">
        <f t="shared" si="126"/>
        <v>1.1178080194612328</v>
      </c>
      <c r="G230" s="150">
        <f t="shared" si="126"/>
        <v>1.2174746099152332</v>
      </c>
      <c r="H230" s="150">
        <f t="shared" si="126"/>
        <v>0.90014285118835158</v>
      </c>
      <c r="I230" s="150">
        <f t="shared" si="126"/>
        <v>1.2771025285523758</v>
      </c>
      <c r="J230" s="150">
        <f t="shared" si="126"/>
        <v>1.1977987704047175</v>
      </c>
      <c r="K230" s="150">
        <f t="shared" si="126"/>
        <v>1.4736687244988758</v>
      </c>
      <c r="L230" s="198">
        <f t="shared" si="126"/>
        <v>0</v>
      </c>
      <c r="M230" s="198">
        <f t="shared" si="122"/>
        <v>0</v>
      </c>
      <c r="N230" s="152">
        <f t="shared" si="124"/>
        <v>1.1365087595775514</v>
      </c>
    </row>
    <row r="231" spans="1:15" x14ac:dyDescent="0.2">
      <c r="A231" s="118" t="s">
        <v>39</v>
      </c>
      <c r="B231" s="150">
        <f t="shared" ref="B231:L231" si="127">IF(B221=0,0,B198/B221)</f>
        <v>2.1041349993050074</v>
      </c>
      <c r="C231" s="150">
        <f t="shared" si="127"/>
        <v>2.2711162685227375</v>
      </c>
      <c r="D231" s="150">
        <f t="shared" si="127"/>
        <v>1.582928014166719</v>
      </c>
      <c r="E231" s="150">
        <f t="shared" si="127"/>
        <v>1.6259547007583366</v>
      </c>
      <c r="F231" s="150">
        <f t="shared" si="127"/>
        <v>2.31197002851055</v>
      </c>
      <c r="G231" s="150">
        <f t="shared" si="127"/>
        <v>3.4826793363358668</v>
      </c>
      <c r="H231" s="150">
        <f t="shared" si="127"/>
        <v>1.6476982634018327</v>
      </c>
      <c r="I231" s="150">
        <f t="shared" si="127"/>
        <v>2.2464751036647344</v>
      </c>
      <c r="J231" s="150">
        <f t="shared" si="127"/>
        <v>1.3751489938081682</v>
      </c>
      <c r="K231" s="150">
        <f t="shared" si="127"/>
        <v>1.5057810700312535</v>
      </c>
      <c r="L231" s="198">
        <f t="shared" si="127"/>
        <v>0</v>
      </c>
      <c r="M231" s="198">
        <f t="shared" si="122"/>
        <v>0</v>
      </c>
      <c r="N231" s="152">
        <f t="shared" si="124"/>
        <v>2.0153886778505208</v>
      </c>
    </row>
    <row r="232" spans="1:15" x14ac:dyDescent="0.2">
      <c r="A232" s="118" t="s">
        <v>102</v>
      </c>
      <c r="B232" s="150">
        <f t="shared" ref="B232:L232" si="128">IF(B222=0,0,B199/B222)</f>
        <v>1.6670200217744826</v>
      </c>
      <c r="C232" s="150">
        <f t="shared" si="128"/>
        <v>1.8692739847417523</v>
      </c>
      <c r="D232" s="150">
        <f t="shared" si="128"/>
        <v>1.8725647156378273</v>
      </c>
      <c r="E232" s="150">
        <f t="shared" si="128"/>
        <v>1.7926780507255655</v>
      </c>
      <c r="F232" s="150">
        <f t="shared" si="128"/>
        <v>1.8449665155168937</v>
      </c>
      <c r="G232" s="150">
        <f t="shared" si="128"/>
        <v>2.5158947443113475</v>
      </c>
      <c r="H232" s="150">
        <f t="shared" si="128"/>
        <v>1.693015199473064</v>
      </c>
      <c r="I232" s="150">
        <f t="shared" si="128"/>
        <v>1.3693416649797168</v>
      </c>
      <c r="J232" s="150">
        <f t="shared" si="128"/>
        <v>1.6939552035429519</v>
      </c>
      <c r="K232" s="150">
        <f t="shared" si="128"/>
        <v>1.9480279839029451</v>
      </c>
      <c r="L232" s="198">
        <f t="shared" si="128"/>
        <v>0</v>
      </c>
      <c r="M232" s="198">
        <f t="shared" si="122"/>
        <v>0</v>
      </c>
      <c r="N232" s="152">
        <f t="shared" si="124"/>
        <v>1.8266738084606549</v>
      </c>
    </row>
    <row r="233" spans="1:15" x14ac:dyDescent="0.2">
      <c r="A233" s="118" t="s">
        <v>37</v>
      </c>
      <c r="B233" s="150">
        <f t="shared" ref="B233:N234" si="129">IF(B223=0,0,B200/B223)</f>
        <v>1.8147790686858831</v>
      </c>
      <c r="C233" s="150">
        <f t="shared" si="129"/>
        <v>1.4135011129058856</v>
      </c>
      <c r="D233" s="150">
        <f t="shared" si="129"/>
        <v>0.94055287111645303</v>
      </c>
      <c r="E233" s="150">
        <f t="shared" si="129"/>
        <v>1.5048416981259878</v>
      </c>
      <c r="F233" s="150">
        <f t="shared" si="129"/>
        <v>1.4156165728187116</v>
      </c>
      <c r="G233" s="150">
        <f t="shared" si="129"/>
        <v>1.3763862753563876</v>
      </c>
      <c r="H233" s="150">
        <f t="shared" si="129"/>
        <v>1.2026247293924479</v>
      </c>
      <c r="I233" s="150">
        <f t="shared" si="129"/>
        <v>1.3252338565106261</v>
      </c>
      <c r="J233" s="150">
        <f t="shared" si="129"/>
        <v>1.1822455454026786</v>
      </c>
      <c r="K233" s="150">
        <f t="shared" si="129"/>
        <v>1.3673794817827976</v>
      </c>
      <c r="L233" s="198">
        <f t="shared" si="129"/>
        <v>0</v>
      </c>
      <c r="M233" s="198">
        <f t="shared" si="122"/>
        <v>0</v>
      </c>
      <c r="N233" s="152">
        <f t="shared" si="124"/>
        <v>1.3543161212097861</v>
      </c>
    </row>
    <row r="234" spans="1:15" x14ac:dyDescent="0.2">
      <c r="A234" s="120" t="s">
        <v>36</v>
      </c>
      <c r="B234" s="151">
        <f t="shared" si="129"/>
        <v>1.7492856797441161</v>
      </c>
      <c r="C234" s="151">
        <f t="shared" si="129"/>
        <v>1.6495699406382947</v>
      </c>
      <c r="D234" s="151">
        <f t="shared" si="129"/>
        <v>1.705499183242245</v>
      </c>
      <c r="E234" s="151">
        <f t="shared" si="129"/>
        <v>1.6239535662059659</v>
      </c>
      <c r="F234" s="151">
        <f t="shared" si="129"/>
        <v>1.6269327624713761</v>
      </c>
      <c r="G234" s="151">
        <f t="shared" si="129"/>
        <v>1.8473513085061415</v>
      </c>
      <c r="H234" s="151">
        <f t="shared" si="129"/>
        <v>1.5651681320262665</v>
      </c>
      <c r="I234" s="151">
        <f t="shared" si="129"/>
        <v>1.7025492301105167</v>
      </c>
      <c r="J234" s="151">
        <f t="shared" si="129"/>
        <v>1.5745721518743723</v>
      </c>
      <c r="K234" s="151">
        <f t="shared" si="129"/>
        <v>1.7615848314545479</v>
      </c>
      <c r="L234" s="151">
        <f>AVERAGE(L227:L233)</f>
        <v>0</v>
      </c>
      <c r="M234" s="151">
        <f>AVERAGE(M227:M233)</f>
        <v>0</v>
      </c>
      <c r="N234" s="151">
        <f t="shared" si="129"/>
        <v>1.9941927369420132</v>
      </c>
    </row>
    <row r="237" spans="1:15" x14ac:dyDescent="0.2">
      <c r="A237" s="187" t="s">
        <v>172</v>
      </c>
      <c r="B237" s="157">
        <v>26</v>
      </c>
      <c r="C237" s="157">
        <v>23</v>
      </c>
      <c r="D237" s="157">
        <v>25</v>
      </c>
      <c r="E237" s="157">
        <v>24</v>
      </c>
      <c r="F237" s="157">
        <v>26</v>
      </c>
      <c r="G237" s="157">
        <v>25</v>
      </c>
      <c r="H237" s="157">
        <v>27</v>
      </c>
      <c r="I237" s="157">
        <v>27</v>
      </c>
      <c r="J237" s="157">
        <v>24</v>
      </c>
      <c r="K237" s="157">
        <v>27</v>
      </c>
      <c r="L237" s="157">
        <v>24</v>
      </c>
      <c r="M237" s="157">
        <v>24</v>
      </c>
    </row>
    <row r="240" spans="1:15" x14ac:dyDescent="0.2">
      <c r="A240" s="124" t="s">
        <v>175</v>
      </c>
      <c r="B240" s="117" t="s">
        <v>5</v>
      </c>
      <c r="C240" s="117" t="s">
        <v>6</v>
      </c>
      <c r="D240" s="117" t="s">
        <v>7</v>
      </c>
      <c r="E240" s="117" t="s">
        <v>8</v>
      </c>
      <c r="F240" s="117" t="s">
        <v>9</v>
      </c>
      <c r="G240" s="117" t="s">
        <v>10</v>
      </c>
      <c r="H240" s="117" t="s">
        <v>11</v>
      </c>
      <c r="I240" s="117" t="s">
        <v>12</v>
      </c>
      <c r="J240" s="117" t="s">
        <v>13</v>
      </c>
      <c r="K240" s="117" t="s">
        <v>14</v>
      </c>
      <c r="L240" s="117" t="s">
        <v>15</v>
      </c>
      <c r="M240" s="117" t="s">
        <v>16</v>
      </c>
      <c r="N240" s="185" t="s">
        <v>20</v>
      </c>
    </row>
    <row r="241" spans="1:14" x14ac:dyDescent="0.2">
      <c r="A241" s="179" t="s">
        <v>100</v>
      </c>
      <c r="B241" s="150"/>
      <c r="C241" s="150"/>
      <c r="D241" s="150"/>
      <c r="E241" s="150"/>
      <c r="F241" s="149">
        <v>221</v>
      </c>
      <c r="G241" s="149">
        <v>170</v>
      </c>
      <c r="H241" s="149">
        <v>68</v>
      </c>
      <c r="I241" s="149">
        <v>50</v>
      </c>
      <c r="J241" s="149">
        <v>30</v>
      </c>
      <c r="K241" s="149">
        <v>28</v>
      </c>
      <c r="L241" s="197">
        <f t="shared" ref="L241:L247" si="130">IF(L231=0,0,L208/L231)</f>
        <v>0</v>
      </c>
      <c r="M241" s="197">
        <f t="shared" ref="M241:M247" si="131">IF(M231=0,0,M208/M231)</f>
        <v>0</v>
      </c>
      <c r="N241" s="10">
        <f>SUM(B241:M241)</f>
        <v>567</v>
      </c>
    </row>
    <row r="242" spans="1:14" x14ac:dyDescent="0.2">
      <c r="A242" s="118" t="s">
        <v>152</v>
      </c>
      <c r="B242" s="149"/>
      <c r="C242" s="149"/>
      <c r="D242" s="149"/>
      <c r="E242" s="149"/>
      <c r="F242" s="149"/>
      <c r="G242" s="149"/>
      <c r="H242" s="149"/>
      <c r="I242" s="149"/>
      <c r="J242" s="149"/>
      <c r="K242" s="149"/>
      <c r="L242" s="197">
        <f t="shared" si="130"/>
        <v>0</v>
      </c>
      <c r="M242" s="197">
        <f t="shared" si="131"/>
        <v>0</v>
      </c>
      <c r="N242" s="10">
        <f t="shared" ref="N242:N247" si="132">SUM(B242:M242)</f>
        <v>0</v>
      </c>
    </row>
    <row r="243" spans="1:14" x14ac:dyDescent="0.2">
      <c r="A243" s="118" t="s">
        <v>161</v>
      </c>
      <c r="B243" s="149"/>
      <c r="C243" s="149"/>
      <c r="D243" s="149"/>
      <c r="E243" s="149"/>
      <c r="F243" s="149"/>
      <c r="G243" s="149"/>
      <c r="H243" s="149">
        <v>1</v>
      </c>
      <c r="I243" s="149"/>
      <c r="J243" s="149"/>
      <c r="K243" s="149"/>
      <c r="L243" s="197">
        <f t="shared" si="130"/>
        <v>0</v>
      </c>
      <c r="M243" s="197">
        <f t="shared" si="131"/>
        <v>0</v>
      </c>
      <c r="N243" s="10">
        <f t="shared" si="132"/>
        <v>1</v>
      </c>
    </row>
    <row r="244" spans="1:14" x14ac:dyDescent="0.2">
      <c r="A244" s="118" t="s">
        <v>101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97">
        <f t="shared" si="130"/>
        <v>0</v>
      </c>
      <c r="M244" s="197">
        <f t="shared" si="131"/>
        <v>0</v>
      </c>
      <c r="N244" s="10">
        <f t="shared" si="132"/>
        <v>0</v>
      </c>
    </row>
    <row r="245" spans="1:14" x14ac:dyDescent="0.2">
      <c r="A245" s="118" t="s">
        <v>39</v>
      </c>
      <c r="B245" s="149"/>
      <c r="C245" s="149"/>
      <c r="D245" s="149"/>
      <c r="E245" s="149"/>
      <c r="F245" s="149"/>
      <c r="G245" s="149"/>
      <c r="H245" s="149"/>
      <c r="I245" s="149"/>
      <c r="J245" s="149"/>
      <c r="K245" s="149"/>
      <c r="L245" s="197">
        <f t="shared" si="130"/>
        <v>0</v>
      </c>
      <c r="M245" s="197">
        <f t="shared" si="131"/>
        <v>0</v>
      </c>
      <c r="N245" s="10">
        <f t="shared" si="132"/>
        <v>0</v>
      </c>
    </row>
    <row r="246" spans="1:14" x14ac:dyDescent="0.2">
      <c r="A246" s="118" t="s">
        <v>102</v>
      </c>
      <c r="B246" s="149"/>
      <c r="C246" s="149"/>
      <c r="D246" s="149"/>
      <c r="E246" s="149"/>
      <c r="F246" s="149"/>
      <c r="G246" s="149"/>
      <c r="H246" s="149"/>
      <c r="I246" s="149"/>
      <c r="J246" s="149"/>
      <c r="K246" s="149">
        <v>50</v>
      </c>
      <c r="L246" s="197">
        <f t="shared" si="130"/>
        <v>0</v>
      </c>
      <c r="M246" s="197">
        <f t="shared" si="131"/>
        <v>0</v>
      </c>
      <c r="N246" s="10">
        <f t="shared" si="132"/>
        <v>50</v>
      </c>
    </row>
    <row r="247" spans="1:14" x14ac:dyDescent="0.2">
      <c r="A247" s="118" t="s">
        <v>37</v>
      </c>
      <c r="B247" s="149"/>
      <c r="C247" s="149"/>
      <c r="D247" s="149"/>
      <c r="E247" s="149"/>
      <c r="F247" s="149"/>
      <c r="G247" s="149"/>
      <c r="H247" s="149"/>
      <c r="I247" s="149"/>
      <c r="J247" s="149"/>
      <c r="K247" s="149"/>
      <c r="L247" s="197">
        <f t="shared" si="130"/>
        <v>0.43375000000000002</v>
      </c>
      <c r="M247" s="197">
        <f t="shared" si="131"/>
        <v>0.4375</v>
      </c>
      <c r="N247" s="10">
        <f t="shared" si="132"/>
        <v>0.87125000000000008</v>
      </c>
    </row>
    <row r="248" spans="1:14" x14ac:dyDescent="0.2">
      <c r="A248" s="120" t="s">
        <v>36</v>
      </c>
      <c r="B248" s="190">
        <f>SUM(B241:B247)</f>
        <v>0</v>
      </c>
      <c r="C248" s="190">
        <f t="shared" ref="C248:N248" si="133">SUM(C241:C247)</f>
        <v>0</v>
      </c>
      <c r="D248" s="190">
        <f t="shared" si="133"/>
        <v>0</v>
      </c>
      <c r="E248" s="190">
        <f t="shared" si="133"/>
        <v>0</v>
      </c>
      <c r="F248" s="190">
        <f t="shared" si="133"/>
        <v>221</v>
      </c>
      <c r="G248" s="190">
        <f t="shared" si="133"/>
        <v>170</v>
      </c>
      <c r="H248" s="190">
        <f t="shared" si="133"/>
        <v>69</v>
      </c>
      <c r="I248" s="190">
        <f t="shared" si="133"/>
        <v>50</v>
      </c>
      <c r="J248" s="190">
        <f t="shared" si="133"/>
        <v>30</v>
      </c>
      <c r="K248" s="190">
        <f t="shared" si="133"/>
        <v>78</v>
      </c>
      <c r="L248" s="190">
        <f t="shared" si="133"/>
        <v>0.43375000000000002</v>
      </c>
      <c r="M248" s="190">
        <f t="shared" si="133"/>
        <v>0.4375</v>
      </c>
      <c r="N248" s="190">
        <f t="shared" si="133"/>
        <v>618.87125000000003</v>
      </c>
    </row>
    <row r="249" spans="1:14" s="144" customFormat="1" x14ac:dyDescent="0.2">
      <c r="A249" s="188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</row>
    <row r="250" spans="1:14" s="144" customFormat="1" x14ac:dyDescent="0.2">
      <c r="A250" s="188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</row>
    <row r="251" spans="1:14" x14ac:dyDescent="0.2">
      <c r="A251" s="124" t="s">
        <v>174</v>
      </c>
      <c r="B251" s="117" t="s">
        <v>5</v>
      </c>
      <c r="C251" s="117" t="s">
        <v>6</v>
      </c>
      <c r="D251" s="117" t="s">
        <v>7</v>
      </c>
      <c r="E251" s="117" t="s">
        <v>8</v>
      </c>
      <c r="F251" s="117" t="s">
        <v>9</v>
      </c>
      <c r="G251" s="117" t="s">
        <v>10</v>
      </c>
      <c r="H251" s="117" t="s">
        <v>11</v>
      </c>
      <c r="I251" s="117" t="s">
        <v>12</v>
      </c>
      <c r="J251" s="117" t="s">
        <v>13</v>
      </c>
      <c r="K251" s="117" t="s">
        <v>14</v>
      </c>
      <c r="L251" s="117" t="s">
        <v>15</v>
      </c>
      <c r="M251" s="117" t="s">
        <v>16</v>
      </c>
      <c r="N251" s="117" t="s">
        <v>36</v>
      </c>
    </row>
    <row r="252" spans="1:14" x14ac:dyDescent="0.2">
      <c r="A252" s="179" t="s">
        <v>100</v>
      </c>
      <c r="B252" s="20">
        <f>B18+B241</f>
        <v>577</v>
      </c>
      <c r="C252" s="20">
        <f t="shared" ref="C252:M252" si="134">C18+C241</f>
        <v>548</v>
      </c>
      <c r="D252" s="20">
        <f t="shared" si="134"/>
        <v>541</v>
      </c>
      <c r="E252" s="20">
        <f t="shared" si="134"/>
        <v>477</v>
      </c>
      <c r="F252" s="20">
        <f t="shared" si="134"/>
        <v>726</v>
      </c>
      <c r="G252" s="20">
        <f t="shared" si="134"/>
        <v>600</v>
      </c>
      <c r="H252" s="20">
        <f t="shared" si="134"/>
        <v>575</v>
      </c>
      <c r="I252" s="20">
        <f t="shared" si="134"/>
        <v>565</v>
      </c>
      <c r="J252" s="20">
        <f t="shared" si="134"/>
        <v>484</v>
      </c>
      <c r="K252" s="20">
        <f t="shared" si="134"/>
        <v>621</v>
      </c>
      <c r="L252" s="192">
        <f t="shared" si="134"/>
        <v>527.11111111111109</v>
      </c>
      <c r="M252" s="192">
        <f t="shared" si="134"/>
        <v>527.11111111111109</v>
      </c>
      <c r="N252" s="20">
        <f>SUM(B252:M252)</f>
        <v>6768.2222222222226</v>
      </c>
    </row>
    <row r="253" spans="1:14" x14ac:dyDescent="0.2">
      <c r="A253" s="118" t="s">
        <v>152</v>
      </c>
      <c r="B253" s="20">
        <f t="shared" ref="B253:M253" si="135">B19+B242</f>
        <v>128</v>
      </c>
      <c r="C253" s="20">
        <f t="shared" si="135"/>
        <v>93</v>
      </c>
      <c r="D253" s="20">
        <f t="shared" si="135"/>
        <v>72</v>
      </c>
      <c r="E253" s="20">
        <f t="shared" si="135"/>
        <v>49</v>
      </c>
      <c r="F253" s="20">
        <f t="shared" si="135"/>
        <v>39</v>
      </c>
      <c r="G253" s="20">
        <f t="shared" si="135"/>
        <v>57</v>
      </c>
      <c r="H253" s="20">
        <f t="shared" si="135"/>
        <v>77</v>
      </c>
      <c r="I253" s="20">
        <f t="shared" si="135"/>
        <v>77</v>
      </c>
      <c r="J253" s="20">
        <f t="shared" si="135"/>
        <v>104</v>
      </c>
      <c r="K253" s="20">
        <f t="shared" si="135"/>
        <v>124</v>
      </c>
      <c r="L253" s="192">
        <f t="shared" si="135"/>
        <v>110.22222222222221</v>
      </c>
      <c r="M253" s="192">
        <f t="shared" si="135"/>
        <v>110.22222222222221</v>
      </c>
      <c r="N253" s="20">
        <f>SUM(B253:M253)</f>
        <v>1040.4444444444443</v>
      </c>
    </row>
    <row r="254" spans="1:14" x14ac:dyDescent="0.2">
      <c r="A254" s="118" t="s">
        <v>161</v>
      </c>
      <c r="B254" s="20">
        <f t="shared" ref="B254:M254" si="136">B20+B243</f>
        <v>874</v>
      </c>
      <c r="C254" s="20">
        <f t="shared" si="136"/>
        <v>881</v>
      </c>
      <c r="D254" s="20">
        <f t="shared" si="136"/>
        <v>921</v>
      </c>
      <c r="E254" s="20">
        <f t="shared" si="136"/>
        <v>908</v>
      </c>
      <c r="F254" s="20">
        <f t="shared" si="136"/>
        <v>982</v>
      </c>
      <c r="G254" s="20">
        <f t="shared" si="136"/>
        <v>951</v>
      </c>
      <c r="H254" s="20">
        <f t="shared" si="136"/>
        <v>1085</v>
      </c>
      <c r="I254" s="20">
        <f t="shared" si="136"/>
        <v>1091</v>
      </c>
      <c r="J254" s="20">
        <f t="shared" si="136"/>
        <v>778</v>
      </c>
      <c r="K254" s="20">
        <f t="shared" si="136"/>
        <v>928</v>
      </c>
      <c r="L254" s="192">
        <f t="shared" si="136"/>
        <v>824.88888888888891</v>
      </c>
      <c r="M254" s="192">
        <f t="shared" si="136"/>
        <v>824.88888888888891</v>
      </c>
      <c r="N254" s="20">
        <f t="shared" ref="N254:N259" si="137">SUM(B254:M254)</f>
        <v>11048.777777777777</v>
      </c>
    </row>
    <row r="255" spans="1:14" x14ac:dyDescent="0.2">
      <c r="A255" s="118" t="s">
        <v>101</v>
      </c>
      <c r="B255" s="20">
        <f t="shared" ref="B255:M255" si="138">B21+B244</f>
        <v>124</v>
      </c>
      <c r="C255" s="20">
        <f t="shared" si="138"/>
        <v>131</v>
      </c>
      <c r="D255" s="20">
        <f t="shared" si="138"/>
        <v>182</v>
      </c>
      <c r="E255" s="20">
        <f t="shared" si="138"/>
        <v>136</v>
      </c>
      <c r="F255" s="20">
        <f t="shared" si="138"/>
        <v>95</v>
      </c>
      <c r="G255" s="20">
        <f t="shared" si="138"/>
        <v>119</v>
      </c>
      <c r="H255" s="20">
        <f t="shared" si="138"/>
        <v>98</v>
      </c>
      <c r="I255" s="20">
        <f t="shared" si="138"/>
        <v>108</v>
      </c>
      <c r="J255" s="20">
        <f t="shared" si="138"/>
        <v>80</v>
      </c>
      <c r="K255" s="20">
        <f t="shared" si="138"/>
        <v>163</v>
      </c>
      <c r="L255" s="192">
        <f t="shared" si="138"/>
        <v>144.88888888888889</v>
      </c>
      <c r="M255" s="192">
        <f t="shared" si="138"/>
        <v>144.88888888888889</v>
      </c>
      <c r="N255" s="20">
        <f t="shared" si="137"/>
        <v>1525.7777777777778</v>
      </c>
    </row>
    <row r="256" spans="1:14" x14ac:dyDescent="0.2">
      <c r="A256" s="118" t="s">
        <v>39</v>
      </c>
      <c r="B256" s="20">
        <f t="shared" ref="B256:M256" si="139">B22+B245</f>
        <v>206</v>
      </c>
      <c r="C256" s="20">
        <f t="shared" si="139"/>
        <v>195</v>
      </c>
      <c r="D256" s="20">
        <f t="shared" si="139"/>
        <v>133</v>
      </c>
      <c r="E256" s="20">
        <f t="shared" si="139"/>
        <v>166</v>
      </c>
      <c r="F256" s="20">
        <f t="shared" si="139"/>
        <v>148</v>
      </c>
      <c r="G256" s="20">
        <f t="shared" si="139"/>
        <v>186</v>
      </c>
      <c r="H256" s="20">
        <f t="shared" si="139"/>
        <v>206</v>
      </c>
      <c r="I256" s="20">
        <f t="shared" si="139"/>
        <v>148</v>
      </c>
      <c r="J256" s="20">
        <f t="shared" si="139"/>
        <v>159</v>
      </c>
      <c r="K256" s="20">
        <f t="shared" si="139"/>
        <v>135</v>
      </c>
      <c r="L256" s="192">
        <f t="shared" si="139"/>
        <v>120</v>
      </c>
      <c r="M256" s="192">
        <f t="shared" si="139"/>
        <v>120</v>
      </c>
      <c r="N256" s="20">
        <f t="shared" si="137"/>
        <v>1922</v>
      </c>
    </row>
    <row r="257" spans="1:14" x14ac:dyDescent="0.2">
      <c r="A257" s="118" t="s">
        <v>102</v>
      </c>
      <c r="B257" s="20">
        <f>SUM(B23:B28)+B246</f>
        <v>811</v>
      </c>
      <c r="C257" s="20">
        <f t="shared" ref="C257:M257" si="140">SUM(C23:C28)+C246</f>
        <v>821</v>
      </c>
      <c r="D257" s="20">
        <f t="shared" si="140"/>
        <v>744</v>
      </c>
      <c r="E257" s="20">
        <f t="shared" si="140"/>
        <v>921</v>
      </c>
      <c r="F257" s="20">
        <f t="shared" si="140"/>
        <v>901</v>
      </c>
      <c r="G257" s="20">
        <f t="shared" si="140"/>
        <v>1000</v>
      </c>
      <c r="H257" s="20">
        <f t="shared" si="140"/>
        <v>961</v>
      </c>
      <c r="I257" s="20">
        <f t="shared" si="140"/>
        <v>933</v>
      </c>
      <c r="J257" s="20">
        <f t="shared" si="140"/>
        <v>1008</v>
      </c>
      <c r="K257" s="20">
        <f t="shared" si="140"/>
        <v>1351</v>
      </c>
      <c r="L257" s="192">
        <f t="shared" si="140"/>
        <v>1156.4444444444443</v>
      </c>
      <c r="M257" s="192">
        <f t="shared" si="140"/>
        <v>1156.4444444444443</v>
      </c>
      <c r="N257" s="20">
        <f t="shared" si="137"/>
        <v>11763.888888888891</v>
      </c>
    </row>
    <row r="258" spans="1:14" x14ac:dyDescent="0.2">
      <c r="A258" s="118" t="s">
        <v>37</v>
      </c>
      <c r="B258" s="20">
        <f>B29+B247</f>
        <v>287</v>
      </c>
      <c r="C258" s="20">
        <f t="shared" ref="C258:M258" si="141">C29+C247</f>
        <v>294</v>
      </c>
      <c r="D258" s="20">
        <f t="shared" si="141"/>
        <v>270</v>
      </c>
      <c r="E258" s="20">
        <f t="shared" si="141"/>
        <v>391</v>
      </c>
      <c r="F258" s="20">
        <f t="shared" si="141"/>
        <v>340</v>
      </c>
      <c r="G258" s="20">
        <f t="shared" si="141"/>
        <v>316</v>
      </c>
      <c r="H258" s="20">
        <f t="shared" si="141"/>
        <v>320</v>
      </c>
      <c r="I258" s="20">
        <f t="shared" si="141"/>
        <v>303</v>
      </c>
      <c r="J258" s="20">
        <f t="shared" si="141"/>
        <v>284</v>
      </c>
      <c r="K258" s="20">
        <f t="shared" si="141"/>
        <v>287</v>
      </c>
      <c r="L258" s="192">
        <f t="shared" si="141"/>
        <v>255.54486111111109</v>
      </c>
      <c r="M258" s="192">
        <f t="shared" si="141"/>
        <v>255.54861111111109</v>
      </c>
      <c r="N258" s="20">
        <f t="shared" si="137"/>
        <v>3603.0934722222219</v>
      </c>
    </row>
    <row r="259" spans="1:14" x14ac:dyDescent="0.2">
      <c r="A259" s="125" t="s">
        <v>107</v>
      </c>
      <c r="B259" s="121">
        <f t="shared" ref="B259:M259" si="142">SUM(B252:B258)</f>
        <v>3007</v>
      </c>
      <c r="C259" s="121">
        <f t="shared" si="142"/>
        <v>2963</v>
      </c>
      <c r="D259" s="121">
        <f t="shared" si="142"/>
        <v>2863</v>
      </c>
      <c r="E259" s="121">
        <f t="shared" si="142"/>
        <v>3048</v>
      </c>
      <c r="F259" s="121">
        <f t="shared" si="142"/>
        <v>3231</v>
      </c>
      <c r="G259" s="121">
        <f t="shared" si="142"/>
        <v>3229</v>
      </c>
      <c r="H259" s="121">
        <f t="shared" si="142"/>
        <v>3322</v>
      </c>
      <c r="I259" s="121">
        <f t="shared" si="142"/>
        <v>3225</v>
      </c>
      <c r="J259" s="121">
        <f t="shared" si="142"/>
        <v>2897</v>
      </c>
      <c r="K259" s="121">
        <f t="shared" si="142"/>
        <v>3609</v>
      </c>
      <c r="L259" s="121">
        <f t="shared" si="142"/>
        <v>3139.1004166666667</v>
      </c>
      <c r="M259" s="121">
        <f t="shared" si="142"/>
        <v>3139.104166666667</v>
      </c>
      <c r="N259" s="121">
        <f t="shared" si="137"/>
        <v>37672.204583333332</v>
      </c>
    </row>
    <row r="262" spans="1:14" x14ac:dyDescent="0.2">
      <c r="A262" s="124" t="s">
        <v>176</v>
      </c>
      <c r="B262" s="117" t="s">
        <v>5</v>
      </c>
      <c r="C262" s="117" t="s">
        <v>6</v>
      </c>
      <c r="D262" s="117" t="s">
        <v>7</v>
      </c>
      <c r="E262" s="117" t="s">
        <v>8</v>
      </c>
      <c r="F262" s="117" t="s">
        <v>9</v>
      </c>
      <c r="G262" s="117" t="s">
        <v>10</v>
      </c>
      <c r="H262" s="117" t="s">
        <v>11</v>
      </c>
      <c r="I262" s="117" t="s">
        <v>12</v>
      </c>
      <c r="J262" s="117" t="s">
        <v>13</v>
      </c>
      <c r="K262" s="117" t="s">
        <v>14</v>
      </c>
      <c r="L262" s="117" t="s">
        <v>15</v>
      </c>
      <c r="M262" s="117" t="s">
        <v>16</v>
      </c>
      <c r="N262" s="117" t="s">
        <v>36</v>
      </c>
    </row>
    <row r="263" spans="1:14" x14ac:dyDescent="0.2">
      <c r="A263" s="179" t="s">
        <v>100</v>
      </c>
      <c r="B263" s="20">
        <f t="shared" ref="B263:K263" si="143">B252/B$237</f>
        <v>22.192307692307693</v>
      </c>
      <c r="C263" s="20">
        <f t="shared" si="143"/>
        <v>23.826086956521738</v>
      </c>
      <c r="D263" s="20">
        <f t="shared" si="143"/>
        <v>21.64</v>
      </c>
      <c r="E263" s="20">
        <f t="shared" si="143"/>
        <v>19.875</v>
      </c>
      <c r="F263" s="20">
        <f t="shared" si="143"/>
        <v>27.923076923076923</v>
      </c>
      <c r="G263" s="20">
        <f t="shared" si="143"/>
        <v>24</v>
      </c>
      <c r="H263" s="20">
        <f t="shared" si="143"/>
        <v>21.296296296296298</v>
      </c>
      <c r="I263" s="20">
        <f t="shared" si="143"/>
        <v>20.925925925925927</v>
      </c>
      <c r="J263" s="20">
        <f t="shared" si="143"/>
        <v>20.166666666666668</v>
      </c>
      <c r="K263" s="20">
        <f t="shared" si="143"/>
        <v>23</v>
      </c>
      <c r="L263" s="192"/>
      <c r="M263" s="192"/>
      <c r="N263" s="20">
        <f>AVERAGEIF(B263:M263,"&gt;0")</f>
        <v>22.484536046079523</v>
      </c>
    </row>
    <row r="264" spans="1:14" x14ac:dyDescent="0.2">
      <c r="A264" s="118" t="s">
        <v>152</v>
      </c>
      <c r="B264" s="20">
        <f t="shared" ref="B264:K264" si="144">B253/B$237</f>
        <v>4.9230769230769234</v>
      </c>
      <c r="C264" s="20">
        <f t="shared" si="144"/>
        <v>4.0434782608695654</v>
      </c>
      <c r="D264" s="20">
        <f t="shared" si="144"/>
        <v>2.88</v>
      </c>
      <c r="E264" s="20">
        <f t="shared" si="144"/>
        <v>2.0416666666666665</v>
      </c>
      <c r="F264" s="20">
        <f t="shared" si="144"/>
        <v>1.5</v>
      </c>
      <c r="G264" s="20">
        <f t="shared" si="144"/>
        <v>2.2799999999999998</v>
      </c>
      <c r="H264" s="20">
        <f t="shared" si="144"/>
        <v>2.8518518518518516</v>
      </c>
      <c r="I264" s="20">
        <f t="shared" si="144"/>
        <v>2.8518518518518516</v>
      </c>
      <c r="J264" s="20">
        <f t="shared" si="144"/>
        <v>4.333333333333333</v>
      </c>
      <c r="K264" s="20">
        <f t="shared" si="144"/>
        <v>4.5925925925925926</v>
      </c>
      <c r="L264" s="192"/>
      <c r="M264" s="192"/>
      <c r="N264" s="20">
        <f t="shared" ref="N264:N269" si="145">AVERAGEIF(B264:M264,"&gt;0")</f>
        <v>3.2297851480242783</v>
      </c>
    </row>
    <row r="265" spans="1:14" x14ac:dyDescent="0.2">
      <c r="A265" s="118" t="s">
        <v>161</v>
      </c>
      <c r="B265" s="20">
        <f t="shared" ref="B265:K265" si="146">B254/B$237</f>
        <v>33.615384615384613</v>
      </c>
      <c r="C265" s="20">
        <f t="shared" si="146"/>
        <v>38.304347826086953</v>
      </c>
      <c r="D265" s="20">
        <f t="shared" si="146"/>
        <v>36.840000000000003</v>
      </c>
      <c r="E265" s="20">
        <f t="shared" si="146"/>
        <v>37.833333333333336</v>
      </c>
      <c r="F265" s="20">
        <f t="shared" si="146"/>
        <v>37.769230769230766</v>
      </c>
      <c r="G265" s="20">
        <f t="shared" si="146"/>
        <v>38.04</v>
      </c>
      <c r="H265" s="20">
        <f t="shared" si="146"/>
        <v>40.185185185185183</v>
      </c>
      <c r="I265" s="20">
        <f t="shared" si="146"/>
        <v>40.407407407407405</v>
      </c>
      <c r="J265" s="20">
        <f t="shared" si="146"/>
        <v>32.416666666666664</v>
      </c>
      <c r="K265" s="20">
        <f t="shared" si="146"/>
        <v>34.370370370370374</v>
      </c>
      <c r="L265" s="192"/>
      <c r="M265" s="192"/>
      <c r="N265" s="20">
        <f t="shared" si="145"/>
        <v>36.978192617366531</v>
      </c>
    </row>
    <row r="266" spans="1:14" x14ac:dyDescent="0.2">
      <c r="A266" s="118" t="s">
        <v>101</v>
      </c>
      <c r="B266" s="20">
        <f t="shared" ref="B266:K266" si="147">B255/B$237</f>
        <v>4.7692307692307692</v>
      </c>
      <c r="C266" s="20">
        <f t="shared" si="147"/>
        <v>5.6956521739130439</v>
      </c>
      <c r="D266" s="20">
        <f t="shared" si="147"/>
        <v>7.28</v>
      </c>
      <c r="E266" s="20">
        <f t="shared" si="147"/>
        <v>5.666666666666667</v>
      </c>
      <c r="F266" s="20">
        <f t="shared" si="147"/>
        <v>3.6538461538461537</v>
      </c>
      <c r="G266" s="20">
        <f t="shared" si="147"/>
        <v>4.76</v>
      </c>
      <c r="H266" s="20">
        <f t="shared" si="147"/>
        <v>3.6296296296296298</v>
      </c>
      <c r="I266" s="20">
        <f t="shared" si="147"/>
        <v>4</v>
      </c>
      <c r="J266" s="20">
        <f t="shared" si="147"/>
        <v>3.3333333333333335</v>
      </c>
      <c r="K266" s="20">
        <f t="shared" si="147"/>
        <v>6.0370370370370372</v>
      </c>
      <c r="L266" s="192"/>
      <c r="M266" s="192"/>
      <c r="N266" s="20">
        <f t="shared" si="145"/>
        <v>4.882539576365664</v>
      </c>
    </row>
    <row r="267" spans="1:14" x14ac:dyDescent="0.2">
      <c r="A267" s="118" t="s">
        <v>39</v>
      </c>
      <c r="B267" s="20">
        <f t="shared" ref="B267:K267" si="148">B256/B$237</f>
        <v>7.9230769230769234</v>
      </c>
      <c r="C267" s="20">
        <f t="shared" si="148"/>
        <v>8.4782608695652169</v>
      </c>
      <c r="D267" s="20">
        <f t="shared" si="148"/>
        <v>5.32</v>
      </c>
      <c r="E267" s="20">
        <f t="shared" si="148"/>
        <v>6.916666666666667</v>
      </c>
      <c r="F267" s="20">
        <f t="shared" si="148"/>
        <v>5.6923076923076925</v>
      </c>
      <c r="G267" s="20">
        <f t="shared" si="148"/>
        <v>7.44</v>
      </c>
      <c r="H267" s="20">
        <f t="shared" si="148"/>
        <v>7.6296296296296298</v>
      </c>
      <c r="I267" s="20">
        <f t="shared" si="148"/>
        <v>5.4814814814814818</v>
      </c>
      <c r="J267" s="20">
        <f t="shared" si="148"/>
        <v>6.625</v>
      </c>
      <c r="K267" s="20">
        <f t="shared" si="148"/>
        <v>5</v>
      </c>
      <c r="L267" s="192"/>
      <c r="M267" s="192"/>
      <c r="N267" s="20">
        <f t="shared" si="145"/>
        <v>6.6506423262727612</v>
      </c>
    </row>
    <row r="268" spans="1:14" x14ac:dyDescent="0.2">
      <c r="A268" s="118" t="s">
        <v>102</v>
      </c>
      <c r="B268" s="20">
        <f t="shared" ref="B268:K268" si="149">B257/B$237</f>
        <v>31.192307692307693</v>
      </c>
      <c r="C268" s="20">
        <f t="shared" si="149"/>
        <v>35.695652173913047</v>
      </c>
      <c r="D268" s="20">
        <f t="shared" si="149"/>
        <v>29.76</v>
      </c>
      <c r="E268" s="20">
        <f t="shared" si="149"/>
        <v>38.375</v>
      </c>
      <c r="F268" s="20">
        <f t="shared" si="149"/>
        <v>34.653846153846153</v>
      </c>
      <c r="G268" s="20">
        <f t="shared" si="149"/>
        <v>40</v>
      </c>
      <c r="H268" s="20">
        <f t="shared" si="149"/>
        <v>35.592592592592595</v>
      </c>
      <c r="I268" s="20">
        <f t="shared" si="149"/>
        <v>34.555555555555557</v>
      </c>
      <c r="J268" s="20">
        <f t="shared" si="149"/>
        <v>42</v>
      </c>
      <c r="K268" s="20">
        <f t="shared" si="149"/>
        <v>50.037037037037038</v>
      </c>
      <c r="L268" s="192"/>
      <c r="M268" s="192"/>
      <c r="N268" s="20">
        <f t="shared" si="145"/>
        <v>37.186199120525202</v>
      </c>
    </row>
    <row r="269" spans="1:14" x14ac:dyDescent="0.2">
      <c r="A269" s="118" t="s">
        <v>37</v>
      </c>
      <c r="B269" s="20">
        <f t="shared" ref="B269:K269" si="150">B258/B$237</f>
        <v>11.038461538461538</v>
      </c>
      <c r="C269" s="20">
        <f t="shared" si="150"/>
        <v>12.782608695652174</v>
      </c>
      <c r="D269" s="20">
        <f t="shared" si="150"/>
        <v>10.8</v>
      </c>
      <c r="E269" s="20">
        <f t="shared" si="150"/>
        <v>16.291666666666668</v>
      </c>
      <c r="F269" s="20">
        <f t="shared" si="150"/>
        <v>13.076923076923077</v>
      </c>
      <c r="G269" s="20">
        <f t="shared" si="150"/>
        <v>12.64</v>
      </c>
      <c r="H269" s="20">
        <f t="shared" si="150"/>
        <v>11.851851851851851</v>
      </c>
      <c r="I269" s="20">
        <f t="shared" si="150"/>
        <v>11.222222222222221</v>
      </c>
      <c r="J269" s="20">
        <f t="shared" si="150"/>
        <v>11.833333333333334</v>
      </c>
      <c r="K269" s="20">
        <f t="shared" si="150"/>
        <v>10.62962962962963</v>
      </c>
      <c r="L269" s="192"/>
      <c r="M269" s="192"/>
      <c r="N269" s="20">
        <f t="shared" si="145"/>
        <v>12.21666970147405</v>
      </c>
    </row>
    <row r="270" spans="1:14" x14ac:dyDescent="0.2">
      <c r="A270" s="125" t="s">
        <v>107</v>
      </c>
      <c r="B270" s="121">
        <f t="shared" ref="B270:M270" si="151">SUM(B263:B269)</f>
        <v>115.65384615384615</v>
      </c>
      <c r="C270" s="121">
        <f t="shared" si="151"/>
        <v>128.82608695652175</v>
      </c>
      <c r="D270" s="121">
        <f t="shared" si="151"/>
        <v>114.52000000000001</v>
      </c>
      <c r="E270" s="121">
        <f t="shared" si="151"/>
        <v>127.00000000000001</v>
      </c>
      <c r="F270" s="121">
        <f t="shared" si="151"/>
        <v>124.26923076923079</v>
      </c>
      <c r="G270" s="121">
        <f t="shared" si="151"/>
        <v>129.16</v>
      </c>
      <c r="H270" s="121">
        <f t="shared" si="151"/>
        <v>123.03703703703704</v>
      </c>
      <c r="I270" s="121">
        <f t="shared" si="151"/>
        <v>119.44444444444446</v>
      </c>
      <c r="J270" s="121">
        <f t="shared" si="151"/>
        <v>120.70833333333333</v>
      </c>
      <c r="K270" s="121">
        <f t="shared" si="151"/>
        <v>133.66666666666666</v>
      </c>
      <c r="L270" s="121">
        <f t="shared" si="151"/>
        <v>0</v>
      </c>
      <c r="M270" s="121">
        <f t="shared" si="151"/>
        <v>0</v>
      </c>
      <c r="N270" s="121">
        <f>AVERAGEIF(B270:M270,"&gt;0")</f>
        <v>123.62856453610803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21"/>
  <sheetViews>
    <sheetView zoomScale="95" zoomScaleNormal="95" workbookViewId="0">
      <pane xSplit="1" ySplit="7" topLeftCell="G41" activePane="bottomRight" state="frozen"/>
      <selection activeCell="F11" sqref="F11:Q16"/>
      <selection pane="topRight" activeCell="F11" sqref="F11:Q16"/>
      <selection pane="bottomLeft" activeCell="F11" sqref="F11:Q16"/>
      <selection pane="bottomRight" activeCell="I24" sqref="I24"/>
    </sheetView>
  </sheetViews>
  <sheetFormatPr baseColWidth="10" defaultRowHeight="12.75" x14ac:dyDescent="0.2"/>
  <cols>
    <col min="1" max="1" width="49.28515625" style="111" customWidth="1"/>
    <col min="2" max="2" width="11.42578125" style="277"/>
    <col min="3" max="3" width="37.5703125" style="111" customWidth="1"/>
    <col min="4" max="4" width="12.140625" style="111" customWidth="1"/>
    <col min="5" max="11" width="13.5703125" style="111" bestFit="1" customWidth="1"/>
    <col min="12" max="12" width="12.28515625" style="111" customWidth="1"/>
    <col min="13" max="13" width="13.5703125" style="111" bestFit="1" customWidth="1"/>
    <col min="14" max="14" width="12" style="111" bestFit="1" customWidth="1"/>
    <col min="15" max="15" width="11.85546875" style="111" bestFit="1" customWidth="1"/>
    <col min="16" max="16" width="13.140625" style="111" customWidth="1"/>
    <col min="17" max="16384" width="11.42578125" style="111"/>
  </cols>
  <sheetData>
    <row r="2" spans="1:16" ht="18" x14ac:dyDescent="0.25">
      <c r="A2" s="296" t="s">
        <v>49</v>
      </c>
    </row>
    <row r="3" spans="1:16" x14ac:dyDescent="0.2">
      <c r="C3" s="439"/>
    </row>
    <row r="4" spans="1:16" x14ac:dyDescent="0.2">
      <c r="A4" s="235" t="s">
        <v>294</v>
      </c>
      <c r="B4" s="277" t="s">
        <v>739</v>
      </c>
      <c r="C4" s="455" t="s">
        <v>35</v>
      </c>
      <c r="D4" s="20">
        <v>272724</v>
      </c>
      <c r="E4" s="20">
        <v>238703</v>
      </c>
      <c r="F4" s="20">
        <v>246610</v>
      </c>
      <c r="G4" s="20">
        <v>234384</v>
      </c>
      <c r="H4" s="20">
        <v>205298</v>
      </c>
      <c r="I4" s="20">
        <v>185482</v>
      </c>
      <c r="J4" s="20">
        <v>223732</v>
      </c>
      <c r="K4" s="20">
        <v>243112</v>
      </c>
      <c r="L4" s="20">
        <v>202842</v>
      </c>
      <c r="M4" s="20">
        <v>284710</v>
      </c>
      <c r="N4" s="192">
        <v>253075</v>
      </c>
      <c r="O4" s="192">
        <v>253075</v>
      </c>
    </row>
    <row r="5" spans="1:16" x14ac:dyDescent="0.2">
      <c r="A5" s="235"/>
      <c r="C5" s="455" t="s">
        <v>222</v>
      </c>
      <c r="D5" s="20">
        <v>577</v>
      </c>
      <c r="E5" s="20">
        <v>548</v>
      </c>
      <c r="F5" s="20">
        <v>541</v>
      </c>
      <c r="G5" s="20">
        <v>477</v>
      </c>
      <c r="H5" s="20">
        <v>505</v>
      </c>
      <c r="I5" s="20">
        <v>430</v>
      </c>
      <c r="J5" s="20">
        <v>507</v>
      </c>
      <c r="K5" s="20">
        <v>515</v>
      </c>
      <c r="L5" s="10">
        <v>454</v>
      </c>
      <c r="M5" s="20">
        <v>593</v>
      </c>
      <c r="N5" s="192">
        <v>527</v>
      </c>
      <c r="O5" s="192">
        <v>527</v>
      </c>
    </row>
    <row r="6" spans="1:16" ht="13.5" thickBot="1" x14ac:dyDescent="0.25">
      <c r="C6" s="455" t="s">
        <v>223</v>
      </c>
      <c r="D6" s="20">
        <v>17621.370000000003</v>
      </c>
      <c r="E6" s="20">
        <v>16499.960000000003</v>
      </c>
      <c r="F6" s="20">
        <v>17153.46000000001</v>
      </c>
      <c r="G6" s="20">
        <v>15713.25</v>
      </c>
      <c r="H6" s="20">
        <v>16695.409999999989</v>
      </c>
      <c r="I6" s="20">
        <v>14140.719999999996</v>
      </c>
      <c r="J6" s="20">
        <v>17607.599999999991</v>
      </c>
      <c r="K6" s="20">
        <v>18090.650000000009</v>
      </c>
      <c r="L6" s="20">
        <v>16419.980000000007</v>
      </c>
      <c r="M6" s="20">
        <v>22029.649999999961</v>
      </c>
      <c r="N6" s="456">
        <v>19582</v>
      </c>
      <c r="O6" s="456">
        <v>19582</v>
      </c>
    </row>
    <row r="7" spans="1:16" ht="26.25" thickTop="1" x14ac:dyDescent="0.2">
      <c r="A7" s="236" t="s">
        <v>2</v>
      </c>
      <c r="B7" s="297" t="s">
        <v>220</v>
      </c>
      <c r="C7" s="238" t="s">
        <v>221</v>
      </c>
      <c r="D7" s="239" t="s">
        <v>5</v>
      </c>
      <c r="E7" s="239" t="s">
        <v>6</v>
      </c>
      <c r="F7" s="239" t="s">
        <v>7</v>
      </c>
      <c r="G7" s="239" t="s">
        <v>8</v>
      </c>
      <c r="H7" s="239" t="s">
        <v>9</v>
      </c>
      <c r="I7" s="239" t="s">
        <v>10</v>
      </c>
      <c r="J7" s="239" t="s">
        <v>11</v>
      </c>
      <c r="K7" s="239" t="s">
        <v>12</v>
      </c>
      <c r="L7" s="239" t="s">
        <v>13</v>
      </c>
      <c r="M7" s="239" t="s">
        <v>14</v>
      </c>
      <c r="N7" s="239" t="s">
        <v>15</v>
      </c>
      <c r="O7" s="239" t="s">
        <v>16</v>
      </c>
      <c r="P7" s="240" t="s">
        <v>20</v>
      </c>
    </row>
    <row r="8" spans="1:16" x14ac:dyDescent="0.2">
      <c r="A8" s="457" t="s">
        <v>697</v>
      </c>
      <c r="C8" s="258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458">
        <v>2337597</v>
      </c>
    </row>
    <row r="9" spans="1:16" ht="15" x14ac:dyDescent="0.25">
      <c r="A9" s="322" t="s">
        <v>225</v>
      </c>
      <c r="C9" s="262"/>
      <c r="D9" s="263"/>
      <c r="E9" s="263"/>
      <c r="F9" s="263"/>
      <c r="G9" s="263"/>
      <c r="H9" s="263"/>
      <c r="I9" s="263"/>
      <c r="J9" s="263"/>
      <c r="P9" s="262"/>
    </row>
    <row r="10" spans="1:16" ht="15" x14ac:dyDescent="0.25">
      <c r="A10" s="323" t="s">
        <v>226</v>
      </c>
      <c r="B10" s="265"/>
      <c r="C10" s="266"/>
      <c r="D10" s="313"/>
      <c r="E10" s="313"/>
      <c r="F10" s="313"/>
      <c r="G10" s="313"/>
      <c r="H10" s="313"/>
      <c r="I10" s="313"/>
      <c r="J10" s="313"/>
      <c r="K10" s="313"/>
      <c r="L10" s="313"/>
      <c r="M10" s="313"/>
      <c r="N10" s="313"/>
      <c r="O10" s="313"/>
      <c r="P10" s="314">
        <f t="shared" ref="P10:P37" si="0">SUM(D10:O10)</f>
        <v>0</v>
      </c>
    </row>
    <row r="11" spans="1:16" ht="15" x14ac:dyDescent="0.25">
      <c r="A11" s="324" t="s">
        <v>227</v>
      </c>
      <c r="B11" s="268" t="s">
        <v>228</v>
      </c>
      <c r="C11" s="269" t="str">
        <f>VLOOKUP(B11,'Cat. cuentas'!$A$1:$B$195,2,FALSE)</f>
        <v>PERMISOS Y PLACAS</v>
      </c>
      <c r="D11" s="315">
        <v>0</v>
      </c>
      <c r="E11" s="315">
        <v>1941.32</v>
      </c>
      <c r="F11" s="315">
        <v>0</v>
      </c>
      <c r="G11" s="315">
        <v>0</v>
      </c>
      <c r="H11" s="315">
        <v>0</v>
      </c>
      <c r="I11" s="315">
        <v>0</v>
      </c>
      <c r="J11" s="315">
        <v>0</v>
      </c>
      <c r="K11" s="315">
        <v>0</v>
      </c>
      <c r="L11" s="315">
        <v>0</v>
      </c>
      <c r="M11" s="315">
        <v>0</v>
      </c>
      <c r="N11" s="315">
        <v>0</v>
      </c>
      <c r="O11" s="315"/>
      <c r="P11" s="298">
        <f t="shared" si="0"/>
        <v>1941.32</v>
      </c>
    </row>
    <row r="12" spans="1:16" ht="15" x14ac:dyDescent="0.25">
      <c r="A12" s="323" t="s">
        <v>229</v>
      </c>
      <c r="B12" s="270" t="s">
        <v>230</v>
      </c>
      <c r="C12" s="266" t="str">
        <f>VLOOKUP(B12,'Cat. cuentas'!$A$1:$B$195,2,FALSE)</f>
        <v>CUOTAS SINDICALES</v>
      </c>
      <c r="D12" s="313">
        <v>0</v>
      </c>
      <c r="E12" s="313">
        <v>0</v>
      </c>
      <c r="F12" s="313">
        <v>520000</v>
      </c>
      <c r="G12" s="313">
        <v>0</v>
      </c>
      <c r="H12" s="313">
        <v>0</v>
      </c>
      <c r="I12" s="313">
        <v>0</v>
      </c>
      <c r="J12" s="313">
        <v>0</v>
      </c>
      <c r="K12" s="313">
        <v>0</v>
      </c>
      <c r="L12" s="313">
        <v>0</v>
      </c>
      <c r="M12" s="313">
        <v>0</v>
      </c>
      <c r="N12" s="313">
        <v>0</v>
      </c>
      <c r="O12" s="313"/>
      <c r="P12" s="314">
        <f t="shared" si="0"/>
        <v>520000</v>
      </c>
    </row>
    <row r="13" spans="1:16" ht="15" x14ac:dyDescent="0.25">
      <c r="A13" s="324" t="s">
        <v>231</v>
      </c>
      <c r="B13" s="271" t="s">
        <v>232</v>
      </c>
      <c r="C13" s="269" t="str">
        <f>VLOOKUP(B13,'Cat. cuentas'!$A$1:$B$195,2,FALSE)</f>
        <v>SEGURO UNIDADES (FLOTILLA)</v>
      </c>
      <c r="D13" s="316">
        <v>170922.12</v>
      </c>
      <c r="E13" s="316">
        <v>170922.12</v>
      </c>
      <c r="F13" s="316">
        <v>170922.12</v>
      </c>
      <c r="G13" s="316">
        <v>170922.12</v>
      </c>
      <c r="H13" s="316">
        <v>170922.12</v>
      </c>
      <c r="I13" s="316">
        <v>170922.12</v>
      </c>
      <c r="J13" s="316">
        <v>170922.12</v>
      </c>
      <c r="K13" s="316">
        <v>170922.12</v>
      </c>
      <c r="L13" s="316">
        <v>170922.12</v>
      </c>
      <c r="M13" s="316">
        <v>150090.58999999997</v>
      </c>
      <c r="N13" s="315"/>
      <c r="O13" s="315"/>
      <c r="P13" s="317">
        <f t="shared" si="0"/>
        <v>1688389.67</v>
      </c>
    </row>
    <row r="14" spans="1:16" ht="15" x14ac:dyDescent="0.25">
      <c r="A14" s="324"/>
      <c r="B14" s="272" t="s">
        <v>233</v>
      </c>
      <c r="C14" s="269" t="str">
        <f>VLOOKUP(B14,'Cat. cuentas'!$A$1:$B$195,2,FALSE)</f>
        <v>DEDUCIBLES SINIESTRO REMOLQUES</v>
      </c>
      <c r="D14" s="315"/>
      <c r="E14" s="315"/>
      <c r="F14" s="315"/>
      <c r="G14" s="315"/>
      <c r="H14" s="315"/>
      <c r="I14" s="315"/>
      <c r="J14" s="315"/>
      <c r="K14" s="315"/>
      <c r="L14" s="315"/>
      <c r="M14" s="315"/>
      <c r="N14" s="315"/>
      <c r="O14" s="315"/>
      <c r="P14" s="317">
        <f t="shared" si="0"/>
        <v>0</v>
      </c>
    </row>
    <row r="15" spans="1:16" ht="15" x14ac:dyDescent="0.25">
      <c r="A15" s="324"/>
      <c r="B15" s="272" t="s">
        <v>234</v>
      </c>
      <c r="C15" s="269" t="str">
        <f>VLOOKUP(B15,'Cat. cuentas'!$A$1:$B$195,2,FALSE)</f>
        <v>DEDUCIBLES SINIESTRO TRACTORES</v>
      </c>
      <c r="D15" s="325">
        <v>0</v>
      </c>
      <c r="E15" s="325">
        <v>0</v>
      </c>
      <c r="F15" s="325">
        <v>0</v>
      </c>
      <c r="G15" s="325">
        <v>32407.599999999999</v>
      </c>
      <c r="H15" s="325">
        <v>0</v>
      </c>
      <c r="I15" s="325">
        <v>0</v>
      </c>
      <c r="J15" s="325">
        <v>0</v>
      </c>
      <c r="K15" s="325">
        <v>0</v>
      </c>
      <c r="L15" s="325">
        <v>0</v>
      </c>
      <c r="M15" s="325">
        <v>0</v>
      </c>
      <c r="N15" s="315"/>
      <c r="O15" s="315"/>
      <c r="P15" s="317">
        <f t="shared" si="0"/>
        <v>32407.599999999999</v>
      </c>
    </row>
    <row r="16" spans="1:16" ht="15" x14ac:dyDescent="0.25">
      <c r="A16" s="323" t="s">
        <v>235</v>
      </c>
      <c r="B16" s="270" t="s">
        <v>236</v>
      </c>
      <c r="C16" s="266" t="str">
        <f>VLOOKUP(B16,'Cat. cuentas'!$A$1:$B$195,2,FALSE)</f>
        <v>ZAPATOS, UNIFORMES Y EQUIPO</v>
      </c>
      <c r="D16" s="313">
        <v>0</v>
      </c>
      <c r="E16" s="313">
        <v>0</v>
      </c>
      <c r="F16" s="313">
        <v>2028</v>
      </c>
      <c r="G16" s="313">
        <v>482</v>
      </c>
      <c r="H16" s="313">
        <v>0</v>
      </c>
      <c r="I16" s="313">
        <v>0</v>
      </c>
      <c r="J16" s="313">
        <v>0</v>
      </c>
      <c r="K16" s="313">
        <v>0</v>
      </c>
      <c r="L16" s="313">
        <v>0</v>
      </c>
      <c r="M16" s="313">
        <v>0</v>
      </c>
      <c r="N16" s="313"/>
      <c r="O16" s="313"/>
      <c r="P16" s="314">
        <f t="shared" si="0"/>
        <v>2510</v>
      </c>
    </row>
    <row r="17" spans="1:16" ht="15" x14ac:dyDescent="0.25">
      <c r="A17" s="324" t="s">
        <v>237</v>
      </c>
      <c r="B17" s="271" t="s">
        <v>238</v>
      </c>
      <c r="C17" s="269" t="str">
        <f>VLOOKUP(B17,'Cat. cuentas'!$A$1:$B$195,2,FALSE)</f>
        <v>SEGURO DE VIDA</v>
      </c>
      <c r="D17" s="316">
        <v>4892.96</v>
      </c>
      <c r="E17" s="316">
        <v>4892.95</v>
      </c>
      <c r="F17" s="316">
        <v>4892.95</v>
      </c>
      <c r="G17" s="316">
        <v>4892.95</v>
      </c>
      <c r="H17" s="316">
        <v>4892.95</v>
      </c>
      <c r="I17" s="316">
        <v>4892.95</v>
      </c>
      <c r="J17" s="316">
        <v>4892.95</v>
      </c>
      <c r="K17" s="316">
        <v>4892.96</v>
      </c>
      <c r="L17" s="316">
        <v>4892.95</v>
      </c>
      <c r="M17" s="316">
        <v>4892.95</v>
      </c>
      <c r="N17" s="315"/>
      <c r="O17" s="315"/>
      <c r="P17" s="317">
        <f t="shared" si="0"/>
        <v>48929.52</v>
      </c>
    </row>
    <row r="18" spans="1:16" ht="15" x14ac:dyDescent="0.25">
      <c r="A18" s="323" t="s">
        <v>239</v>
      </c>
      <c r="B18" s="265" t="s">
        <v>240</v>
      </c>
      <c r="C18" s="266" t="str">
        <f>VLOOKUP(B18,'Cat. cuentas'!$A$1:$B$195,2,FALSE)</f>
        <v>GASTOS DE CAPACITACION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4">
        <f t="shared" si="0"/>
        <v>0</v>
      </c>
    </row>
    <row r="19" spans="1:16" ht="15" x14ac:dyDescent="0.25">
      <c r="A19" s="324" t="s">
        <v>241</v>
      </c>
      <c r="B19" s="271" t="s">
        <v>242</v>
      </c>
      <c r="C19" s="269" t="str">
        <f>VLOOKUP(B19,'Cat. cuentas'!$A$1:$B$195,2,FALSE)</f>
        <v>GTOS DE VIAJE(HOSP.TRANS.VIAT)</v>
      </c>
      <c r="D19" s="316">
        <v>2682.85</v>
      </c>
      <c r="E19" s="316">
        <v>19186.29</v>
      </c>
      <c r="F19" s="316">
        <v>12472.220000000001</v>
      </c>
      <c r="G19" s="316">
        <v>2205.37</v>
      </c>
      <c r="H19" s="316">
        <v>11697.659999999998</v>
      </c>
      <c r="I19" s="316">
        <v>5552.1500000000024</v>
      </c>
      <c r="J19" s="316">
        <v>18425.079999999998</v>
      </c>
      <c r="K19" s="316">
        <v>5273.4600000000009</v>
      </c>
      <c r="L19" s="316">
        <v>2531.1799999999998</v>
      </c>
      <c r="M19" s="316">
        <v>12532.249999999998</v>
      </c>
      <c r="N19" s="316"/>
      <c r="O19" s="316"/>
      <c r="P19" s="317">
        <f t="shared" si="0"/>
        <v>92558.51</v>
      </c>
    </row>
    <row r="20" spans="1:16" ht="15" x14ac:dyDescent="0.25">
      <c r="A20" s="323" t="s">
        <v>243</v>
      </c>
      <c r="B20" s="265" t="s">
        <v>244</v>
      </c>
      <c r="C20" s="266" t="str">
        <f>VLOOKUP(B20,'Cat. cuentas'!$A$1:$B$195,2,FALSE)</f>
        <v>BECAS Y FOMENTO DEPORTIVO</v>
      </c>
      <c r="D20" s="318">
        <v>0</v>
      </c>
      <c r="E20" s="318">
        <v>0</v>
      </c>
      <c r="F20" s="318">
        <v>0</v>
      </c>
      <c r="G20" s="318">
        <v>0</v>
      </c>
      <c r="H20" s="318">
        <v>0</v>
      </c>
      <c r="I20" s="318">
        <v>0</v>
      </c>
      <c r="J20" s="318">
        <v>0</v>
      </c>
      <c r="K20" s="318">
        <v>27000</v>
      </c>
      <c r="L20" s="318">
        <v>0</v>
      </c>
      <c r="M20" s="318">
        <v>0</v>
      </c>
      <c r="N20" s="318"/>
      <c r="O20" s="318"/>
      <c r="P20" s="319">
        <f t="shared" si="0"/>
        <v>27000</v>
      </c>
    </row>
    <row r="21" spans="1:16" x14ac:dyDescent="0.2">
      <c r="A21" s="326" t="s">
        <v>245</v>
      </c>
      <c r="B21" s="274" t="s">
        <v>246</v>
      </c>
      <c r="C21" s="262" t="str">
        <f>VLOOKUP(B21,'Cat. cuentas'!$A$1:$B$195,2,FALSE)</f>
        <v>MTTO PREV.VEHÍCULO UTILITARIO</v>
      </c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20">
        <f t="shared" si="0"/>
        <v>0</v>
      </c>
    </row>
    <row r="22" spans="1:16" ht="15" x14ac:dyDescent="0.25">
      <c r="A22" s="323" t="s">
        <v>99</v>
      </c>
      <c r="B22" s="275" t="s">
        <v>247</v>
      </c>
      <c r="C22" s="276" t="str">
        <f>VLOOKUP(B22,'Cat. cuentas'!$A$1:$B$195,2,FALSE)</f>
        <v>PROGRAMAS Y GASTOS  SEGURIDAD</v>
      </c>
      <c r="D22" s="318">
        <v>15590</v>
      </c>
      <c r="E22" s="318">
        <v>22094.890000000007</v>
      </c>
      <c r="F22" s="318">
        <v>15861.88</v>
      </c>
      <c r="G22" s="318">
        <v>18923.829999999998</v>
      </c>
      <c r="H22" s="318">
        <v>22493.47</v>
      </c>
      <c r="I22" s="318">
        <v>25342.379999999994</v>
      </c>
      <c r="J22" s="318">
        <v>10450.870000000001</v>
      </c>
      <c r="K22" s="318">
        <v>26808.300000000003</v>
      </c>
      <c r="L22" s="318">
        <v>3189.1499999999996</v>
      </c>
      <c r="M22" s="318">
        <v>1110.6699999999976</v>
      </c>
      <c r="N22" s="318"/>
      <c r="O22" s="318"/>
      <c r="P22" s="314">
        <f t="shared" si="0"/>
        <v>161865.43999999997</v>
      </c>
    </row>
    <row r="23" spans="1:16" ht="15" x14ac:dyDescent="0.25">
      <c r="A23" s="324" t="s">
        <v>248</v>
      </c>
      <c r="B23" s="271" t="s">
        <v>249</v>
      </c>
      <c r="C23" s="269" t="str">
        <f>VLOOKUP(B23,'Cat. cuentas'!$A$1:$B$195,2,FALSE)</f>
        <v>PAPELERÍA Y ARTICULOS DE ESC.</v>
      </c>
      <c r="D23" s="316">
        <v>602.15</v>
      </c>
      <c r="E23" s="316">
        <v>0</v>
      </c>
      <c r="F23" s="316">
        <v>1050</v>
      </c>
      <c r="G23" s="316">
        <v>1545</v>
      </c>
      <c r="H23" s="316">
        <v>0</v>
      </c>
      <c r="I23" s="316">
        <v>0</v>
      </c>
      <c r="J23" s="316">
        <v>0</v>
      </c>
      <c r="K23" s="316">
        <v>0</v>
      </c>
      <c r="L23" s="316">
        <v>1345.23</v>
      </c>
      <c r="M23" s="316">
        <v>1866.02</v>
      </c>
      <c r="N23" s="316"/>
      <c r="O23" s="316"/>
      <c r="P23" s="320">
        <f t="shared" si="0"/>
        <v>6408.4</v>
      </c>
    </row>
    <row r="24" spans="1:16" ht="15" x14ac:dyDescent="0.25">
      <c r="A24" s="323" t="s">
        <v>250</v>
      </c>
      <c r="B24" s="275" t="s">
        <v>251</v>
      </c>
      <c r="C24" s="276" t="str">
        <f>VLOOKUP(B24,'Cat. cuentas'!$A$1:$B$195,2,FALSE)</f>
        <v>TELEFONIA CELULAR</v>
      </c>
      <c r="D24" s="318">
        <v>18819.829999999998</v>
      </c>
      <c r="E24" s="318">
        <v>12402.02</v>
      </c>
      <c r="F24" s="318">
        <v>11730.86</v>
      </c>
      <c r="G24" s="318">
        <v>11791.84</v>
      </c>
      <c r="H24" s="318">
        <v>21610.300000000003</v>
      </c>
      <c r="I24" s="318">
        <v>11954.36</v>
      </c>
      <c r="J24" s="318">
        <v>12417.4</v>
      </c>
      <c r="K24" s="318">
        <v>11212.4</v>
      </c>
      <c r="L24" s="318">
        <v>10425.84</v>
      </c>
      <c r="M24" s="318">
        <v>9243.1400000000031</v>
      </c>
      <c r="N24" s="318"/>
      <c r="O24" s="318"/>
      <c r="P24" s="314">
        <f t="shared" si="0"/>
        <v>131607.99</v>
      </c>
    </row>
    <row r="25" spans="1:16" ht="15" x14ac:dyDescent="0.25">
      <c r="A25" s="324" t="s">
        <v>252</v>
      </c>
      <c r="B25" s="271" t="s">
        <v>253</v>
      </c>
      <c r="C25" s="269" t="str">
        <f>VLOOKUP(B25,'Cat. cuentas'!$A$1:$B$195,2,FALSE)</f>
        <v>SEGURO  GASTOS MEDICOS MAYORES</v>
      </c>
      <c r="D25" s="316">
        <v>2359.64</v>
      </c>
      <c r="E25" s="316">
        <v>2359.64</v>
      </c>
      <c r="F25" s="316">
        <v>2359.64</v>
      </c>
      <c r="G25" s="316">
        <v>2359.64</v>
      </c>
      <c r="H25" s="316">
        <v>2359.64</v>
      </c>
      <c r="I25" s="316">
        <v>2359.64</v>
      </c>
      <c r="J25" s="316">
        <v>2359.64</v>
      </c>
      <c r="K25" s="316">
        <v>2359.64</v>
      </c>
      <c r="L25" s="316">
        <v>2359.64</v>
      </c>
      <c r="M25" s="316">
        <v>2359.64</v>
      </c>
      <c r="N25" s="316"/>
      <c r="O25" s="316"/>
      <c r="P25" s="317">
        <f t="shared" si="0"/>
        <v>23596.399999999998</v>
      </c>
    </row>
    <row r="26" spans="1:16" ht="15" x14ac:dyDescent="0.25">
      <c r="A26" s="323" t="s">
        <v>254</v>
      </c>
      <c r="B26" s="265" t="s">
        <v>255</v>
      </c>
      <c r="C26" s="266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9">
        <f t="shared" si="0"/>
        <v>0</v>
      </c>
    </row>
    <row r="27" spans="1:16" ht="15" x14ac:dyDescent="0.25">
      <c r="A27" s="324" t="s">
        <v>256</v>
      </c>
      <c r="B27" s="277" t="s">
        <v>257</v>
      </c>
      <c r="C27" s="262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20">
        <f t="shared" si="0"/>
        <v>0</v>
      </c>
    </row>
    <row r="28" spans="1:16" ht="15" x14ac:dyDescent="0.25">
      <c r="A28" s="323" t="s">
        <v>258</v>
      </c>
      <c r="B28" s="275" t="s">
        <v>259</v>
      </c>
      <c r="C28" s="276" t="str">
        <f>VLOOKUP(B28,'Cat. cuentas'!$A$1:$B$195,2,FALSE)</f>
        <v>SERVICIO LOCALIZADOR SATELITAL</v>
      </c>
      <c r="D28" s="318">
        <v>0</v>
      </c>
      <c r="E28" s="318">
        <v>0</v>
      </c>
      <c r="F28" s="318">
        <v>168480.99</v>
      </c>
      <c r="G28" s="318">
        <v>3355.74</v>
      </c>
      <c r="H28" s="318">
        <v>711.82</v>
      </c>
      <c r="I28" s="318">
        <v>711.82</v>
      </c>
      <c r="J28" s="318">
        <v>9270.43</v>
      </c>
      <c r="K28" s="318">
        <v>8211.75</v>
      </c>
      <c r="L28" s="318">
        <v>9293.17</v>
      </c>
      <c r="M28" s="318">
        <v>8655</v>
      </c>
      <c r="N28" s="318"/>
      <c r="O28" s="318"/>
      <c r="P28" s="314">
        <f t="shared" si="0"/>
        <v>208690.72</v>
      </c>
    </row>
    <row r="29" spans="1:16" ht="15" x14ac:dyDescent="0.25">
      <c r="A29" s="324" t="s">
        <v>260</v>
      </c>
      <c r="C29" s="262"/>
      <c r="D29" s="316"/>
      <c r="E29" s="316"/>
      <c r="F29" s="316"/>
      <c r="G29" s="316"/>
      <c r="H29" s="316"/>
      <c r="I29" s="316"/>
      <c r="J29" s="316"/>
      <c r="K29" s="316"/>
      <c r="L29" s="316"/>
      <c r="M29" s="316"/>
      <c r="N29" s="316"/>
      <c r="O29" s="316"/>
      <c r="P29" s="320">
        <f t="shared" si="0"/>
        <v>0</v>
      </c>
    </row>
    <row r="30" spans="1:16" ht="15" x14ac:dyDescent="0.25">
      <c r="A30" s="323" t="s">
        <v>261</v>
      </c>
      <c r="B30" s="275" t="s">
        <v>262</v>
      </c>
      <c r="C30" s="276" t="str">
        <f>VLOOKUP(B30,'Cat. cuentas'!$A$1:$B$195,2,FALSE)</f>
        <v>GASTOS DE COMEDOR</v>
      </c>
      <c r="D30" s="318">
        <v>0</v>
      </c>
      <c r="E30" s="318">
        <v>0</v>
      </c>
      <c r="F30" s="318">
        <v>0</v>
      </c>
      <c r="G30" s="318">
        <v>0</v>
      </c>
      <c r="H30" s="318">
        <v>0</v>
      </c>
      <c r="I30" s="318">
        <v>4038.29</v>
      </c>
      <c r="J30" s="318">
        <v>3669.33</v>
      </c>
      <c r="K30" s="318">
        <v>3112.07</v>
      </c>
      <c r="L30" s="318">
        <v>3276.54</v>
      </c>
      <c r="M30" s="318">
        <v>2953.11</v>
      </c>
      <c r="N30" s="318"/>
      <c r="O30" s="318"/>
      <c r="P30" s="319">
        <f t="shared" si="0"/>
        <v>17049.34</v>
      </c>
    </row>
    <row r="31" spans="1:16" ht="15" x14ac:dyDescent="0.25">
      <c r="A31" s="323"/>
      <c r="B31" s="275" t="s">
        <v>263</v>
      </c>
      <c r="C31" s="276" t="str">
        <f>VLOOKUP(B31,'Cat. cuentas'!$A$1:$B$195,2,FALSE)</f>
        <v>COCHES, PASAJES Y TAXIS</v>
      </c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9">
        <f t="shared" si="0"/>
        <v>0</v>
      </c>
    </row>
    <row r="32" spans="1:16" ht="15" x14ac:dyDescent="0.25">
      <c r="A32" s="323"/>
      <c r="B32" s="278" t="s">
        <v>264</v>
      </c>
      <c r="C32" s="276" t="str">
        <f>VLOOKUP(B32,'Cat. cuentas'!$A$1:$B$195,2,FALSE)</f>
        <v>FLETES DIESEL</v>
      </c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4">
        <f t="shared" si="0"/>
        <v>0</v>
      </c>
    </row>
    <row r="33" spans="1:17" ht="15" x14ac:dyDescent="0.25">
      <c r="A33" s="323"/>
      <c r="B33" s="278" t="s">
        <v>265</v>
      </c>
      <c r="C33" s="276" t="str">
        <f>VLOOKUP(B33,'Cat. cuentas'!$A$1:$B$195,2,FALSE)</f>
        <v>EXAMENES MEDICOS</v>
      </c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4">
        <f t="shared" si="0"/>
        <v>0</v>
      </c>
    </row>
    <row r="34" spans="1:17" ht="15" x14ac:dyDescent="0.25">
      <c r="A34" s="323"/>
      <c r="B34" s="278" t="s">
        <v>266</v>
      </c>
      <c r="C34" s="276" t="str">
        <f>VLOOKUP(B34,'Cat. cuentas'!$A$1:$B$195,2,FALSE)</f>
        <v>GASTOS DE CONTRATACION</v>
      </c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4">
        <f t="shared" si="0"/>
        <v>0</v>
      </c>
    </row>
    <row r="35" spans="1:17" ht="15" x14ac:dyDescent="0.25">
      <c r="A35" s="323"/>
      <c r="B35" s="278" t="s">
        <v>267</v>
      </c>
      <c r="C35" s="276" t="str">
        <f>VLOOKUP(B35,'Cat. cuentas'!$A$1:$B$195,2,FALSE)</f>
        <v>TENENCIAS DE CAMIONETAS</v>
      </c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4">
        <f t="shared" si="0"/>
        <v>0</v>
      </c>
    </row>
    <row r="36" spans="1:17" ht="15" x14ac:dyDescent="0.25">
      <c r="A36" s="323"/>
      <c r="B36" s="278" t="s">
        <v>263</v>
      </c>
      <c r="C36" s="276" t="str">
        <f>VLOOKUP(B36,'Cat. cuentas'!$A$1:$B$195,2,FALSE)</f>
        <v>COCHES, PASAJES Y TAXIS</v>
      </c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4">
        <f t="shared" si="0"/>
        <v>0</v>
      </c>
    </row>
    <row r="37" spans="1:17" ht="15" x14ac:dyDescent="0.25">
      <c r="A37" s="323"/>
      <c r="B37" s="278" t="s">
        <v>268</v>
      </c>
      <c r="C37" s="276" t="str">
        <f>VLOOKUP(B37,'Cat. cuentas'!$A$1:$B$195,2,FALSE)</f>
        <v>ACEITES,LUBRICANTES,GRASAS</v>
      </c>
      <c r="D37" s="318"/>
      <c r="E37" s="318"/>
      <c r="F37" s="318"/>
      <c r="G37" s="318"/>
      <c r="H37" s="318"/>
      <c r="I37" s="318"/>
      <c r="J37" s="318"/>
      <c r="K37" s="318"/>
      <c r="L37" s="318"/>
      <c r="M37" s="318"/>
      <c r="N37" s="318"/>
      <c r="O37" s="318"/>
      <c r="P37" s="314">
        <f t="shared" si="0"/>
        <v>0</v>
      </c>
    </row>
    <row r="38" spans="1:17" ht="15" x14ac:dyDescent="0.25">
      <c r="A38" s="323"/>
      <c r="B38" s="275" t="s">
        <v>269</v>
      </c>
      <c r="C38" s="276" t="str">
        <f>VLOOKUP(B38,'Cat. cuentas'!$A$1:$B$195,2,FALSE)</f>
        <v>OTROS GASTOS</v>
      </c>
      <c r="D38" s="318">
        <v>11765.97</v>
      </c>
      <c r="E38" s="318">
        <v>691.48</v>
      </c>
      <c r="F38" s="318">
        <v>10857.02</v>
      </c>
      <c r="G38" s="318">
        <v>0</v>
      </c>
      <c r="H38" s="318">
        <v>0</v>
      </c>
      <c r="I38" s="318">
        <v>2340.7800000000002</v>
      </c>
      <c r="J38" s="318">
        <v>7674.1399999999994</v>
      </c>
      <c r="K38" s="318">
        <v>-416.69000000000005</v>
      </c>
      <c r="L38" s="318">
        <v>5588.7999999999993</v>
      </c>
      <c r="M38" s="318">
        <v>3460.71</v>
      </c>
      <c r="N38" s="318"/>
      <c r="O38" s="318"/>
      <c r="P38" s="314">
        <f>SUM(D38:O38)</f>
        <v>41962.21</v>
      </c>
      <c r="Q38" s="111">
        <f>P38/P8</f>
        <v>1.795100267496921E-2</v>
      </c>
    </row>
    <row r="39" spans="1:17" ht="15.75" thickBot="1" x14ac:dyDescent="0.3">
      <c r="A39" s="324"/>
      <c r="B39" s="271"/>
      <c r="C39" s="269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21"/>
    </row>
    <row r="40" spans="1:17" ht="15.75" thickBot="1" x14ac:dyDescent="0.3">
      <c r="A40" s="327" t="s">
        <v>270</v>
      </c>
      <c r="B40" s="280"/>
      <c r="C40" s="281"/>
      <c r="D40" s="302">
        <f t="shared" ref="D40:P40" si="1">SUM(D10:D38)</f>
        <v>227635.52</v>
      </c>
      <c r="E40" s="302">
        <f t="shared" si="1"/>
        <v>234490.71000000005</v>
      </c>
      <c r="F40" s="302">
        <f t="shared" si="1"/>
        <v>920655.67999999993</v>
      </c>
      <c r="G40" s="302">
        <f t="shared" si="1"/>
        <v>248886.09</v>
      </c>
      <c r="H40" s="302">
        <f t="shared" si="1"/>
        <v>234687.96000000002</v>
      </c>
      <c r="I40" s="302">
        <f t="shared" si="1"/>
        <v>228114.49000000005</v>
      </c>
      <c r="J40" s="302">
        <f t="shared" si="1"/>
        <v>240081.95999999996</v>
      </c>
      <c r="K40" s="302">
        <f t="shared" si="1"/>
        <v>259376.00999999998</v>
      </c>
      <c r="L40" s="302">
        <f t="shared" si="1"/>
        <v>213824.62000000002</v>
      </c>
      <c r="M40" s="302">
        <f t="shared" si="1"/>
        <v>197164.07999999996</v>
      </c>
      <c r="N40" s="302">
        <f t="shared" si="1"/>
        <v>0</v>
      </c>
      <c r="O40" s="302">
        <f t="shared" si="1"/>
        <v>0</v>
      </c>
      <c r="P40" s="303">
        <f t="shared" si="1"/>
        <v>3004917.1199999992</v>
      </c>
    </row>
    <row r="41" spans="1:17" ht="15" x14ac:dyDescent="0.25">
      <c r="A41" s="322" t="s">
        <v>271</v>
      </c>
      <c r="C41" s="262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</row>
    <row r="42" spans="1:17" ht="15" x14ac:dyDescent="0.25">
      <c r="A42" s="323" t="s">
        <v>272</v>
      </c>
      <c r="B42" s="275" t="s">
        <v>273</v>
      </c>
      <c r="C42" s="276" t="str">
        <f>VLOOKUP(B42,'Cat. cuentas'!$A$1:$B$195,2,FALSE)</f>
        <v>DIESEL Y COMBUSTIBLES CON IVA</v>
      </c>
      <c r="D42" s="304">
        <v>1185580.9799999997</v>
      </c>
      <c r="E42" s="304">
        <v>1288990.4200000004</v>
      </c>
      <c r="F42" s="304">
        <v>1274248.52</v>
      </c>
      <c r="G42" s="304">
        <v>1137547.4600000002</v>
      </c>
      <c r="H42" s="304">
        <v>1458487.6600000004</v>
      </c>
      <c r="I42" s="304">
        <v>1333859.0200000005</v>
      </c>
      <c r="J42" s="304">
        <v>1522029.74</v>
      </c>
      <c r="K42" s="304">
        <v>1507841.87</v>
      </c>
      <c r="L42" s="304">
        <v>1400633.1900000002</v>
      </c>
      <c r="M42" s="304">
        <v>1600481.8400000008</v>
      </c>
      <c r="N42" s="304"/>
      <c r="O42" s="304"/>
      <c r="P42" s="305">
        <f>SUM(D42:O42)</f>
        <v>13709700.700000003</v>
      </c>
    </row>
    <row r="43" spans="1:17" ht="15" x14ac:dyDescent="0.25">
      <c r="A43" s="323"/>
      <c r="B43" s="275" t="s">
        <v>274</v>
      </c>
      <c r="C43" s="276" t="str">
        <f>VLOOKUP(B43,'Cat. cuentas'!$A$1:$B$195,2,FALSE)</f>
        <v>DIESEL Y COMBUSTIBLES SIN IVA</v>
      </c>
      <c r="D43" s="304">
        <v>37172.220000000008</v>
      </c>
      <c r="E43" s="304">
        <v>26291.32</v>
      </c>
      <c r="F43" s="304">
        <v>53237.909999999989</v>
      </c>
      <c r="G43" s="304">
        <v>34867.270000000004</v>
      </c>
      <c r="H43" s="304">
        <v>44298.970000000008</v>
      </c>
      <c r="I43" s="304">
        <v>40150.369999999995</v>
      </c>
      <c r="J43" s="304">
        <v>45312.84</v>
      </c>
      <c r="K43" s="304">
        <v>44130.450000000012</v>
      </c>
      <c r="L43" s="304">
        <v>41114.209999999977</v>
      </c>
      <c r="M43" s="304">
        <v>47451.969999999987</v>
      </c>
      <c r="N43" s="304"/>
      <c r="O43" s="304"/>
      <c r="P43" s="305">
        <f>SUM(D43:O43)</f>
        <v>414027.52999999997</v>
      </c>
    </row>
    <row r="44" spans="1:17" ht="15" x14ac:dyDescent="0.25">
      <c r="A44" s="324" t="s">
        <v>275</v>
      </c>
      <c r="B44" s="277" t="s">
        <v>276</v>
      </c>
      <c r="C44" s="262" t="str">
        <f>VLOOKUP(B44,'Cat. cuentas'!$A$1:$B$195,2,FALSE)</f>
        <v>SUELDOS Y SALARIOS</v>
      </c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</row>
    <row r="45" spans="1:17" ht="15" x14ac:dyDescent="0.25">
      <c r="A45" s="323" t="s">
        <v>277</v>
      </c>
      <c r="B45" s="275" t="s">
        <v>278</v>
      </c>
      <c r="C45" s="276" t="str">
        <f>VLOOKUP(B45,'Cat. cuentas'!$A$1:$B$195,2,FALSE)</f>
        <v>LLANTAS Y CAMARAS NUEVAS</v>
      </c>
      <c r="D45" s="301">
        <v>49584.549999999996</v>
      </c>
      <c r="E45" s="301">
        <v>46310.669999999991</v>
      </c>
      <c r="F45" s="301">
        <v>30274.959999999985</v>
      </c>
      <c r="G45" s="301">
        <v>24493.079999999998</v>
      </c>
      <c r="H45" s="301">
        <v>24050.639999999989</v>
      </c>
      <c r="I45" s="301">
        <v>19109.239999999998</v>
      </c>
      <c r="J45" s="301">
        <v>22216.559999999998</v>
      </c>
      <c r="K45" s="301">
        <v>17521.610000000004</v>
      </c>
      <c r="L45" s="301">
        <v>9086.51</v>
      </c>
      <c r="M45" s="301">
        <v>48311.47</v>
      </c>
      <c r="N45" s="301"/>
      <c r="O45" s="301"/>
      <c r="P45" s="305">
        <f t="shared" ref="P45:P53" si="2">SUM(D45:O45)</f>
        <v>290959.28999999992</v>
      </c>
      <c r="Q45" s="111">
        <f>P45/P8</f>
        <v>0.12446939741965785</v>
      </c>
    </row>
    <row r="46" spans="1:17" ht="15" x14ac:dyDescent="0.25">
      <c r="A46" s="323"/>
      <c r="B46" s="278" t="s">
        <v>279</v>
      </c>
      <c r="C46" s="276" t="str">
        <f>VLOOKUP(B46,'Cat. cuentas'!$A$1:$B$195,2,FALSE)</f>
        <v>LLANTAS RENOVADAS</v>
      </c>
      <c r="D46" s="301">
        <v>155167.21000000002</v>
      </c>
      <c r="E46" s="301">
        <v>41297.279999999999</v>
      </c>
      <c r="F46" s="301">
        <v>16547.86</v>
      </c>
      <c r="G46" s="301">
        <v>6518.16</v>
      </c>
      <c r="H46" s="301">
        <v>15913.88</v>
      </c>
      <c r="I46" s="301">
        <v>596.88000000000011</v>
      </c>
      <c r="J46" s="301">
        <v>48300.07</v>
      </c>
      <c r="K46" s="301">
        <v>48857.19</v>
      </c>
      <c r="L46" s="301">
        <v>41089.050000000003</v>
      </c>
      <c r="M46" s="301">
        <v>47408</v>
      </c>
      <c r="N46" s="301"/>
      <c r="O46" s="301"/>
      <c r="P46" s="305">
        <f t="shared" si="2"/>
        <v>421695.58</v>
      </c>
      <c r="Q46" s="111">
        <f>P46/P8</f>
        <v>0.18039704020838493</v>
      </c>
    </row>
    <row r="47" spans="1:17" ht="15" x14ac:dyDescent="0.25">
      <c r="A47" s="324" t="s">
        <v>280</v>
      </c>
      <c r="B47" s="271" t="s">
        <v>281</v>
      </c>
      <c r="C47" s="269" t="str">
        <f>VLOOKUP(B47,'Cat. cuentas'!$A$1:$B$195,2,FALSE)</f>
        <v>CASETAS SUJETAS ESTIMULO</v>
      </c>
      <c r="D47" s="299">
        <v>553138.87</v>
      </c>
      <c r="E47" s="299">
        <v>544190.67999999993</v>
      </c>
      <c r="F47" s="299">
        <v>443370.14</v>
      </c>
      <c r="G47" s="299">
        <v>829352.80999999994</v>
      </c>
      <c r="H47" s="299">
        <v>746114.74000000011</v>
      </c>
      <c r="I47" s="299">
        <v>476726.14</v>
      </c>
      <c r="J47" s="299">
        <v>859746.27</v>
      </c>
      <c r="K47" s="299">
        <v>667995.25</v>
      </c>
      <c r="L47" s="299">
        <v>534106.94999999995</v>
      </c>
      <c r="M47" s="299">
        <v>665927.53</v>
      </c>
      <c r="N47" s="299"/>
      <c r="O47" s="299"/>
      <c r="P47" s="300">
        <f t="shared" si="2"/>
        <v>6320669.3800000008</v>
      </c>
      <c r="Q47" s="111">
        <f>P47/$P$8</f>
        <v>2.7039174759378972</v>
      </c>
    </row>
    <row r="48" spans="1:17" ht="15" x14ac:dyDescent="0.25">
      <c r="A48" s="324"/>
      <c r="B48" s="271" t="s">
        <v>282</v>
      </c>
      <c r="C48" s="269" t="str">
        <f>VLOOKUP(B48,'Cat. cuentas'!$A$1:$B$195,2,FALSE)</f>
        <v>CASETAS NO SUJETAS ESTIMULO</v>
      </c>
      <c r="D48" s="299">
        <v>65867.080000000016</v>
      </c>
      <c r="E48" s="299">
        <v>90618.699999999983</v>
      </c>
      <c r="F48" s="299">
        <v>55567.680000000037</v>
      </c>
      <c r="G48" s="299">
        <v>77436.910000000018</v>
      </c>
      <c r="H48" s="299">
        <v>46026.53</v>
      </c>
      <c r="I48" s="299">
        <v>56623.009999999987</v>
      </c>
      <c r="J48" s="299">
        <v>58447.360000000015</v>
      </c>
      <c r="K48" s="299">
        <v>90232.389999999985</v>
      </c>
      <c r="L48" s="299">
        <v>53717.950000000048</v>
      </c>
      <c r="M48" s="299">
        <v>87547.42</v>
      </c>
      <c r="N48" s="299"/>
      <c r="O48" s="299"/>
      <c r="P48" s="300">
        <f t="shared" si="2"/>
        <v>682085.03000000014</v>
      </c>
      <c r="Q48" s="111">
        <f>P48/$P$8</f>
        <v>0.29178897389070918</v>
      </c>
    </row>
    <row r="49" spans="1:18" ht="15" x14ac:dyDescent="0.25">
      <c r="A49" s="323" t="s">
        <v>283</v>
      </c>
      <c r="B49" s="275" t="s">
        <v>284</v>
      </c>
      <c r="C49" s="276" t="str">
        <f>VLOOKUP(B49,'Cat. cuentas'!$A$1:$B$195,2,FALSE)</f>
        <v>GASTOS NO DEDUCIBLES</v>
      </c>
      <c r="D49" s="301">
        <v>1185.3900000000001</v>
      </c>
      <c r="E49" s="301">
        <v>6031.14</v>
      </c>
      <c r="F49" s="301">
        <v>7629.96</v>
      </c>
      <c r="G49" s="301">
        <v>24230.299999999996</v>
      </c>
      <c r="H49" s="301">
        <v>4833.41</v>
      </c>
      <c r="I49" s="301">
        <v>12120.66</v>
      </c>
      <c r="J49" s="301">
        <v>2287.38</v>
      </c>
      <c r="K49" s="301">
        <v>1284.22</v>
      </c>
      <c r="L49" s="301">
        <v>3485.8300000000004</v>
      </c>
      <c r="M49" s="301">
        <v>3837.6499999999996</v>
      </c>
      <c r="N49" s="301"/>
      <c r="O49" s="301"/>
      <c r="P49" s="305">
        <f t="shared" si="2"/>
        <v>66925.94</v>
      </c>
      <c r="Q49" s="111">
        <f t="shared" ref="Q49:Q54" si="3">P49/$P$8</f>
        <v>2.8630230103820292E-2</v>
      </c>
    </row>
    <row r="50" spans="1:18" ht="15" x14ac:dyDescent="0.25">
      <c r="A50" s="324" t="s">
        <v>285</v>
      </c>
      <c r="B50" s="271" t="s">
        <v>286</v>
      </c>
      <c r="C50" s="269" t="str">
        <f>VLOOKUP(B50,'Cat. cuentas'!$A$1:$B$195,2,FALSE)</f>
        <v>INSPECCIONES FISICO MECANICAS</v>
      </c>
      <c r="D50" s="299">
        <v>0</v>
      </c>
      <c r="E50" s="299">
        <v>0</v>
      </c>
      <c r="F50" s="299">
        <v>0</v>
      </c>
      <c r="G50" s="299">
        <v>0</v>
      </c>
      <c r="H50" s="299">
        <v>0</v>
      </c>
      <c r="I50" s="299">
        <v>0</v>
      </c>
      <c r="J50" s="299">
        <v>0</v>
      </c>
      <c r="K50" s="299">
        <v>0</v>
      </c>
      <c r="L50" s="299">
        <v>0</v>
      </c>
      <c r="M50" s="299">
        <v>0</v>
      </c>
      <c r="N50" s="299"/>
      <c r="O50" s="299"/>
      <c r="P50" s="299">
        <f t="shared" si="2"/>
        <v>0</v>
      </c>
      <c r="Q50" s="111">
        <f t="shared" si="3"/>
        <v>0</v>
      </c>
    </row>
    <row r="51" spans="1:18" ht="15" x14ac:dyDescent="0.25">
      <c r="A51" s="324"/>
      <c r="B51" s="271" t="s">
        <v>287</v>
      </c>
      <c r="C51" s="269" t="str">
        <f>VLOOKUP(B51,'Cat. cuentas'!$A$1:$B$195,2,FALSE)</f>
        <v>VERIFICACIONES</v>
      </c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299"/>
      <c r="P51" s="299">
        <f t="shared" si="2"/>
        <v>0</v>
      </c>
      <c r="Q51" s="111">
        <f t="shared" si="3"/>
        <v>0</v>
      </c>
    </row>
    <row r="52" spans="1:18" ht="15" x14ac:dyDescent="0.25">
      <c r="A52" s="324"/>
      <c r="B52" s="271" t="s">
        <v>288</v>
      </c>
      <c r="C52" s="269" t="str">
        <f>VLOOKUP(B52,'Cat. cuentas'!$A$1:$B$195,2,FALSE)</f>
        <v>ENLONADAS</v>
      </c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>
        <f t="shared" si="2"/>
        <v>0</v>
      </c>
      <c r="Q52" s="111">
        <f t="shared" si="3"/>
        <v>0</v>
      </c>
    </row>
    <row r="53" spans="1:18" ht="15" x14ac:dyDescent="0.25">
      <c r="A53" s="323" t="s">
        <v>289</v>
      </c>
      <c r="B53" s="275" t="s">
        <v>290</v>
      </c>
      <c r="C53" s="276" t="str">
        <f>VLOOKUP(B53,'Cat. cuentas'!$A$1:$B$195,2,FALSE)</f>
        <v>TALACHAS</v>
      </c>
      <c r="D53" s="301">
        <v>0</v>
      </c>
      <c r="E53" s="301">
        <v>0</v>
      </c>
      <c r="F53" s="301">
        <v>2000</v>
      </c>
      <c r="G53" s="301">
        <v>0</v>
      </c>
      <c r="H53" s="301">
        <v>830.4</v>
      </c>
      <c r="I53" s="301">
        <v>0</v>
      </c>
      <c r="J53" s="301">
        <v>0</v>
      </c>
      <c r="K53" s="301">
        <v>0</v>
      </c>
      <c r="L53" s="301">
        <v>0</v>
      </c>
      <c r="M53" s="301">
        <v>3863.6999999999994</v>
      </c>
      <c r="N53" s="301"/>
      <c r="O53" s="301"/>
      <c r="P53" s="301">
        <f t="shared" si="2"/>
        <v>6694.0999999999995</v>
      </c>
      <c r="Q53" s="111">
        <f t="shared" si="3"/>
        <v>2.8636672617221872E-3</v>
      </c>
    </row>
    <row r="54" spans="1:18" ht="15" x14ac:dyDescent="0.25">
      <c r="A54" s="323"/>
      <c r="B54" s="275" t="s">
        <v>291</v>
      </c>
      <c r="C54" s="288" t="str">
        <f>VLOOKUP(B54,'Cat. cuentas'!$A$1:$B$195,2,FALSE)</f>
        <v>FACILIDADES ADMINISTRATIVAS</v>
      </c>
      <c r="D54" s="301">
        <v>61252.63</v>
      </c>
      <c r="E54" s="301">
        <v>81647.009999999995</v>
      </c>
      <c r="F54" s="301">
        <v>13365.44</v>
      </c>
      <c r="G54" s="301">
        <v>18871.54</v>
      </c>
      <c r="H54" s="301">
        <v>12328.730000000001</v>
      </c>
      <c r="I54" s="301">
        <v>12106.519999999999</v>
      </c>
      <c r="J54" s="301">
        <v>16981.61</v>
      </c>
      <c r="K54" s="301">
        <v>25681.969999999998</v>
      </c>
      <c r="L54" s="301">
        <v>7039.7800000000007</v>
      </c>
      <c r="M54" s="301">
        <v>12418.460000000001</v>
      </c>
      <c r="N54" s="301"/>
      <c r="O54" s="301"/>
      <c r="P54" s="305">
        <f>SUM(D54:O54)</f>
        <v>261693.68999999997</v>
      </c>
      <c r="Q54" s="111">
        <f t="shared" si="3"/>
        <v>0.11194987416564958</v>
      </c>
    </row>
    <row r="55" spans="1:18" ht="15" x14ac:dyDescent="0.25">
      <c r="A55" s="328" t="s">
        <v>292</v>
      </c>
      <c r="B55" s="290"/>
      <c r="C55" s="291"/>
      <c r="D55" s="306">
        <f t="shared" ref="D55:P55" si="4">SUM(D42:D53)</f>
        <v>2047696.2999999996</v>
      </c>
      <c r="E55" s="307">
        <f t="shared" si="4"/>
        <v>2043730.2100000002</v>
      </c>
      <c r="F55" s="307">
        <f t="shared" si="4"/>
        <v>1882877.03</v>
      </c>
      <c r="G55" s="307">
        <f t="shared" si="4"/>
        <v>2134445.9900000002</v>
      </c>
      <c r="H55" s="307">
        <f t="shared" si="4"/>
        <v>2340556.23</v>
      </c>
      <c r="I55" s="307">
        <f t="shared" si="4"/>
        <v>1939185.3200000003</v>
      </c>
      <c r="J55" s="307">
        <f t="shared" si="4"/>
        <v>2558340.2200000002</v>
      </c>
      <c r="K55" s="307">
        <f t="shared" si="4"/>
        <v>2377862.9800000004</v>
      </c>
      <c r="L55" s="307">
        <f t="shared" si="4"/>
        <v>2083233.6900000002</v>
      </c>
      <c r="M55" s="307">
        <f t="shared" si="4"/>
        <v>2504829.5800000005</v>
      </c>
      <c r="N55" s="307">
        <f t="shared" si="4"/>
        <v>0</v>
      </c>
      <c r="O55" s="307">
        <f t="shared" si="4"/>
        <v>0</v>
      </c>
      <c r="P55" s="308">
        <f t="shared" si="4"/>
        <v>21912757.550000008</v>
      </c>
    </row>
    <row r="56" spans="1:18" ht="15" x14ac:dyDescent="0.25">
      <c r="A56" s="329" t="s">
        <v>293</v>
      </c>
      <c r="B56" s="290"/>
      <c r="C56" s="291"/>
      <c r="D56" s="306">
        <f t="shared" ref="D56:P56" si="5">D55+D40</f>
        <v>2275331.8199999994</v>
      </c>
      <c r="E56" s="307">
        <f t="shared" si="5"/>
        <v>2278220.9200000004</v>
      </c>
      <c r="F56" s="307">
        <f t="shared" si="5"/>
        <v>2803532.71</v>
      </c>
      <c r="G56" s="307">
        <f t="shared" si="5"/>
        <v>2383332.08</v>
      </c>
      <c r="H56" s="307">
        <f t="shared" si="5"/>
        <v>2575244.19</v>
      </c>
      <c r="I56" s="307">
        <f t="shared" si="5"/>
        <v>2167299.8100000005</v>
      </c>
      <c r="J56" s="307">
        <f t="shared" si="5"/>
        <v>2798422.18</v>
      </c>
      <c r="K56" s="307">
        <f t="shared" si="5"/>
        <v>2637238.9900000002</v>
      </c>
      <c r="L56" s="307">
        <f t="shared" si="5"/>
        <v>2297058.31</v>
      </c>
      <c r="M56" s="307">
        <f t="shared" si="5"/>
        <v>2701993.6600000006</v>
      </c>
      <c r="N56" s="307">
        <f t="shared" si="5"/>
        <v>0</v>
      </c>
      <c r="O56" s="307">
        <f t="shared" si="5"/>
        <v>0</v>
      </c>
      <c r="P56" s="308">
        <f t="shared" si="5"/>
        <v>24917674.670000009</v>
      </c>
    </row>
    <row r="57" spans="1:18" ht="15" x14ac:dyDescent="0.25">
      <c r="A57" s="330"/>
      <c r="D57" s="309"/>
      <c r="E57" s="309"/>
      <c r="F57" s="309"/>
      <c r="G57" s="309"/>
      <c r="H57" s="309"/>
      <c r="I57" s="309"/>
      <c r="J57" s="309"/>
      <c r="K57" s="309"/>
      <c r="L57" s="309"/>
      <c r="M57" s="309"/>
      <c r="N57" s="299"/>
      <c r="O57" s="299"/>
      <c r="P57" s="299"/>
    </row>
    <row r="58" spans="1:18" ht="15" x14ac:dyDescent="0.25">
      <c r="A58" s="331" t="s">
        <v>295</v>
      </c>
      <c r="D58" s="309"/>
      <c r="E58" s="309"/>
      <c r="F58" s="309"/>
      <c r="G58" s="309"/>
      <c r="H58" s="309"/>
      <c r="I58" s="309"/>
      <c r="J58" s="309"/>
      <c r="K58" s="309"/>
      <c r="L58" s="309"/>
      <c r="M58" s="309"/>
      <c r="N58" s="299"/>
      <c r="O58" s="299"/>
      <c r="P58" s="299"/>
    </row>
    <row r="59" spans="1:18" ht="15" x14ac:dyDescent="0.25">
      <c r="A59" s="322" t="s">
        <v>225</v>
      </c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299"/>
      <c r="P59" s="299"/>
    </row>
    <row r="60" spans="1:18" ht="15" x14ac:dyDescent="0.25">
      <c r="A60" s="324" t="s">
        <v>296</v>
      </c>
      <c r="B60" s="310"/>
      <c r="C60" s="311" t="e">
        <f>VLOOKUP(B60,'Cat. cuentas'!$A$1:$B$195,2,FALSE)</f>
        <v>#N/A</v>
      </c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>
        <f>SUM(D60:O60)</f>
        <v>0</v>
      </c>
    </row>
    <row r="61" spans="1:18" ht="15" x14ac:dyDescent="0.25">
      <c r="A61" s="324" t="s">
        <v>298</v>
      </c>
      <c r="B61" s="277" t="s">
        <v>297</v>
      </c>
      <c r="C61" s="311" t="str">
        <f>VLOOKUP(B61,'Cat. cuentas'!$A$1:$B$195,2,FALSE)</f>
        <v>MTTO. DE VEHICULOS UTILITARIOS</v>
      </c>
      <c r="D61" s="299"/>
      <c r="E61" s="299"/>
      <c r="F61" s="299"/>
      <c r="G61" s="299"/>
      <c r="H61" s="299"/>
      <c r="I61" s="299"/>
      <c r="J61" s="299"/>
      <c r="K61" s="299"/>
      <c r="L61" s="299"/>
      <c r="M61" s="299"/>
      <c r="N61" s="299"/>
      <c r="O61" s="299"/>
      <c r="P61" s="299">
        <f t="shared" ref="P61:P83" si="6">SUM(D61:O61)</f>
        <v>0</v>
      </c>
    </row>
    <row r="62" spans="1:18" ht="15" x14ac:dyDescent="0.25">
      <c r="A62" s="324" t="s">
        <v>299</v>
      </c>
      <c r="B62" s="277" t="s">
        <v>249</v>
      </c>
      <c r="C62" s="311" t="str">
        <f>VLOOKUP(B62,'Cat. cuentas'!$A$1:$B$195,2,FALSE)</f>
        <v>PAPELERÍA Y ARTICULOS DE ESC.</v>
      </c>
      <c r="D62" s="299">
        <v>0</v>
      </c>
      <c r="E62" s="299">
        <v>0</v>
      </c>
      <c r="F62" s="299">
        <v>500</v>
      </c>
      <c r="G62" s="299">
        <v>1035.6399999999999</v>
      </c>
      <c r="H62" s="299">
        <v>1480</v>
      </c>
      <c r="I62" s="299">
        <v>0</v>
      </c>
      <c r="J62" s="299">
        <v>0</v>
      </c>
      <c r="K62" s="299">
        <v>0</v>
      </c>
      <c r="L62" s="299">
        <v>0</v>
      </c>
      <c r="M62" s="299">
        <v>0</v>
      </c>
      <c r="N62" s="299">
        <v>302</v>
      </c>
      <c r="O62" s="299">
        <v>302</v>
      </c>
      <c r="P62" s="299">
        <f t="shared" si="6"/>
        <v>3619.64</v>
      </c>
      <c r="Q62" s="440">
        <f>P62/12</f>
        <v>301.63666666666666</v>
      </c>
      <c r="R62" s="440"/>
    </row>
    <row r="63" spans="1:18" ht="15" x14ac:dyDescent="0.25">
      <c r="A63" s="332" t="s">
        <v>300</v>
      </c>
      <c r="B63" s="333" t="s">
        <v>430</v>
      </c>
      <c r="C63" s="334" t="str">
        <f>VLOOKUP(B63,'Cat. cuentas'!$A$1:$B$195,2,FALSE)</f>
        <v>LUZ</v>
      </c>
      <c r="D63" s="335">
        <v>0</v>
      </c>
      <c r="E63" s="335">
        <v>0</v>
      </c>
      <c r="F63" s="335">
        <v>0</v>
      </c>
      <c r="G63" s="335">
        <v>0</v>
      </c>
      <c r="H63" s="335">
        <v>0</v>
      </c>
      <c r="I63" s="335">
        <v>10150.43</v>
      </c>
      <c r="J63" s="335">
        <v>9151.7199999999993</v>
      </c>
      <c r="K63" s="335">
        <v>9872.41</v>
      </c>
      <c r="L63" s="335">
        <v>10751.29</v>
      </c>
      <c r="M63" s="335">
        <v>0</v>
      </c>
      <c r="N63" s="335"/>
      <c r="O63" s="335"/>
      <c r="P63" s="299">
        <f t="shared" si="6"/>
        <v>39925.850000000006</v>
      </c>
    </row>
    <row r="64" spans="1:18" ht="15" x14ac:dyDescent="0.25">
      <c r="A64" s="332"/>
      <c r="B64" s="333" t="s">
        <v>432</v>
      </c>
      <c r="C64" s="334" t="str">
        <f>VLOOKUP(B64,'Cat. cuentas'!$A$1:$B$195,2,FALSE)</f>
        <v>AGUA</v>
      </c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299">
        <f t="shared" si="6"/>
        <v>0</v>
      </c>
    </row>
    <row r="65" spans="1:17" ht="15" x14ac:dyDescent="0.25">
      <c r="A65" s="324" t="s">
        <v>301</v>
      </c>
      <c r="C65" s="311" t="e">
        <f>VLOOKUP(B65,'Cat. cuentas'!$A$1:$B$195,2,FALSE)</f>
        <v>#N/A</v>
      </c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>
        <f t="shared" si="6"/>
        <v>0</v>
      </c>
    </row>
    <row r="66" spans="1:17" ht="15" x14ac:dyDescent="0.25">
      <c r="A66" s="324" t="s">
        <v>302</v>
      </c>
      <c r="B66" s="277" t="s">
        <v>240</v>
      </c>
      <c r="C66" s="311" t="str">
        <f>VLOOKUP(B66,'Cat. cuentas'!$A$1:$B$195,2,FALSE)</f>
        <v>GASTOS DE CAPACITACION</v>
      </c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>
        <f t="shared" si="6"/>
        <v>0</v>
      </c>
    </row>
    <row r="67" spans="1:17" ht="15" x14ac:dyDescent="0.25">
      <c r="A67" s="324" t="s">
        <v>303</v>
      </c>
      <c r="B67" s="312" t="s">
        <v>242</v>
      </c>
      <c r="C67" s="311" t="str">
        <f>VLOOKUP(B67,'Cat. cuentas'!$A$1:$B$195,2,FALSE)</f>
        <v>GTOS DE VIAJE(HOSP.TRANS.VIAT)</v>
      </c>
      <c r="D67" s="299">
        <v>0</v>
      </c>
      <c r="E67" s="299">
        <v>4384.97</v>
      </c>
      <c r="F67" s="299">
        <v>6161.1399999999994</v>
      </c>
      <c r="G67" s="299">
        <v>714</v>
      </c>
      <c r="H67" s="299">
        <v>271.55</v>
      </c>
      <c r="I67" s="299">
        <v>0</v>
      </c>
      <c r="J67" s="299">
        <v>2615.2800000000002</v>
      </c>
      <c r="K67" s="299">
        <v>2383.9</v>
      </c>
      <c r="L67" s="299">
        <v>387.07</v>
      </c>
      <c r="M67" s="299">
        <v>1161.9499999999998</v>
      </c>
      <c r="N67" s="299"/>
      <c r="O67" s="299"/>
      <c r="P67" s="299">
        <f t="shared" si="6"/>
        <v>18079.86</v>
      </c>
    </row>
    <row r="68" spans="1:17" ht="15" x14ac:dyDescent="0.25">
      <c r="A68" s="324" t="s">
        <v>304</v>
      </c>
      <c r="B68" s="277" t="s">
        <v>538</v>
      </c>
      <c r="C68" s="311" t="str">
        <f>VLOOKUP(B68,'Cat. cuentas'!$A$1:$B$195,2,FALSE)</f>
        <v>HERRAMIENTAS MENORES</v>
      </c>
      <c r="D68" s="299">
        <v>4786.88</v>
      </c>
      <c r="E68" s="299">
        <v>0</v>
      </c>
      <c r="F68" s="299">
        <v>1019.8199999999999</v>
      </c>
      <c r="G68" s="299">
        <v>2177.0399999999995</v>
      </c>
      <c r="H68" s="299">
        <v>0</v>
      </c>
      <c r="I68" s="299">
        <v>4051.72</v>
      </c>
      <c r="J68" s="299">
        <v>0</v>
      </c>
      <c r="K68" s="299">
        <v>0</v>
      </c>
      <c r="L68" s="299">
        <v>0</v>
      </c>
      <c r="M68" s="299">
        <v>0</v>
      </c>
      <c r="N68" s="299"/>
      <c r="O68" s="299"/>
      <c r="P68" s="299">
        <f t="shared" si="6"/>
        <v>12035.46</v>
      </c>
    </row>
    <row r="69" spans="1:17" ht="15" x14ac:dyDescent="0.25">
      <c r="A69" s="324" t="s">
        <v>305</v>
      </c>
      <c r="B69" s="312" t="s">
        <v>236</v>
      </c>
      <c r="C69" s="311" t="str">
        <f>VLOOKUP(B69,'Cat. cuentas'!$A$1:$B$195,2,FALSE)</f>
        <v>ZAPATOS, UNIFORMES Y EQUIPO</v>
      </c>
      <c r="D69" s="299">
        <v>1280</v>
      </c>
      <c r="E69" s="299">
        <v>0</v>
      </c>
      <c r="F69" s="299">
        <v>462.07</v>
      </c>
      <c r="G69" s="299">
        <v>0</v>
      </c>
      <c r="H69" s="299">
        <v>0</v>
      </c>
      <c r="I69" s="299">
        <v>0</v>
      </c>
      <c r="J69" s="299">
        <v>0</v>
      </c>
      <c r="K69" s="299">
        <v>0</v>
      </c>
      <c r="L69" s="299">
        <v>0</v>
      </c>
      <c r="M69" s="299">
        <v>0</v>
      </c>
      <c r="N69" s="299"/>
      <c r="O69" s="299"/>
      <c r="P69" s="299">
        <f t="shared" si="6"/>
        <v>1742.07</v>
      </c>
    </row>
    <row r="70" spans="1:17" ht="15" x14ac:dyDescent="0.25">
      <c r="A70" s="324"/>
      <c r="B70" s="312" t="s">
        <v>247</v>
      </c>
      <c r="C70" s="311" t="str">
        <f>VLOOKUP(B70,'Cat. cuentas'!$A$1:$B$195,2,FALSE)</f>
        <v>PROGRAMAS Y GASTOS  SEGURIDAD</v>
      </c>
      <c r="D70" s="299">
        <v>0</v>
      </c>
      <c r="E70" s="299">
        <v>0</v>
      </c>
      <c r="F70" s="299">
        <v>0</v>
      </c>
      <c r="G70" s="299">
        <v>0</v>
      </c>
      <c r="H70" s="299">
        <v>0</v>
      </c>
      <c r="I70" s="299">
        <v>0</v>
      </c>
      <c r="J70" s="299">
        <v>0</v>
      </c>
      <c r="K70" s="299">
        <v>0</v>
      </c>
      <c r="L70" s="299">
        <v>0</v>
      </c>
      <c r="M70" s="299">
        <v>861.52</v>
      </c>
      <c r="N70" s="299"/>
      <c r="O70" s="299"/>
      <c r="P70" s="299">
        <f t="shared" si="6"/>
        <v>861.52</v>
      </c>
    </row>
    <row r="71" spans="1:17" ht="15" x14ac:dyDescent="0.25">
      <c r="A71" s="324" t="s">
        <v>306</v>
      </c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>
        <f t="shared" si="6"/>
        <v>0</v>
      </c>
    </row>
    <row r="72" spans="1:17" ht="15" x14ac:dyDescent="0.25">
      <c r="A72" s="324" t="s">
        <v>289</v>
      </c>
      <c r="B72" s="312" t="s">
        <v>284</v>
      </c>
      <c r="C72" s="311" t="str">
        <f>VLOOKUP(B72,'Cat. cuentas'!$A$1:$B$195,2,FALSE)</f>
        <v>GASTOS NO DEDUCIBLES</v>
      </c>
      <c r="D72" s="299">
        <v>0</v>
      </c>
      <c r="E72" s="299">
        <v>605</v>
      </c>
      <c r="F72" s="299">
        <v>960</v>
      </c>
      <c r="G72" s="299">
        <v>834</v>
      </c>
      <c r="H72" s="299">
        <v>736.15</v>
      </c>
      <c r="I72" s="299">
        <v>5525.67</v>
      </c>
      <c r="J72" s="299">
        <v>285</v>
      </c>
      <c r="K72" s="299">
        <v>459.4</v>
      </c>
      <c r="L72" s="299">
        <v>598.81999999999994</v>
      </c>
      <c r="M72" s="299">
        <v>377.90999999999997</v>
      </c>
      <c r="N72" s="299"/>
      <c r="O72" s="299"/>
      <c r="P72" s="299">
        <f t="shared" si="6"/>
        <v>10381.949999999999</v>
      </c>
      <c r="Q72" s="111">
        <f>P72/P8</f>
        <v>4.4412916341011726E-3</v>
      </c>
    </row>
    <row r="73" spans="1:17" ht="15" x14ac:dyDescent="0.25">
      <c r="A73" s="332" t="s">
        <v>307</v>
      </c>
      <c r="B73" s="336" t="s">
        <v>262</v>
      </c>
      <c r="C73" s="334" t="str">
        <f>VLOOKUP(B73,'Cat. cuentas'!$A$1:$B$195,2,FALSE)</f>
        <v>GASTOS DE COMEDOR</v>
      </c>
      <c r="D73" s="335">
        <v>0</v>
      </c>
      <c r="E73" s="335">
        <v>0</v>
      </c>
      <c r="F73" s="335">
        <v>0</v>
      </c>
      <c r="G73" s="335">
        <v>0</v>
      </c>
      <c r="H73" s="335">
        <v>0</v>
      </c>
      <c r="I73" s="335">
        <v>6578.27</v>
      </c>
      <c r="J73" s="335">
        <v>7338.65</v>
      </c>
      <c r="K73" s="335">
        <v>6224.14</v>
      </c>
      <c r="L73" s="335">
        <v>6553.0999999999995</v>
      </c>
      <c r="M73" s="335">
        <v>4179.6499999999996</v>
      </c>
      <c r="N73" s="335"/>
      <c r="O73" s="335"/>
      <c r="P73" s="299">
        <f t="shared" si="6"/>
        <v>30873.809999999998</v>
      </c>
    </row>
    <row r="74" spans="1:17" ht="15" x14ac:dyDescent="0.25">
      <c r="A74" s="332"/>
      <c r="B74" s="336" t="s">
        <v>308</v>
      </c>
      <c r="C74" s="334" t="str">
        <f>VLOOKUP(B74,'Cat. cuentas'!$A$1:$B$195,2,FALSE)</f>
        <v>MANTENIMIENTO DE EDIFICIOS</v>
      </c>
      <c r="D74" s="335"/>
      <c r="E74" s="335"/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299">
        <f t="shared" si="6"/>
        <v>0</v>
      </c>
    </row>
    <row r="75" spans="1:17" ht="15" x14ac:dyDescent="0.25">
      <c r="A75" s="332"/>
      <c r="B75" s="336" t="s">
        <v>263</v>
      </c>
      <c r="C75" s="334" t="str">
        <f>VLOOKUP(B75,'Cat. cuentas'!$A$1:$B$195,2,FALSE)</f>
        <v>COCHES, PASAJES Y TAXIS</v>
      </c>
      <c r="D75" s="335">
        <v>0</v>
      </c>
      <c r="E75" s="335">
        <v>0</v>
      </c>
      <c r="F75" s="335">
        <v>0</v>
      </c>
      <c r="G75" s="335">
        <v>0</v>
      </c>
      <c r="H75" s="335">
        <v>0</v>
      </c>
      <c r="I75" s="335">
        <v>0</v>
      </c>
      <c r="J75" s="335">
        <v>0</v>
      </c>
      <c r="K75" s="335">
        <v>3668</v>
      </c>
      <c r="L75" s="335">
        <v>197</v>
      </c>
      <c r="M75" s="335">
        <v>297</v>
      </c>
      <c r="N75" s="335"/>
      <c r="O75" s="335"/>
      <c r="P75" s="299">
        <f t="shared" si="6"/>
        <v>4162</v>
      </c>
    </row>
    <row r="76" spans="1:17" ht="15" x14ac:dyDescent="0.25">
      <c r="A76" s="332"/>
      <c r="B76" s="336" t="s">
        <v>269</v>
      </c>
      <c r="C76" s="334" t="str">
        <f>VLOOKUP(B76,'Cat. cuentas'!$A$1:$B$195,2,FALSE)</f>
        <v>OTROS GASTOS</v>
      </c>
      <c r="D76" s="335">
        <v>71564.120000000024</v>
      </c>
      <c r="E76" s="335">
        <v>81152.869999999952</v>
      </c>
      <c r="F76" s="335">
        <v>44356.950000000004</v>
      </c>
      <c r="G76" s="335">
        <v>51005.060000000012</v>
      </c>
      <c r="H76" s="335">
        <v>77671.490000000005</v>
      </c>
      <c r="I76" s="335">
        <v>42897.460000000028</v>
      </c>
      <c r="J76" s="335">
        <v>17693.849999999999</v>
      </c>
      <c r="K76" s="335">
        <v>33370.89</v>
      </c>
      <c r="L76" s="335">
        <v>18149.319999999996</v>
      </c>
      <c r="M76" s="335">
        <v>1002.6599999999876</v>
      </c>
      <c r="N76" s="335"/>
      <c r="O76" s="335"/>
      <c r="P76" s="299">
        <f t="shared" si="6"/>
        <v>438864.67</v>
      </c>
    </row>
    <row r="77" spans="1:17" ht="15" x14ac:dyDescent="0.25">
      <c r="A77" s="332"/>
      <c r="B77" s="336" t="s">
        <v>554</v>
      </c>
      <c r="C77" s="334" t="str">
        <f>VLOOKUP(B77,'Cat. cuentas'!$A$1:$B$195,2,FALSE)</f>
        <v>I.E.P.S</v>
      </c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299">
        <f t="shared" si="6"/>
        <v>0</v>
      </c>
    </row>
    <row r="78" spans="1:17" ht="15" x14ac:dyDescent="0.25">
      <c r="A78" s="332"/>
      <c r="B78" s="336" t="s">
        <v>452</v>
      </c>
      <c r="C78" s="334" t="str">
        <f>VLOOKUP(B78,'Cat. cuentas'!$A$1:$B$195,2,FALSE)</f>
        <v>SERVICIO DE LIMPIEZA</v>
      </c>
      <c r="D78" s="335">
        <v>1400</v>
      </c>
      <c r="E78" s="335">
        <v>0</v>
      </c>
      <c r="F78" s="335">
        <v>1500</v>
      </c>
      <c r="G78" s="335">
        <v>0</v>
      </c>
      <c r="H78" s="335">
        <v>0</v>
      </c>
      <c r="I78" s="335">
        <v>1400</v>
      </c>
      <c r="J78" s="335">
        <v>0</v>
      </c>
      <c r="K78" s="335">
        <v>0</v>
      </c>
      <c r="L78" s="335">
        <v>0</v>
      </c>
      <c r="M78" s="335">
        <v>0</v>
      </c>
      <c r="N78" s="335"/>
      <c r="O78" s="335"/>
      <c r="P78" s="299">
        <f t="shared" si="6"/>
        <v>4300</v>
      </c>
    </row>
    <row r="79" spans="1:17" ht="15" x14ac:dyDescent="0.25">
      <c r="A79" s="332"/>
      <c r="B79" s="336" t="s">
        <v>534</v>
      </c>
      <c r="C79" s="334" t="str">
        <f>VLOOKUP(B79,'Cat. cuentas'!$A$1:$B$195,2,FALSE)</f>
        <v>FLETES PAGADOS POR COMPRAS</v>
      </c>
      <c r="D79" s="335">
        <v>40</v>
      </c>
      <c r="E79" s="335">
        <v>0</v>
      </c>
      <c r="F79" s="335">
        <v>0</v>
      </c>
      <c r="G79" s="335">
        <v>778.19</v>
      </c>
      <c r="H79" s="335">
        <v>0</v>
      </c>
      <c r="I79" s="335">
        <v>2160</v>
      </c>
      <c r="J79" s="335">
        <v>120</v>
      </c>
      <c r="K79" s="335">
        <v>0</v>
      </c>
      <c r="L79" s="335">
        <v>0</v>
      </c>
      <c r="M79" s="335">
        <v>0</v>
      </c>
      <c r="N79" s="335"/>
      <c r="O79" s="335"/>
      <c r="P79" s="299">
        <f t="shared" si="6"/>
        <v>3098.19</v>
      </c>
    </row>
    <row r="80" spans="1:17" ht="15" x14ac:dyDescent="0.25">
      <c r="A80" s="332"/>
      <c r="B80" s="336" t="s">
        <v>419</v>
      </c>
      <c r="C80" s="334" t="str">
        <f>VLOOKUP(B80,'Cat. cuentas'!$A$1:$B$195,2,FALSE)</f>
        <v>INSUMOS DE MANTENIMIENTO</v>
      </c>
      <c r="D80" s="335">
        <v>0</v>
      </c>
      <c r="E80" s="335">
        <v>0</v>
      </c>
      <c r="F80" s="335">
        <v>0</v>
      </c>
      <c r="G80" s="335">
        <v>0</v>
      </c>
      <c r="H80" s="335">
        <v>0</v>
      </c>
      <c r="I80" s="335">
        <v>0</v>
      </c>
      <c r="J80" s="335">
        <v>0</v>
      </c>
      <c r="K80" s="335">
        <v>0</v>
      </c>
      <c r="L80" s="335">
        <v>0</v>
      </c>
      <c r="M80" s="335">
        <v>25078.850000000017</v>
      </c>
      <c r="N80" s="335"/>
      <c r="O80" s="335"/>
      <c r="P80" s="299">
        <f t="shared" si="6"/>
        <v>25078.850000000017</v>
      </c>
    </row>
    <row r="81" spans="1:17" ht="15" x14ac:dyDescent="0.25">
      <c r="A81" s="332"/>
      <c r="B81" s="336" t="s">
        <v>536</v>
      </c>
      <c r="C81" s="334" t="str">
        <f>VLOOKUP(B81,'Cat. cuentas'!$A$1:$B$195,2,FALSE)</f>
        <v>MANIOBRAS DE ARRASTRE</v>
      </c>
      <c r="D81" s="335">
        <v>0</v>
      </c>
      <c r="E81" s="335">
        <v>0</v>
      </c>
      <c r="F81" s="335">
        <v>0</v>
      </c>
      <c r="G81" s="335">
        <v>0</v>
      </c>
      <c r="H81" s="335">
        <v>0</v>
      </c>
      <c r="I81" s="335">
        <v>872.3</v>
      </c>
      <c r="J81" s="335">
        <v>0</v>
      </c>
      <c r="K81" s="335">
        <v>0</v>
      </c>
      <c r="L81" s="335">
        <v>0</v>
      </c>
      <c r="M81" s="335">
        <v>0</v>
      </c>
      <c r="N81" s="335"/>
      <c r="O81" s="335"/>
      <c r="P81" s="299">
        <f t="shared" si="6"/>
        <v>872.3</v>
      </c>
    </row>
    <row r="82" spans="1:17" ht="15" x14ac:dyDescent="0.25">
      <c r="A82" s="324" t="s">
        <v>309</v>
      </c>
      <c r="B82" s="277" t="s">
        <v>257</v>
      </c>
      <c r="C82" s="311" t="str">
        <f>VLOOKUP(B82,'Cat. cuentas'!$A$1:$B$195,2,FALSE)</f>
        <v>VIGILANCIA</v>
      </c>
      <c r="D82" s="299">
        <v>0</v>
      </c>
      <c r="E82" s="299">
        <v>0</v>
      </c>
      <c r="F82" s="299">
        <v>0</v>
      </c>
      <c r="G82" s="299">
        <v>0</v>
      </c>
      <c r="H82" s="299">
        <v>0</v>
      </c>
      <c r="I82" s="299">
        <v>4032.13</v>
      </c>
      <c r="J82" s="299">
        <v>5455.23</v>
      </c>
      <c r="K82" s="299">
        <v>2727.62</v>
      </c>
      <c r="L82" s="299">
        <v>6285.38</v>
      </c>
      <c r="M82" s="299">
        <v>4.5474735088646412E-13</v>
      </c>
      <c r="N82" s="299"/>
      <c r="O82" s="299"/>
      <c r="P82" s="299">
        <f t="shared" si="6"/>
        <v>18500.36</v>
      </c>
    </row>
    <row r="83" spans="1:17" ht="15" x14ac:dyDescent="0.25">
      <c r="A83" s="324" t="s">
        <v>310</v>
      </c>
      <c r="B83" s="459" t="s">
        <v>291</v>
      </c>
      <c r="C83" s="311" t="str">
        <f>VLOOKUP(B83,'Cat. cuentas'!$A$1:$B$195,2,FALSE)</f>
        <v>FACILIDADES ADMINISTRATIVAS</v>
      </c>
      <c r="D83" s="299">
        <v>0</v>
      </c>
      <c r="E83" s="299">
        <v>605</v>
      </c>
      <c r="F83" s="299">
        <v>960</v>
      </c>
      <c r="G83" s="299">
        <v>834</v>
      </c>
      <c r="H83" s="299">
        <v>736.15</v>
      </c>
      <c r="I83" s="299">
        <v>5525.67</v>
      </c>
      <c r="J83" s="299">
        <v>285</v>
      </c>
      <c r="K83" s="299">
        <v>459.4</v>
      </c>
      <c r="L83" s="299">
        <v>598.81999999999994</v>
      </c>
      <c r="M83" s="299">
        <v>377.90999999999997</v>
      </c>
      <c r="N83" s="299"/>
      <c r="O83" s="299"/>
      <c r="P83" s="299">
        <f t="shared" si="6"/>
        <v>10381.949999999999</v>
      </c>
      <c r="Q83" s="111">
        <f>P83/$P$8</f>
        <v>4.4412916341011726E-3</v>
      </c>
    </row>
    <row r="84" spans="1:17" ht="15" x14ac:dyDescent="0.25">
      <c r="A84" s="328" t="s">
        <v>270</v>
      </c>
      <c r="B84" s="290"/>
      <c r="C84" s="292"/>
      <c r="D84" s="337">
        <f t="shared" ref="D84:P84" si="7">SUM(D59:D83)</f>
        <v>79071.000000000029</v>
      </c>
      <c r="E84" s="337">
        <f t="shared" si="7"/>
        <v>86747.839999999953</v>
      </c>
      <c r="F84" s="337">
        <f t="shared" si="7"/>
        <v>55919.98</v>
      </c>
      <c r="G84" s="337">
        <f t="shared" si="7"/>
        <v>57377.930000000015</v>
      </c>
      <c r="H84" s="337">
        <f t="shared" si="7"/>
        <v>80895.34</v>
      </c>
      <c r="I84" s="337">
        <f t="shared" si="7"/>
        <v>83193.650000000038</v>
      </c>
      <c r="J84" s="337">
        <f t="shared" si="7"/>
        <v>42944.729999999996</v>
      </c>
      <c r="K84" s="337">
        <f t="shared" si="7"/>
        <v>59165.760000000002</v>
      </c>
      <c r="L84" s="337">
        <f t="shared" si="7"/>
        <v>43520.799999999988</v>
      </c>
      <c r="M84" s="337">
        <f t="shared" si="7"/>
        <v>33337.450000000004</v>
      </c>
      <c r="N84" s="337">
        <f t="shared" si="7"/>
        <v>302</v>
      </c>
      <c r="O84" s="337">
        <f t="shared" si="7"/>
        <v>302</v>
      </c>
      <c r="P84" s="338">
        <f t="shared" si="7"/>
        <v>622778.47999999986</v>
      </c>
    </row>
    <row r="85" spans="1:17" ht="15" x14ac:dyDescent="0.25">
      <c r="A85" s="328" t="s">
        <v>271</v>
      </c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</row>
    <row r="86" spans="1:17" ht="15" x14ac:dyDescent="0.25">
      <c r="A86" s="324" t="s">
        <v>277</v>
      </c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299"/>
      <c r="P86" s="299">
        <f t="shared" ref="P86:P115" si="8">SUM(D86:O86)</f>
        <v>0</v>
      </c>
    </row>
    <row r="87" spans="1:17" ht="15" x14ac:dyDescent="0.25">
      <c r="A87" s="324" t="s">
        <v>311</v>
      </c>
      <c r="B87" s="312" t="s">
        <v>312</v>
      </c>
      <c r="C87" s="311" t="str">
        <f>VLOOKUP(B87,'Cat. cuentas'!$A$1:$B$195,2,FALSE)</f>
        <v>REPARACION TALLERES EXTERNOS</v>
      </c>
      <c r="D87" s="299">
        <v>101675.51000000001</v>
      </c>
      <c r="E87" s="299">
        <v>155364.41</v>
      </c>
      <c r="F87" s="299">
        <v>154791</v>
      </c>
      <c r="G87" s="299">
        <v>90896.38</v>
      </c>
      <c r="H87" s="299">
        <v>71310</v>
      </c>
      <c r="I87" s="299">
        <v>125378</v>
      </c>
      <c r="J87" s="299">
        <v>21738</v>
      </c>
      <c r="K87" s="299">
        <v>34449.4</v>
      </c>
      <c r="L87" s="299">
        <v>11689.85</v>
      </c>
      <c r="M87" s="299">
        <v>43864</v>
      </c>
      <c r="N87" s="299"/>
      <c r="O87" s="299"/>
      <c r="P87" s="299">
        <f t="shared" si="8"/>
        <v>811156.55</v>
      </c>
      <c r="Q87" s="111">
        <f>P87/$P$8</f>
        <v>0.34700444516313123</v>
      </c>
    </row>
    <row r="88" spans="1:17" ht="15" x14ac:dyDescent="0.25">
      <c r="A88" s="324" t="s">
        <v>313</v>
      </c>
      <c r="B88" s="312" t="s">
        <v>315</v>
      </c>
      <c r="C88" s="311" t="str">
        <f>VLOOKUP(B88,'Cat. cuentas'!$A$1:$B$195,2,FALSE)</f>
        <v>MTTO PREVENTIVO TRACTOR</v>
      </c>
      <c r="D88" s="299">
        <v>49633.410000000011</v>
      </c>
      <c r="E88" s="299">
        <v>109052.07999999994</v>
      </c>
      <c r="F88" s="299">
        <v>144546.89999999991</v>
      </c>
      <c r="G88" s="299">
        <v>115224.6399999999</v>
      </c>
      <c r="H88" s="299">
        <v>53553.250000000015</v>
      </c>
      <c r="I88" s="299">
        <v>99521.649999999951</v>
      </c>
      <c r="J88" s="299">
        <v>135744.96999999991</v>
      </c>
      <c r="K88" s="299">
        <v>126493.72999999998</v>
      </c>
      <c r="L88" s="299">
        <v>63759.76000000006</v>
      </c>
      <c r="M88" s="299">
        <v>97507.619999999937</v>
      </c>
      <c r="N88" s="299"/>
      <c r="O88" s="299"/>
      <c r="P88" s="299">
        <f t="shared" si="8"/>
        <v>995038.00999999954</v>
      </c>
      <c r="Q88" s="111">
        <f>P88/$P$8</f>
        <v>0.42566704611616096</v>
      </c>
    </row>
    <row r="89" spans="1:17" ht="15" x14ac:dyDescent="0.25">
      <c r="A89" s="332" t="s">
        <v>316</v>
      </c>
      <c r="B89" s="336" t="s">
        <v>317</v>
      </c>
      <c r="C89" s="334" t="str">
        <f>VLOOKUP(B89,'Cat. cuentas'!$A$1:$B$195,2,FALSE)</f>
        <v>MTTO PREVENTIVO TOLVA</v>
      </c>
      <c r="D89" s="335">
        <v>0</v>
      </c>
      <c r="E89" s="335">
        <v>0</v>
      </c>
      <c r="F89" s="335">
        <v>0</v>
      </c>
      <c r="G89" s="335">
        <v>0</v>
      </c>
      <c r="H89" s="335">
        <v>0</v>
      </c>
      <c r="I89" s="335">
        <v>0</v>
      </c>
      <c r="J89" s="335">
        <v>4994.4800000000005</v>
      </c>
      <c r="K89" s="335">
        <v>78.540000000000006</v>
      </c>
      <c r="L89" s="335">
        <v>29534.160000000007</v>
      </c>
      <c r="M89" s="335">
        <v>25790.550000000007</v>
      </c>
      <c r="N89" s="335"/>
      <c r="O89" s="335"/>
      <c r="P89" s="335">
        <f t="shared" si="8"/>
        <v>60397.73000000001</v>
      </c>
      <c r="Q89" s="111">
        <f>P89/$P$8</f>
        <v>2.5837528881154453E-2</v>
      </c>
    </row>
    <row r="90" spans="1:17" ht="15" x14ac:dyDescent="0.25">
      <c r="A90" s="332"/>
      <c r="B90" s="336" t="s">
        <v>318</v>
      </c>
      <c r="C90" s="334" t="str">
        <f>VLOOKUP(B90,'Cat. cuentas'!$A$1:$B$195,2,FALSE)</f>
        <v>MTTO. CUIDADO DE LA IMAGEN</v>
      </c>
      <c r="D90" s="335">
        <v>0</v>
      </c>
      <c r="E90" s="335">
        <v>0</v>
      </c>
      <c r="F90" s="335">
        <v>0</v>
      </c>
      <c r="G90" s="335">
        <v>62256.599999999991</v>
      </c>
      <c r="H90" s="335">
        <v>0</v>
      </c>
      <c r="I90" s="335">
        <v>4000</v>
      </c>
      <c r="J90" s="335">
        <v>90419.8</v>
      </c>
      <c r="K90" s="335">
        <v>9400</v>
      </c>
      <c r="L90" s="335">
        <v>0</v>
      </c>
      <c r="M90" s="335">
        <v>25577.49</v>
      </c>
      <c r="N90" s="335"/>
      <c r="O90" s="335"/>
      <c r="P90" s="335">
        <f t="shared" si="8"/>
        <v>191653.88999999998</v>
      </c>
      <c r="Q90" s="111">
        <f>P90/$P$8</f>
        <v>8.1987566719156454E-2</v>
      </c>
    </row>
    <row r="91" spans="1:17" ht="15" x14ac:dyDescent="0.25">
      <c r="A91" s="332"/>
      <c r="B91" s="336" t="s">
        <v>319</v>
      </c>
      <c r="C91" s="334" t="str">
        <f>VLOOKUP(B91,'Cat. cuentas'!$A$1:$B$195,2,FALSE)</f>
        <v>MTTO PREVENTIVO DOLLY</v>
      </c>
      <c r="D91" s="335">
        <v>39242.5</v>
      </c>
      <c r="E91" s="335">
        <v>24135.26</v>
      </c>
      <c r="F91" s="335">
        <v>68036.12</v>
      </c>
      <c r="G91" s="335">
        <v>84123.39999999998</v>
      </c>
      <c r="H91" s="335">
        <v>20894.270000000004</v>
      </c>
      <c r="I91" s="335">
        <v>11742.42</v>
      </c>
      <c r="J91" s="335">
        <v>18937.619999999992</v>
      </c>
      <c r="K91" s="335">
        <v>18642.779999999995</v>
      </c>
      <c r="L91" s="335">
        <v>10314.23</v>
      </c>
      <c r="M91" s="335">
        <v>19033.229999999992</v>
      </c>
      <c r="N91" s="335"/>
      <c r="O91" s="335"/>
      <c r="P91" s="335">
        <f t="shared" si="8"/>
        <v>315101.8299999999</v>
      </c>
      <c r="Q91" s="111">
        <f>P91/$P$8</f>
        <v>0.13479732819643417</v>
      </c>
    </row>
    <row r="92" spans="1:17" ht="15" x14ac:dyDescent="0.25">
      <c r="A92" s="332"/>
      <c r="B92" s="336" t="s">
        <v>486</v>
      </c>
      <c r="C92" s="334" t="str">
        <f>VLOOKUP(B92,'Cat. cuentas'!$A$1:$B$195,2,FALSE)</f>
        <v>MTTO PREVENTIVO CAJA SECA</v>
      </c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</row>
    <row r="93" spans="1:17" ht="15" x14ac:dyDescent="0.25">
      <c r="A93" s="332"/>
      <c r="B93" s="336" t="s">
        <v>488</v>
      </c>
      <c r="C93" s="334" t="str">
        <f>VLOOKUP(B93,'Cat. cuentas'!$A$1:$B$195,2,FALSE)</f>
        <v>MTTO PREVENTIVO PLANA</v>
      </c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</row>
    <row r="94" spans="1:17" ht="15" x14ac:dyDescent="0.25">
      <c r="A94" s="332"/>
      <c r="B94" s="336" t="s">
        <v>484</v>
      </c>
      <c r="C94" s="334" t="str">
        <f>VLOOKUP(B94,'Cat. cuentas'!$A$1:$B$195,2,FALSE)</f>
        <v>MTTO PREVENTIVO CAJA VOLTEO</v>
      </c>
      <c r="D94" s="335"/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</row>
    <row r="95" spans="1:17" ht="15" x14ac:dyDescent="0.25">
      <c r="A95" s="324" t="s">
        <v>320</v>
      </c>
      <c r="B95" s="312" t="s">
        <v>321</v>
      </c>
      <c r="C95" s="311" t="str">
        <f>VLOOKUP(B95,'Cat. cuentas'!$A$1:$B$195,2,FALSE)</f>
        <v>SERVICIO  OUTSORCING</v>
      </c>
      <c r="D95" s="299">
        <v>178809.52000000002</v>
      </c>
      <c r="E95" s="299">
        <v>147878.53999999998</v>
      </c>
      <c r="F95" s="299">
        <v>205913.78</v>
      </c>
      <c r="G95" s="299">
        <v>286917.69</v>
      </c>
      <c r="H95" s="299">
        <v>147821.96000000002</v>
      </c>
      <c r="I95" s="299">
        <v>224758.63999999998</v>
      </c>
      <c r="J95" s="299">
        <v>153213.81</v>
      </c>
      <c r="K95" s="299">
        <v>199401.96999999997</v>
      </c>
      <c r="L95" s="299">
        <v>161618.76</v>
      </c>
      <c r="M95" s="299">
        <v>144799.90999999997</v>
      </c>
      <c r="N95" s="299"/>
      <c r="O95" s="299"/>
      <c r="P95" s="299">
        <f t="shared" si="8"/>
        <v>1851134.5799999998</v>
      </c>
      <c r="Q95" s="111">
        <f>P95/$P$8</f>
        <v>0.79189637050355555</v>
      </c>
    </row>
    <row r="96" spans="1:17" ht="15" x14ac:dyDescent="0.25">
      <c r="A96" s="324"/>
      <c r="B96" s="312" t="s">
        <v>322</v>
      </c>
      <c r="C96" s="311" t="str">
        <f>VLOOKUP(B96,'Cat. cuentas'!$A$1:$B$195,2,FALSE)</f>
        <v>MTTO CORRECTIVO TRACTOR</v>
      </c>
      <c r="D96" s="299">
        <v>262656.72999999986</v>
      </c>
      <c r="E96" s="299">
        <v>143939.78000000023</v>
      </c>
      <c r="F96" s="299">
        <v>128277.48000000001</v>
      </c>
      <c r="G96" s="299">
        <v>101358.51000000008</v>
      </c>
      <c r="H96" s="299">
        <v>96669.79999999993</v>
      </c>
      <c r="I96" s="299">
        <v>127555.80000000012</v>
      </c>
      <c r="J96" s="299">
        <v>135601.10999999999</v>
      </c>
      <c r="K96" s="299">
        <v>149243.49</v>
      </c>
      <c r="L96" s="299">
        <v>129223.60000000002</v>
      </c>
      <c r="M96" s="299">
        <v>123072.46999999994</v>
      </c>
      <c r="N96" s="299"/>
      <c r="O96" s="299"/>
      <c r="P96" s="299">
        <f t="shared" si="8"/>
        <v>1397598.7700000003</v>
      </c>
      <c r="Q96" s="111">
        <f t="shared" ref="Q96:Q108" si="9">P96/$P$8</f>
        <v>0.59787840675702453</v>
      </c>
    </row>
    <row r="97" spans="1:17" ht="15" x14ac:dyDescent="0.25">
      <c r="A97" s="324"/>
      <c r="B97" s="312" t="s">
        <v>323</v>
      </c>
      <c r="C97" s="311" t="str">
        <f>VLOOKUP(B97,'Cat. cuentas'!$A$1:$B$195,2,FALSE)</f>
        <v>AUXILIO CARRETERA TRACTOR</v>
      </c>
      <c r="D97" s="299">
        <v>1905.01</v>
      </c>
      <c r="E97" s="299">
        <v>0</v>
      </c>
      <c r="F97" s="299">
        <v>22302.17</v>
      </c>
      <c r="G97" s="299">
        <v>0</v>
      </c>
      <c r="H97" s="299">
        <v>1599.83</v>
      </c>
      <c r="I97" s="299">
        <v>1675.07</v>
      </c>
      <c r="J97" s="299">
        <v>16658.510000000002</v>
      </c>
      <c r="K97" s="299">
        <v>0</v>
      </c>
      <c r="L97" s="299">
        <v>119.52</v>
      </c>
      <c r="M97" s="299">
        <v>2487.36</v>
      </c>
      <c r="N97" s="299"/>
      <c r="O97" s="299"/>
      <c r="P97" s="299">
        <f t="shared" si="8"/>
        <v>46747.469999999994</v>
      </c>
      <c r="Q97" s="111">
        <f t="shared" si="9"/>
        <v>1.9998087779886778E-2</v>
      </c>
    </row>
    <row r="98" spans="1:17" ht="15" x14ac:dyDescent="0.25">
      <c r="A98" s="324"/>
      <c r="B98" s="277" t="s">
        <v>532</v>
      </c>
      <c r="C98" s="311" t="str">
        <f>VLOOKUP(B98,'Cat. cuentas'!$A$1:$B$195,2,FALSE)</f>
        <v>AUXILIO CARR COMPR./SOPLADOR</v>
      </c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299"/>
      <c r="P98" s="299">
        <f t="shared" si="8"/>
        <v>0</v>
      </c>
      <c r="Q98" s="111">
        <f t="shared" si="9"/>
        <v>0</v>
      </c>
    </row>
    <row r="99" spans="1:17" ht="15" x14ac:dyDescent="0.25">
      <c r="A99" s="332" t="s">
        <v>324</v>
      </c>
      <c r="B99" s="336" t="s">
        <v>325</v>
      </c>
      <c r="C99" s="334" t="str">
        <f>VLOOKUP(B99,'Cat. cuentas'!$A$1:$B$195,2,FALSE)</f>
        <v>MTTO CORRECTIVO TOLVA</v>
      </c>
      <c r="D99" s="335">
        <v>47939.790000000008</v>
      </c>
      <c r="E99" s="335">
        <v>97937.120000000024</v>
      </c>
      <c r="F99" s="335">
        <v>52501.079999999987</v>
      </c>
      <c r="G99" s="335">
        <v>114245.87999999999</v>
      </c>
      <c r="H99" s="335">
        <v>55183.059999999969</v>
      </c>
      <c r="I99" s="335">
        <v>36926.500000000007</v>
      </c>
      <c r="J99" s="335">
        <v>80943.749999999985</v>
      </c>
      <c r="K99" s="335">
        <v>70768.439999999959</v>
      </c>
      <c r="L99" s="335">
        <v>31342.520000000004</v>
      </c>
      <c r="M99" s="335">
        <v>41241.199999999997</v>
      </c>
      <c r="N99" s="335"/>
      <c r="O99" s="335"/>
      <c r="P99" s="335">
        <f t="shared" si="8"/>
        <v>629029.33999999985</v>
      </c>
      <c r="Q99" s="111">
        <f t="shared" si="9"/>
        <v>0.26909229435184928</v>
      </c>
    </row>
    <row r="100" spans="1:17" ht="15" x14ac:dyDescent="0.25">
      <c r="A100" s="332"/>
      <c r="B100" s="336" t="s">
        <v>522</v>
      </c>
      <c r="C100" s="334" t="str">
        <f>VLOOKUP(B100,'Cat. cuentas'!$A$1:$B$195,2,FALSE)</f>
        <v>AUXILIO CARRETERA TOLVA</v>
      </c>
      <c r="D100" s="335">
        <v>0</v>
      </c>
      <c r="E100" s="335">
        <v>0</v>
      </c>
      <c r="F100" s="335">
        <v>0</v>
      </c>
      <c r="G100" s="335">
        <v>1433.41</v>
      </c>
      <c r="H100" s="335">
        <v>1386.8400000000001</v>
      </c>
      <c r="I100" s="335">
        <v>0</v>
      </c>
      <c r="J100" s="335">
        <v>0</v>
      </c>
      <c r="K100" s="335">
        <v>0</v>
      </c>
      <c r="L100" s="335">
        <v>0</v>
      </c>
      <c r="M100" s="335">
        <v>0</v>
      </c>
      <c r="N100" s="335"/>
      <c r="O100" s="335"/>
      <c r="P100" s="335"/>
      <c r="Q100" s="111">
        <f t="shared" si="9"/>
        <v>0</v>
      </c>
    </row>
    <row r="101" spans="1:17" ht="15" x14ac:dyDescent="0.25">
      <c r="A101" s="332"/>
      <c r="B101" s="336" t="s">
        <v>326</v>
      </c>
      <c r="C101" s="334" t="str">
        <f>VLOOKUP(B101,'Cat. cuentas'!$A$1:$B$195,2,FALSE)</f>
        <v>MTTO CORRECTIVO CAJA VOLTEO</v>
      </c>
      <c r="D101" s="335"/>
      <c r="E101" s="335"/>
      <c r="F101" s="335"/>
      <c r="G101" s="335"/>
      <c r="H101" s="335"/>
      <c r="I101" s="335"/>
      <c r="J101" s="335"/>
      <c r="K101" s="335"/>
      <c r="L101" s="335"/>
      <c r="M101" s="335"/>
      <c r="N101" s="335"/>
      <c r="O101" s="335"/>
      <c r="P101" s="335">
        <f t="shared" si="8"/>
        <v>0</v>
      </c>
      <c r="Q101" s="111">
        <f t="shared" si="9"/>
        <v>0</v>
      </c>
    </row>
    <row r="102" spans="1:17" ht="15" x14ac:dyDescent="0.25">
      <c r="A102" s="332"/>
      <c r="B102" s="336" t="s">
        <v>327</v>
      </c>
      <c r="C102" s="334" t="str">
        <f>VLOOKUP(B102,'Cat. cuentas'!$A$1:$B$195,2,FALSE)</f>
        <v>MTTO CORRECTIVO PLANA</v>
      </c>
      <c r="D102" s="335">
        <v>0</v>
      </c>
      <c r="E102" s="335">
        <v>0</v>
      </c>
      <c r="F102" s="335">
        <v>0</v>
      </c>
      <c r="G102" s="335">
        <v>47998.110000000008</v>
      </c>
      <c r="H102" s="335">
        <v>111382.90999999996</v>
      </c>
      <c r="I102" s="335">
        <v>63251.609999999964</v>
      </c>
      <c r="J102" s="335">
        <v>2966.4299999999994</v>
      </c>
      <c r="K102" s="335">
        <v>143.07</v>
      </c>
      <c r="L102" s="335">
        <v>1213.92</v>
      </c>
      <c r="M102" s="335">
        <v>24889.869999999995</v>
      </c>
      <c r="N102" s="335"/>
      <c r="O102" s="335"/>
      <c r="P102" s="335">
        <f t="shared" si="8"/>
        <v>251845.91999999993</v>
      </c>
      <c r="Q102" s="111">
        <f t="shared" si="9"/>
        <v>0.10773709925192405</v>
      </c>
    </row>
    <row r="103" spans="1:17" ht="15" x14ac:dyDescent="0.25">
      <c r="A103" s="332"/>
      <c r="B103" s="336" t="s">
        <v>328</v>
      </c>
      <c r="C103" s="334" t="str">
        <f>VLOOKUP(B103,'Cat. cuentas'!$A$1:$B$195,2,FALSE)</f>
        <v>MTTO CORRECTIVO DOLLY</v>
      </c>
      <c r="D103" s="335">
        <v>39242.5</v>
      </c>
      <c r="E103" s="335">
        <v>24135.26</v>
      </c>
      <c r="F103" s="335">
        <v>68036.12</v>
      </c>
      <c r="G103" s="335">
        <v>84123.39999999998</v>
      </c>
      <c r="H103" s="335">
        <v>20894.270000000004</v>
      </c>
      <c r="I103" s="335">
        <v>11742.42</v>
      </c>
      <c r="J103" s="335">
        <v>18937.619999999992</v>
      </c>
      <c r="K103" s="335">
        <v>18642.779999999995</v>
      </c>
      <c r="L103" s="335">
        <v>10314.23</v>
      </c>
      <c r="M103" s="335">
        <v>19033.229999999992</v>
      </c>
      <c r="N103" s="335"/>
      <c r="O103" s="335"/>
      <c r="P103" s="335">
        <f t="shared" si="8"/>
        <v>315101.8299999999</v>
      </c>
      <c r="Q103" s="111">
        <f t="shared" si="9"/>
        <v>0.13479732819643417</v>
      </c>
    </row>
    <row r="104" spans="1:17" ht="15" x14ac:dyDescent="0.25">
      <c r="A104" s="332"/>
      <c r="B104" s="333" t="s">
        <v>522</v>
      </c>
      <c r="C104" s="334" t="str">
        <f>VLOOKUP(B104,'Cat. cuentas'!$A$1:$B$195,2,FALSE)</f>
        <v>AUXILIO CARRETERA TOLVA</v>
      </c>
      <c r="D104" s="335">
        <v>0</v>
      </c>
      <c r="E104" s="335">
        <v>0</v>
      </c>
      <c r="F104" s="335">
        <v>0</v>
      </c>
      <c r="G104" s="335">
        <v>1433.41</v>
      </c>
      <c r="H104" s="335">
        <v>1386.8400000000001</v>
      </c>
      <c r="I104" s="335">
        <v>0</v>
      </c>
      <c r="J104" s="335">
        <v>0</v>
      </c>
      <c r="K104" s="335">
        <v>0</v>
      </c>
      <c r="L104" s="335">
        <v>0</v>
      </c>
      <c r="M104" s="335">
        <v>0</v>
      </c>
      <c r="N104" s="335"/>
      <c r="O104" s="335"/>
      <c r="P104" s="335">
        <f t="shared" si="8"/>
        <v>2820.25</v>
      </c>
      <c r="Q104" s="111">
        <f t="shared" si="9"/>
        <v>1.2064739987260422E-3</v>
      </c>
    </row>
    <row r="105" spans="1:17" ht="15" x14ac:dyDescent="0.25">
      <c r="A105" s="332"/>
      <c r="B105" s="333" t="s">
        <v>524</v>
      </c>
      <c r="C105" s="334" t="str">
        <f>VLOOKUP(B105,'Cat. cuentas'!$A$1:$B$195,2,FALSE)</f>
        <v>AUXILIO CARRETERA CAJA VOLTEO</v>
      </c>
      <c r="D105" s="335">
        <v>0</v>
      </c>
      <c r="E105" s="335">
        <v>0</v>
      </c>
      <c r="F105" s="335">
        <v>0</v>
      </c>
      <c r="G105" s="335">
        <v>0</v>
      </c>
      <c r="H105" s="335">
        <v>0</v>
      </c>
      <c r="I105" s="335">
        <v>1184.03</v>
      </c>
      <c r="J105" s="335">
        <v>6368.5300000000007</v>
      </c>
      <c r="K105" s="335">
        <v>1844.2400000000005</v>
      </c>
      <c r="L105" s="335">
        <v>0</v>
      </c>
      <c r="M105" s="335">
        <v>590.88</v>
      </c>
      <c r="N105" s="335"/>
      <c r="O105" s="335"/>
      <c r="P105" s="335">
        <f t="shared" si="8"/>
        <v>9987.68</v>
      </c>
      <c r="Q105" s="111">
        <f t="shared" si="9"/>
        <v>4.2726269754795199E-3</v>
      </c>
    </row>
    <row r="106" spans="1:17" ht="15" x14ac:dyDescent="0.25">
      <c r="A106" s="332"/>
      <c r="B106" s="333" t="s">
        <v>526</v>
      </c>
      <c r="C106" s="334" t="str">
        <f>VLOOKUP(B106,'Cat. cuentas'!$A$1:$B$195,2,FALSE)</f>
        <v>AUXILIO CARRETERA CAJA SECA</v>
      </c>
      <c r="D106" s="335"/>
      <c r="E106" s="335"/>
      <c r="F106" s="335"/>
      <c r="G106" s="335"/>
      <c r="H106" s="335"/>
      <c r="I106" s="335"/>
      <c r="J106" s="335"/>
      <c r="K106" s="335"/>
      <c r="L106" s="335"/>
      <c r="M106" s="335"/>
      <c r="N106" s="335"/>
      <c r="O106" s="335"/>
      <c r="P106" s="335">
        <f t="shared" si="8"/>
        <v>0</v>
      </c>
      <c r="Q106" s="111">
        <f t="shared" si="9"/>
        <v>0</v>
      </c>
    </row>
    <row r="107" spans="1:17" ht="15" x14ac:dyDescent="0.25">
      <c r="A107" s="332"/>
      <c r="B107" s="333" t="s">
        <v>528</v>
      </c>
      <c r="C107" s="334" t="str">
        <f>VLOOKUP(B107,'Cat. cuentas'!$A$1:$B$195,2,FALSE)</f>
        <v>AUXILIO CARRETERA PLANA</v>
      </c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5"/>
      <c r="P107" s="335">
        <f t="shared" si="8"/>
        <v>0</v>
      </c>
      <c r="Q107" s="111">
        <f t="shared" si="9"/>
        <v>0</v>
      </c>
    </row>
    <row r="108" spans="1:17" ht="15" x14ac:dyDescent="0.25">
      <c r="A108" s="332"/>
      <c r="B108" s="333" t="s">
        <v>530</v>
      </c>
      <c r="C108" s="334" t="str">
        <f>VLOOKUP(B108,'Cat. cuentas'!$A$1:$B$195,2,FALSE)</f>
        <v>AUXILIO CARRETERA DOLLY</v>
      </c>
      <c r="D108" s="335">
        <v>0</v>
      </c>
      <c r="E108" s="335">
        <v>0</v>
      </c>
      <c r="F108" s="335">
        <v>0</v>
      </c>
      <c r="G108" s="335">
        <v>1271.26</v>
      </c>
      <c r="H108" s="335">
        <v>0</v>
      </c>
      <c r="I108" s="335">
        <v>0</v>
      </c>
      <c r="J108" s="335">
        <v>0</v>
      </c>
      <c r="K108" s="335">
        <v>0</v>
      </c>
      <c r="L108" s="335">
        <v>0</v>
      </c>
      <c r="M108" s="335">
        <v>0</v>
      </c>
      <c r="N108" s="335"/>
      <c r="O108" s="335"/>
      <c r="P108" s="335">
        <f t="shared" si="8"/>
        <v>1271.26</v>
      </c>
      <c r="Q108" s="111">
        <f t="shared" si="9"/>
        <v>5.4383197788155952E-4</v>
      </c>
    </row>
    <row r="109" spans="1:17" ht="15" x14ac:dyDescent="0.25">
      <c r="A109" s="332"/>
      <c r="B109" s="336"/>
      <c r="C109" s="334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>
        <f t="shared" si="8"/>
        <v>0</v>
      </c>
    </row>
    <row r="110" spans="1:17" ht="15" x14ac:dyDescent="0.25">
      <c r="A110" s="324" t="s">
        <v>329</v>
      </c>
      <c r="B110" s="277" t="s">
        <v>308</v>
      </c>
      <c r="C110" s="311" t="str">
        <f>VLOOKUP(B110,'Cat. cuentas'!$A$1:$B$195,2,FALSE)</f>
        <v>MANTENIMIENTO DE EDIFICIOS</v>
      </c>
      <c r="D110" s="299"/>
      <c r="E110" s="299"/>
      <c r="F110" s="299"/>
      <c r="G110" s="299"/>
      <c r="H110" s="299"/>
      <c r="I110" s="299"/>
      <c r="J110" s="299"/>
      <c r="K110" s="299"/>
      <c r="L110" s="299"/>
      <c r="M110" s="299"/>
      <c r="N110" s="299"/>
      <c r="O110" s="299"/>
      <c r="P110" s="299">
        <f t="shared" si="8"/>
        <v>0</v>
      </c>
    </row>
    <row r="111" spans="1:17" ht="15" x14ac:dyDescent="0.25">
      <c r="A111" s="324" t="s">
        <v>330</v>
      </c>
      <c r="B111" s="277" t="s">
        <v>406</v>
      </c>
      <c r="C111" s="311" t="str">
        <f>VLOOKUP(B111,'Cat. cuentas'!$A$1:$B$195,2,FALSE)</f>
        <v>MTTO. DE EQUIPO DE OFICINA</v>
      </c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299"/>
      <c r="P111" s="299">
        <f t="shared" si="8"/>
        <v>0</v>
      </c>
    </row>
    <row r="112" spans="1:17" ht="15" x14ac:dyDescent="0.25">
      <c r="A112" s="324"/>
      <c r="B112" s="277" t="s">
        <v>413</v>
      </c>
      <c r="C112" s="311" t="str">
        <f>VLOOKUP(B112,'Cat. cuentas'!$A$1:$B$195,2,FALSE)</f>
        <v>MTTO. EQUIPO RADIOCOMUNICACION</v>
      </c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299"/>
      <c r="P112" s="299">
        <f t="shared" si="8"/>
        <v>0</v>
      </c>
    </row>
    <row r="113" spans="1:16" ht="15" x14ac:dyDescent="0.25">
      <c r="A113" s="324"/>
      <c r="C113" s="311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  <c r="P113" s="299">
        <f t="shared" si="8"/>
        <v>0</v>
      </c>
    </row>
    <row r="114" spans="1:16" ht="15" x14ac:dyDescent="0.25">
      <c r="A114" s="324" t="s">
        <v>331</v>
      </c>
      <c r="B114" s="312" t="s">
        <v>314</v>
      </c>
      <c r="C114" s="311" t="str">
        <f>VLOOKUP(B114,'Cat. cuentas'!$A$1:$B$195,2,FALSE)</f>
        <v>LAVADO LOCAL</v>
      </c>
      <c r="D114" s="299">
        <v>6170.41</v>
      </c>
      <c r="E114" s="299">
        <v>986.33</v>
      </c>
      <c r="F114" s="299">
        <v>11462.910000000005</v>
      </c>
      <c r="G114" s="299">
        <v>6791.2500000000018</v>
      </c>
      <c r="H114" s="299">
        <v>3703.8700000000003</v>
      </c>
      <c r="I114" s="299">
        <v>6711.760000000002</v>
      </c>
      <c r="J114" s="299">
        <v>8037.9100000000017</v>
      </c>
      <c r="K114" s="299">
        <v>7010.4500000000016</v>
      </c>
      <c r="L114" s="299">
        <v>6037.9300000000012</v>
      </c>
      <c r="M114" s="299">
        <v>7052.060000000004</v>
      </c>
      <c r="N114" s="299"/>
      <c r="O114" s="299"/>
      <c r="P114" s="299">
        <f t="shared" si="8"/>
        <v>63964.880000000026</v>
      </c>
    </row>
    <row r="115" spans="1:16" ht="15" x14ac:dyDescent="0.25">
      <c r="A115" s="324" t="s">
        <v>332</v>
      </c>
      <c r="B115" s="277" t="s">
        <v>540</v>
      </c>
      <c r="C115" s="311" t="str">
        <f>VLOOKUP(B115,'Cat. cuentas'!$A$1:$B$195,2,FALSE)</f>
        <v>SANDBLASTEO</v>
      </c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299"/>
      <c r="P115" s="299">
        <f t="shared" si="8"/>
        <v>0</v>
      </c>
    </row>
    <row r="116" spans="1:16" ht="15" x14ac:dyDescent="0.25">
      <c r="A116" s="324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299"/>
      <c r="P116" s="299">
        <f>SUM(D116:O116)</f>
        <v>0</v>
      </c>
    </row>
    <row r="117" spans="1:16" ht="15" x14ac:dyDescent="0.25">
      <c r="A117" s="328" t="s">
        <v>292</v>
      </c>
      <c r="B117" s="290"/>
      <c r="C117" s="292"/>
      <c r="D117" s="337">
        <f t="shared" ref="D117:P117" si="10">SUM(D86:D116)</f>
        <v>727275.38</v>
      </c>
      <c r="E117" s="337">
        <f t="shared" si="10"/>
        <v>703428.78000000014</v>
      </c>
      <c r="F117" s="337">
        <f t="shared" si="10"/>
        <v>855867.55999999994</v>
      </c>
      <c r="G117" s="337">
        <f t="shared" si="10"/>
        <v>998073.94000000006</v>
      </c>
      <c r="H117" s="337">
        <f t="shared" si="10"/>
        <v>585786.89999999991</v>
      </c>
      <c r="I117" s="337">
        <f t="shared" si="10"/>
        <v>714447.90000000014</v>
      </c>
      <c r="J117" s="337">
        <f t="shared" si="10"/>
        <v>694562.54</v>
      </c>
      <c r="K117" s="337">
        <f t="shared" si="10"/>
        <v>636118.88999999978</v>
      </c>
      <c r="L117" s="337">
        <f t="shared" si="10"/>
        <v>455168.4800000001</v>
      </c>
      <c r="M117" s="337">
        <f t="shared" si="10"/>
        <v>574939.87</v>
      </c>
      <c r="N117" s="337">
        <f t="shared" si="10"/>
        <v>0</v>
      </c>
      <c r="O117" s="337">
        <f t="shared" si="10"/>
        <v>0</v>
      </c>
      <c r="P117" s="338">
        <f t="shared" si="10"/>
        <v>6942849.9899999984</v>
      </c>
    </row>
    <row r="118" spans="1:16" ht="15.75" thickBot="1" x14ac:dyDescent="0.3">
      <c r="A118" s="339" t="s">
        <v>333</v>
      </c>
      <c r="B118" s="340"/>
      <c r="C118" s="341"/>
      <c r="D118" s="342">
        <f>D117+D84</f>
        <v>806346.38</v>
      </c>
      <c r="E118" s="342">
        <f t="shared" ref="E118:P118" si="11">E117+E84</f>
        <v>790176.62000000011</v>
      </c>
      <c r="F118" s="342">
        <f t="shared" si="11"/>
        <v>911787.53999999992</v>
      </c>
      <c r="G118" s="342">
        <f t="shared" si="11"/>
        <v>1055451.8700000001</v>
      </c>
      <c r="H118" s="342">
        <f t="shared" si="11"/>
        <v>666682.23999999987</v>
      </c>
      <c r="I118" s="342">
        <f t="shared" si="11"/>
        <v>797641.55000000016</v>
      </c>
      <c r="J118" s="342">
        <f t="shared" si="11"/>
        <v>737507.27</v>
      </c>
      <c r="K118" s="342">
        <f t="shared" si="11"/>
        <v>695284.64999999979</v>
      </c>
      <c r="L118" s="342">
        <f t="shared" si="11"/>
        <v>498689.28000000009</v>
      </c>
      <c r="M118" s="342">
        <f t="shared" si="11"/>
        <v>608277.31999999995</v>
      </c>
      <c r="N118" s="342">
        <f t="shared" si="11"/>
        <v>302</v>
      </c>
      <c r="O118" s="342">
        <f t="shared" si="11"/>
        <v>302</v>
      </c>
      <c r="P118" s="343">
        <f t="shared" si="11"/>
        <v>7565628.4699999979</v>
      </c>
    </row>
    <row r="119" spans="1:16" ht="15.75" thickBot="1" x14ac:dyDescent="0.3">
      <c r="A119" s="344"/>
    </row>
    <row r="120" spans="1:16" ht="15.75" thickBot="1" x14ac:dyDescent="0.3">
      <c r="A120" s="345" t="s">
        <v>334</v>
      </c>
      <c r="B120" s="280"/>
      <c r="C120" s="346"/>
      <c r="D120" s="460">
        <f>D118+D56</f>
        <v>3081678.1999999993</v>
      </c>
      <c r="E120" s="460">
        <f t="shared" ref="E120:P120" si="12">E118+E56</f>
        <v>3068397.5400000005</v>
      </c>
      <c r="F120" s="460">
        <f t="shared" si="12"/>
        <v>3715320.25</v>
      </c>
      <c r="G120" s="460">
        <f t="shared" si="12"/>
        <v>3438783.95</v>
      </c>
      <c r="H120" s="460">
        <f t="shared" si="12"/>
        <v>3241926.4299999997</v>
      </c>
      <c r="I120" s="460">
        <f t="shared" si="12"/>
        <v>2964941.3600000008</v>
      </c>
      <c r="J120" s="460">
        <f t="shared" si="12"/>
        <v>3535929.45</v>
      </c>
      <c r="K120" s="460">
        <f t="shared" si="12"/>
        <v>3332523.64</v>
      </c>
      <c r="L120" s="460">
        <f t="shared" si="12"/>
        <v>2795747.5900000003</v>
      </c>
      <c r="M120" s="460">
        <f t="shared" si="12"/>
        <v>3310270.9800000004</v>
      </c>
      <c r="N120" s="460">
        <f t="shared" si="12"/>
        <v>302</v>
      </c>
      <c r="O120" s="460">
        <f t="shared" si="12"/>
        <v>302</v>
      </c>
      <c r="P120" s="461">
        <f t="shared" si="12"/>
        <v>32483303.140000008</v>
      </c>
    </row>
    <row r="121" spans="1:16" ht="15" x14ac:dyDescent="0.25">
      <c r="A121" s="344"/>
    </row>
  </sheetData>
  <pageMargins left="0.7" right="0.7" top="0.75" bottom="0.75" header="0.3" footer="0.3"/>
  <pageSetup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"/>
  <sheetViews>
    <sheetView workbookViewId="0">
      <selection activeCell="F11" sqref="F11:Q16"/>
    </sheetView>
  </sheetViews>
  <sheetFormatPr baseColWidth="10" defaultRowHeight="12.75" x14ac:dyDescent="0.2"/>
  <cols>
    <col min="1" max="1" width="11.42578125" style="111"/>
    <col min="2" max="2" width="37.7109375" style="111" bestFit="1" customWidth="1"/>
    <col min="3" max="16384" width="11.42578125" style="111"/>
  </cols>
  <sheetData>
    <row r="1" spans="1:2" x14ac:dyDescent="0.2">
      <c r="A1" s="277" t="s">
        <v>276</v>
      </c>
      <c r="B1" s="277" t="s">
        <v>335</v>
      </c>
    </row>
    <row r="2" spans="1:2" x14ac:dyDescent="0.2">
      <c r="A2" s="277" t="s">
        <v>336</v>
      </c>
      <c r="B2" s="277" t="s">
        <v>337</v>
      </c>
    </row>
    <row r="3" spans="1:2" x14ac:dyDescent="0.2">
      <c r="A3" s="277" t="s">
        <v>338</v>
      </c>
      <c r="B3" s="277" t="s">
        <v>339</v>
      </c>
    </row>
    <row r="4" spans="1:2" x14ac:dyDescent="0.2">
      <c r="A4" s="277" t="s">
        <v>340</v>
      </c>
      <c r="B4" s="277" t="s">
        <v>739</v>
      </c>
    </row>
    <row r="5" spans="1:2" x14ac:dyDescent="0.2">
      <c r="A5" s="277" t="s">
        <v>341</v>
      </c>
      <c r="B5" s="277" t="s">
        <v>342</v>
      </c>
    </row>
    <row r="6" spans="1:2" x14ac:dyDescent="0.2">
      <c r="A6" s="277" t="s">
        <v>343</v>
      </c>
      <c r="B6" s="277" t="s">
        <v>344</v>
      </c>
    </row>
    <row r="7" spans="1:2" x14ac:dyDescent="0.2">
      <c r="A7" s="277" t="s">
        <v>345</v>
      </c>
      <c r="B7" s="277" t="s">
        <v>346</v>
      </c>
    </row>
    <row r="8" spans="1:2" x14ac:dyDescent="0.2">
      <c r="A8" s="277" t="s">
        <v>347</v>
      </c>
      <c r="B8" s="277" t="s">
        <v>348</v>
      </c>
    </row>
    <row r="9" spans="1:2" x14ac:dyDescent="0.2">
      <c r="A9" s="277" t="s">
        <v>349</v>
      </c>
      <c r="B9" s="277" t="s">
        <v>350</v>
      </c>
    </row>
    <row r="10" spans="1:2" x14ac:dyDescent="0.2">
      <c r="A10" s="277" t="s">
        <v>351</v>
      </c>
      <c r="B10" s="277" t="s">
        <v>352</v>
      </c>
    </row>
    <row r="11" spans="1:2" x14ac:dyDescent="0.2">
      <c r="A11" s="277" t="s">
        <v>353</v>
      </c>
      <c r="B11" s="277" t="s">
        <v>354</v>
      </c>
    </row>
    <row r="12" spans="1:2" x14ac:dyDescent="0.2">
      <c r="A12" s="277" t="s">
        <v>355</v>
      </c>
      <c r="B12" s="277" t="s">
        <v>356</v>
      </c>
    </row>
    <row r="13" spans="1:2" x14ac:dyDescent="0.2">
      <c r="A13" s="277" t="s">
        <v>357</v>
      </c>
      <c r="B13" s="277" t="s">
        <v>358</v>
      </c>
    </row>
    <row r="14" spans="1:2" x14ac:dyDescent="0.2">
      <c r="A14" s="277" t="s">
        <v>359</v>
      </c>
      <c r="B14" s="277" t="s">
        <v>360</v>
      </c>
    </row>
    <row r="15" spans="1:2" x14ac:dyDescent="0.2">
      <c r="A15" s="277" t="s">
        <v>361</v>
      </c>
      <c r="B15" s="277" t="s">
        <v>362</v>
      </c>
    </row>
    <row r="16" spans="1:2" x14ac:dyDescent="0.2">
      <c r="A16" s="277" t="s">
        <v>363</v>
      </c>
      <c r="B16" s="277" t="s">
        <v>364</v>
      </c>
    </row>
    <row r="17" spans="1:2" x14ac:dyDescent="0.2">
      <c r="A17" s="277" t="s">
        <v>365</v>
      </c>
      <c r="B17" s="277" t="s">
        <v>366</v>
      </c>
    </row>
    <row r="18" spans="1:2" x14ac:dyDescent="0.2">
      <c r="A18" s="277" t="s">
        <v>367</v>
      </c>
      <c r="B18" s="277" t="s">
        <v>368</v>
      </c>
    </row>
    <row r="19" spans="1:2" x14ac:dyDescent="0.2">
      <c r="A19" s="277" t="s">
        <v>369</v>
      </c>
      <c r="B19" s="277" t="s">
        <v>370</v>
      </c>
    </row>
    <row r="20" spans="1:2" x14ac:dyDescent="0.2">
      <c r="A20" s="277" t="s">
        <v>371</v>
      </c>
      <c r="B20" s="277" t="s">
        <v>372</v>
      </c>
    </row>
    <row r="21" spans="1:2" x14ac:dyDescent="0.2">
      <c r="A21" s="277" t="s">
        <v>373</v>
      </c>
      <c r="B21" s="277" t="s">
        <v>374</v>
      </c>
    </row>
    <row r="22" spans="1:2" x14ac:dyDescent="0.2">
      <c r="A22" s="277" t="s">
        <v>375</v>
      </c>
      <c r="B22" s="277" t="s">
        <v>376</v>
      </c>
    </row>
    <row r="23" spans="1:2" x14ac:dyDescent="0.2">
      <c r="A23" s="277" t="s">
        <v>377</v>
      </c>
      <c r="B23" s="277" t="s">
        <v>378</v>
      </c>
    </row>
    <row r="24" spans="1:2" x14ac:dyDescent="0.2">
      <c r="A24" s="277" t="s">
        <v>379</v>
      </c>
      <c r="B24" s="277" t="s">
        <v>380</v>
      </c>
    </row>
    <row r="25" spans="1:2" x14ac:dyDescent="0.2">
      <c r="A25" s="277" t="s">
        <v>381</v>
      </c>
      <c r="B25" s="277" t="s">
        <v>382</v>
      </c>
    </row>
    <row r="26" spans="1:2" x14ac:dyDescent="0.2">
      <c r="A26" s="277" t="s">
        <v>383</v>
      </c>
      <c r="B26" s="277" t="s">
        <v>384</v>
      </c>
    </row>
    <row r="27" spans="1:2" x14ac:dyDescent="0.2">
      <c r="A27" s="277" t="s">
        <v>385</v>
      </c>
      <c r="B27" s="277" t="s">
        <v>386</v>
      </c>
    </row>
    <row r="28" spans="1:2" x14ac:dyDescent="0.2">
      <c r="A28" s="277" t="s">
        <v>387</v>
      </c>
      <c r="B28" s="277" t="s">
        <v>388</v>
      </c>
    </row>
    <row r="29" spans="1:2" x14ac:dyDescent="0.2">
      <c r="A29" s="277" t="s">
        <v>389</v>
      </c>
      <c r="B29" s="277" t="s">
        <v>390</v>
      </c>
    </row>
    <row r="30" spans="1:2" x14ac:dyDescent="0.2">
      <c r="A30" s="277" t="s">
        <v>391</v>
      </c>
      <c r="B30" s="277" t="s">
        <v>392</v>
      </c>
    </row>
    <row r="31" spans="1:2" x14ac:dyDescent="0.2">
      <c r="A31" s="277" t="s">
        <v>393</v>
      </c>
      <c r="B31" s="277" t="s">
        <v>394</v>
      </c>
    </row>
    <row r="32" spans="1:2" x14ac:dyDescent="0.2">
      <c r="A32" s="277" t="s">
        <v>395</v>
      </c>
      <c r="B32" s="277" t="s">
        <v>396</v>
      </c>
    </row>
    <row r="33" spans="1:2" x14ac:dyDescent="0.2">
      <c r="A33" s="277" t="s">
        <v>238</v>
      </c>
      <c r="B33" s="277" t="s">
        <v>397</v>
      </c>
    </row>
    <row r="34" spans="1:2" x14ac:dyDescent="0.2">
      <c r="A34" s="277" t="s">
        <v>253</v>
      </c>
      <c r="B34" s="277" t="s">
        <v>398</v>
      </c>
    </row>
    <row r="35" spans="1:2" x14ac:dyDescent="0.2">
      <c r="A35" s="277" t="s">
        <v>262</v>
      </c>
      <c r="B35" s="277" t="s">
        <v>399</v>
      </c>
    </row>
    <row r="36" spans="1:2" x14ac:dyDescent="0.2">
      <c r="A36" s="277" t="s">
        <v>244</v>
      </c>
      <c r="B36" s="277" t="s">
        <v>400</v>
      </c>
    </row>
    <row r="37" spans="1:2" x14ac:dyDescent="0.2">
      <c r="A37" s="277" t="s">
        <v>265</v>
      </c>
      <c r="B37" s="277" t="s">
        <v>401</v>
      </c>
    </row>
    <row r="38" spans="1:2" x14ac:dyDescent="0.2">
      <c r="A38" s="277" t="s">
        <v>236</v>
      </c>
      <c r="B38" s="277" t="s">
        <v>402</v>
      </c>
    </row>
    <row r="39" spans="1:2" x14ac:dyDescent="0.2">
      <c r="A39" s="277" t="s">
        <v>266</v>
      </c>
      <c r="B39" s="277" t="s">
        <v>403</v>
      </c>
    </row>
    <row r="40" spans="1:2" x14ac:dyDescent="0.2">
      <c r="A40" s="277" t="s">
        <v>240</v>
      </c>
      <c r="B40" s="277" t="s">
        <v>404</v>
      </c>
    </row>
    <row r="41" spans="1:2" x14ac:dyDescent="0.2">
      <c r="A41" s="277" t="s">
        <v>308</v>
      </c>
      <c r="B41" s="277" t="s">
        <v>405</v>
      </c>
    </row>
    <row r="42" spans="1:2" x14ac:dyDescent="0.2">
      <c r="A42" s="277" t="s">
        <v>406</v>
      </c>
      <c r="B42" s="277" t="s">
        <v>407</v>
      </c>
    </row>
    <row r="43" spans="1:2" x14ac:dyDescent="0.2">
      <c r="A43" s="277" t="s">
        <v>408</v>
      </c>
      <c r="B43" s="277" t="s">
        <v>409</v>
      </c>
    </row>
    <row r="44" spans="1:2" x14ac:dyDescent="0.2">
      <c r="A44" s="277" t="s">
        <v>297</v>
      </c>
      <c r="B44" s="277" t="s">
        <v>410</v>
      </c>
    </row>
    <row r="45" spans="1:2" x14ac:dyDescent="0.2">
      <c r="A45" s="277" t="s">
        <v>411</v>
      </c>
      <c r="B45" s="277" t="s">
        <v>412</v>
      </c>
    </row>
    <row r="46" spans="1:2" x14ac:dyDescent="0.2">
      <c r="A46" s="277" t="s">
        <v>413</v>
      </c>
      <c r="B46" s="277" t="s">
        <v>414</v>
      </c>
    </row>
    <row r="47" spans="1:2" x14ac:dyDescent="0.2">
      <c r="A47" s="277" t="s">
        <v>415</v>
      </c>
      <c r="B47" s="277" t="s">
        <v>416</v>
      </c>
    </row>
    <row r="48" spans="1:2" x14ac:dyDescent="0.2">
      <c r="A48" s="277" t="s">
        <v>417</v>
      </c>
      <c r="B48" s="277" t="s">
        <v>418</v>
      </c>
    </row>
    <row r="49" spans="1:2" x14ac:dyDescent="0.2">
      <c r="A49" s="277" t="s">
        <v>419</v>
      </c>
      <c r="B49" s="277" t="s">
        <v>420</v>
      </c>
    </row>
    <row r="50" spans="1:2" x14ac:dyDescent="0.2">
      <c r="A50" s="277" t="s">
        <v>421</v>
      </c>
      <c r="B50" s="277" t="s">
        <v>422</v>
      </c>
    </row>
    <row r="51" spans="1:2" x14ac:dyDescent="0.2">
      <c r="A51" s="277" t="s">
        <v>423</v>
      </c>
      <c r="B51" s="277" t="s">
        <v>424</v>
      </c>
    </row>
    <row r="52" spans="1:2" x14ac:dyDescent="0.2">
      <c r="A52" s="277" t="s">
        <v>232</v>
      </c>
      <c r="B52" s="277" t="s">
        <v>425</v>
      </c>
    </row>
    <row r="53" spans="1:2" x14ac:dyDescent="0.2">
      <c r="A53" s="277" t="s">
        <v>426</v>
      </c>
      <c r="B53" s="277" t="s">
        <v>427</v>
      </c>
    </row>
    <row r="54" spans="1:2" x14ac:dyDescent="0.2">
      <c r="A54" s="277" t="s">
        <v>428</v>
      </c>
      <c r="B54" s="277" t="s">
        <v>429</v>
      </c>
    </row>
    <row r="55" spans="1:2" x14ac:dyDescent="0.2">
      <c r="A55" s="277" t="s">
        <v>430</v>
      </c>
      <c r="B55" s="277" t="s">
        <v>431</v>
      </c>
    </row>
    <row r="56" spans="1:2" x14ac:dyDescent="0.2">
      <c r="A56" s="277" t="s">
        <v>432</v>
      </c>
      <c r="B56" s="277" t="s">
        <v>433</v>
      </c>
    </row>
    <row r="57" spans="1:2" x14ac:dyDescent="0.2">
      <c r="A57" s="277" t="s">
        <v>434</v>
      </c>
      <c r="B57" s="277" t="s">
        <v>435</v>
      </c>
    </row>
    <row r="58" spans="1:2" x14ac:dyDescent="0.2">
      <c r="A58" s="277" t="s">
        <v>267</v>
      </c>
      <c r="B58" s="277" t="s">
        <v>436</v>
      </c>
    </row>
    <row r="59" spans="1:2" x14ac:dyDescent="0.2">
      <c r="A59" s="277" t="s">
        <v>437</v>
      </c>
      <c r="B59" s="277" t="s">
        <v>438</v>
      </c>
    </row>
    <row r="60" spans="1:2" x14ac:dyDescent="0.2">
      <c r="A60" s="277" t="s">
        <v>439</v>
      </c>
      <c r="B60" s="277" t="s">
        <v>440</v>
      </c>
    </row>
    <row r="61" spans="1:2" x14ac:dyDescent="0.2">
      <c r="A61" s="277" t="s">
        <v>228</v>
      </c>
      <c r="B61" s="277" t="s">
        <v>441</v>
      </c>
    </row>
    <row r="62" spans="1:2" x14ac:dyDescent="0.2">
      <c r="A62" s="277" t="s">
        <v>287</v>
      </c>
      <c r="B62" s="277" t="s">
        <v>442</v>
      </c>
    </row>
    <row r="63" spans="1:2" x14ac:dyDescent="0.2">
      <c r="A63" s="277" t="s">
        <v>286</v>
      </c>
      <c r="B63" s="277" t="s">
        <v>443</v>
      </c>
    </row>
    <row r="64" spans="1:2" x14ac:dyDescent="0.2">
      <c r="A64" s="277" t="s">
        <v>444</v>
      </c>
      <c r="B64" s="277" t="s">
        <v>445</v>
      </c>
    </row>
    <row r="65" spans="1:2" x14ac:dyDescent="0.2">
      <c r="A65" s="277" t="s">
        <v>251</v>
      </c>
      <c r="B65" s="277" t="s">
        <v>446</v>
      </c>
    </row>
    <row r="66" spans="1:2" x14ac:dyDescent="0.2">
      <c r="A66" s="277" t="s">
        <v>447</v>
      </c>
      <c r="B66" s="277" t="s">
        <v>448</v>
      </c>
    </row>
    <row r="67" spans="1:2" x14ac:dyDescent="0.2">
      <c r="A67" s="277" t="s">
        <v>449</v>
      </c>
      <c r="B67" s="277" t="s">
        <v>450</v>
      </c>
    </row>
    <row r="68" spans="1:2" x14ac:dyDescent="0.2">
      <c r="A68" s="277" t="s">
        <v>257</v>
      </c>
      <c r="B68" s="277" t="s">
        <v>451</v>
      </c>
    </row>
    <row r="69" spans="1:2" x14ac:dyDescent="0.2">
      <c r="A69" s="277" t="s">
        <v>452</v>
      </c>
      <c r="B69" s="277" t="s">
        <v>453</v>
      </c>
    </row>
    <row r="70" spans="1:2" x14ac:dyDescent="0.2">
      <c r="A70" s="277" t="s">
        <v>321</v>
      </c>
      <c r="B70" s="277" t="s">
        <v>454</v>
      </c>
    </row>
    <row r="71" spans="1:2" x14ac:dyDescent="0.2">
      <c r="A71" s="277" t="s">
        <v>455</v>
      </c>
      <c r="B71" s="277" t="s">
        <v>456</v>
      </c>
    </row>
    <row r="72" spans="1:2" x14ac:dyDescent="0.2">
      <c r="A72" s="277" t="s">
        <v>457</v>
      </c>
      <c r="B72" s="277" t="s">
        <v>458</v>
      </c>
    </row>
    <row r="73" spans="1:2" x14ac:dyDescent="0.2">
      <c r="A73" s="277" t="s">
        <v>459</v>
      </c>
      <c r="B73" s="277" t="s">
        <v>460</v>
      </c>
    </row>
    <row r="74" spans="1:2" x14ac:dyDescent="0.2">
      <c r="A74" s="277" t="s">
        <v>461</v>
      </c>
      <c r="B74" s="277" t="s">
        <v>462</v>
      </c>
    </row>
    <row r="75" spans="1:2" x14ac:dyDescent="0.2">
      <c r="A75" s="277" t="s">
        <v>255</v>
      </c>
      <c r="B75" s="277" t="s">
        <v>463</v>
      </c>
    </row>
    <row r="76" spans="1:2" x14ac:dyDescent="0.2">
      <c r="A76" s="277" t="s">
        <v>233</v>
      </c>
      <c r="B76" s="277" t="s">
        <v>464</v>
      </c>
    </row>
    <row r="77" spans="1:2" x14ac:dyDescent="0.2">
      <c r="A77" s="277" t="s">
        <v>234</v>
      </c>
      <c r="B77" s="277" t="s">
        <v>465</v>
      </c>
    </row>
    <row r="78" spans="1:2" x14ac:dyDescent="0.2">
      <c r="A78" s="277" t="s">
        <v>466</v>
      </c>
      <c r="B78" s="277" t="s">
        <v>467</v>
      </c>
    </row>
    <row r="79" spans="1:2" x14ac:dyDescent="0.2">
      <c r="A79" s="277" t="s">
        <v>468</v>
      </c>
      <c r="B79" s="277" t="s">
        <v>469</v>
      </c>
    </row>
    <row r="80" spans="1:2" x14ac:dyDescent="0.2">
      <c r="A80" s="277" t="s">
        <v>249</v>
      </c>
      <c r="B80" s="277" t="s">
        <v>470</v>
      </c>
    </row>
    <row r="81" spans="1:2" x14ac:dyDescent="0.2">
      <c r="A81" s="277" t="s">
        <v>471</v>
      </c>
      <c r="B81" s="277" t="s">
        <v>472</v>
      </c>
    </row>
    <row r="82" spans="1:2" x14ac:dyDescent="0.2">
      <c r="A82" s="277" t="s">
        <v>473</v>
      </c>
      <c r="B82" s="277" t="s">
        <v>474</v>
      </c>
    </row>
    <row r="83" spans="1:2" x14ac:dyDescent="0.2">
      <c r="A83" s="277" t="s">
        <v>242</v>
      </c>
      <c r="B83" s="277" t="s">
        <v>475</v>
      </c>
    </row>
    <row r="84" spans="1:2" x14ac:dyDescent="0.2">
      <c r="A84" s="277" t="s">
        <v>476</v>
      </c>
      <c r="B84" s="277" t="s">
        <v>477</v>
      </c>
    </row>
    <row r="85" spans="1:2" x14ac:dyDescent="0.2">
      <c r="A85" s="277" t="s">
        <v>263</v>
      </c>
      <c r="B85" s="277" t="s">
        <v>478</v>
      </c>
    </row>
    <row r="86" spans="1:2" x14ac:dyDescent="0.2">
      <c r="A86" s="277" t="s">
        <v>314</v>
      </c>
      <c r="B86" s="277" t="s">
        <v>479</v>
      </c>
    </row>
    <row r="87" spans="1:2" x14ac:dyDescent="0.2">
      <c r="A87" s="277" t="s">
        <v>480</v>
      </c>
      <c r="B87" s="277" t="s">
        <v>481</v>
      </c>
    </row>
    <row r="88" spans="1:2" x14ac:dyDescent="0.2">
      <c r="A88" s="277" t="s">
        <v>315</v>
      </c>
      <c r="B88" s="277" t="s">
        <v>482</v>
      </c>
    </row>
    <row r="89" spans="1:2" x14ac:dyDescent="0.2">
      <c r="A89" s="277" t="s">
        <v>317</v>
      </c>
      <c r="B89" s="277" t="s">
        <v>483</v>
      </c>
    </row>
    <row r="90" spans="1:2" x14ac:dyDescent="0.2">
      <c r="A90" s="277" t="s">
        <v>484</v>
      </c>
      <c r="B90" s="277" t="s">
        <v>485</v>
      </c>
    </row>
    <row r="91" spans="1:2" x14ac:dyDescent="0.2">
      <c r="A91" s="277" t="s">
        <v>486</v>
      </c>
      <c r="B91" s="277" t="s">
        <v>487</v>
      </c>
    </row>
    <row r="92" spans="1:2" x14ac:dyDescent="0.2">
      <c r="A92" s="277" t="s">
        <v>488</v>
      </c>
      <c r="B92" s="277" t="s">
        <v>489</v>
      </c>
    </row>
    <row r="93" spans="1:2" x14ac:dyDescent="0.2">
      <c r="A93" s="277" t="s">
        <v>319</v>
      </c>
      <c r="B93" s="277" t="s">
        <v>490</v>
      </c>
    </row>
    <row r="94" spans="1:2" x14ac:dyDescent="0.2">
      <c r="A94" s="277" t="s">
        <v>491</v>
      </c>
      <c r="B94" s="277" t="s">
        <v>492</v>
      </c>
    </row>
    <row r="95" spans="1:2" x14ac:dyDescent="0.2">
      <c r="A95" s="277" t="s">
        <v>246</v>
      </c>
      <c r="B95" s="277" t="s">
        <v>493</v>
      </c>
    </row>
    <row r="96" spans="1:2" x14ac:dyDescent="0.2">
      <c r="A96" s="277" t="s">
        <v>322</v>
      </c>
      <c r="B96" s="277" t="s">
        <v>494</v>
      </c>
    </row>
    <row r="97" spans="1:2" x14ac:dyDescent="0.2">
      <c r="A97" s="277" t="s">
        <v>325</v>
      </c>
      <c r="B97" s="277" t="s">
        <v>495</v>
      </c>
    </row>
    <row r="98" spans="1:2" x14ac:dyDescent="0.2">
      <c r="A98" s="277" t="s">
        <v>326</v>
      </c>
      <c r="B98" s="277" t="s">
        <v>496</v>
      </c>
    </row>
    <row r="99" spans="1:2" x14ac:dyDescent="0.2">
      <c r="A99" s="277" t="s">
        <v>497</v>
      </c>
      <c r="B99" s="277" t="s">
        <v>498</v>
      </c>
    </row>
    <row r="100" spans="1:2" x14ac:dyDescent="0.2">
      <c r="A100" s="277" t="s">
        <v>327</v>
      </c>
      <c r="B100" s="277" t="s">
        <v>499</v>
      </c>
    </row>
    <row r="101" spans="1:2" x14ac:dyDescent="0.2">
      <c r="A101" s="277" t="s">
        <v>328</v>
      </c>
      <c r="B101" s="277" t="s">
        <v>500</v>
      </c>
    </row>
    <row r="102" spans="1:2" x14ac:dyDescent="0.2">
      <c r="A102" s="277" t="s">
        <v>501</v>
      </c>
      <c r="B102" s="277" t="s">
        <v>502</v>
      </c>
    </row>
    <row r="103" spans="1:2" x14ac:dyDescent="0.2">
      <c r="A103" s="277" t="s">
        <v>503</v>
      </c>
      <c r="B103" s="277" t="s">
        <v>504</v>
      </c>
    </row>
    <row r="104" spans="1:2" x14ac:dyDescent="0.2">
      <c r="A104" s="277" t="s">
        <v>505</v>
      </c>
      <c r="B104" s="277" t="s">
        <v>506</v>
      </c>
    </row>
    <row r="105" spans="1:2" x14ac:dyDescent="0.2">
      <c r="A105" s="277" t="s">
        <v>507</v>
      </c>
      <c r="B105" s="277" t="s">
        <v>508</v>
      </c>
    </row>
    <row r="106" spans="1:2" x14ac:dyDescent="0.2">
      <c r="A106" s="277" t="s">
        <v>509</v>
      </c>
      <c r="B106" s="277" t="s">
        <v>510</v>
      </c>
    </row>
    <row r="107" spans="1:2" x14ac:dyDescent="0.2">
      <c r="A107" s="277" t="s">
        <v>511</v>
      </c>
      <c r="B107" s="277" t="s">
        <v>512</v>
      </c>
    </row>
    <row r="108" spans="1:2" x14ac:dyDescent="0.2">
      <c r="A108" s="277" t="s">
        <v>513</v>
      </c>
      <c r="B108" s="277" t="s">
        <v>514</v>
      </c>
    </row>
    <row r="109" spans="1:2" x14ac:dyDescent="0.2">
      <c r="A109" s="277" t="s">
        <v>515</v>
      </c>
      <c r="B109" s="277" t="s">
        <v>516</v>
      </c>
    </row>
    <row r="110" spans="1:2" x14ac:dyDescent="0.2">
      <c r="A110" s="277" t="s">
        <v>517</v>
      </c>
      <c r="B110" s="277" t="s">
        <v>518</v>
      </c>
    </row>
    <row r="111" spans="1:2" x14ac:dyDescent="0.2">
      <c r="A111" s="277" t="s">
        <v>519</v>
      </c>
      <c r="B111" s="277" t="s">
        <v>520</v>
      </c>
    </row>
    <row r="112" spans="1:2" x14ac:dyDescent="0.2">
      <c r="A112" s="277" t="s">
        <v>323</v>
      </c>
      <c r="B112" s="277" t="s">
        <v>521</v>
      </c>
    </row>
    <row r="113" spans="1:2" x14ac:dyDescent="0.2">
      <c r="A113" s="277" t="s">
        <v>522</v>
      </c>
      <c r="B113" s="277" t="s">
        <v>523</v>
      </c>
    </row>
    <row r="114" spans="1:2" x14ac:dyDescent="0.2">
      <c r="A114" s="277" t="s">
        <v>524</v>
      </c>
      <c r="B114" s="277" t="s">
        <v>525</v>
      </c>
    </row>
    <row r="115" spans="1:2" x14ac:dyDescent="0.2">
      <c r="A115" s="277" t="s">
        <v>526</v>
      </c>
      <c r="B115" s="277" t="s">
        <v>527</v>
      </c>
    </row>
    <row r="116" spans="1:2" x14ac:dyDescent="0.2">
      <c r="A116" s="277" t="s">
        <v>528</v>
      </c>
      <c r="B116" s="277" t="s">
        <v>529</v>
      </c>
    </row>
    <row r="117" spans="1:2" x14ac:dyDescent="0.2">
      <c r="A117" s="277" t="s">
        <v>530</v>
      </c>
      <c r="B117" s="277" t="s">
        <v>531</v>
      </c>
    </row>
    <row r="118" spans="1:2" x14ac:dyDescent="0.2">
      <c r="A118" s="277" t="s">
        <v>532</v>
      </c>
      <c r="B118" s="277" t="s">
        <v>533</v>
      </c>
    </row>
    <row r="119" spans="1:2" x14ac:dyDescent="0.2">
      <c r="A119" s="277" t="s">
        <v>534</v>
      </c>
      <c r="B119" s="277" t="s">
        <v>535</v>
      </c>
    </row>
    <row r="120" spans="1:2" x14ac:dyDescent="0.2">
      <c r="A120" s="277" t="s">
        <v>536</v>
      </c>
      <c r="B120" s="277" t="s">
        <v>537</v>
      </c>
    </row>
    <row r="121" spans="1:2" x14ac:dyDescent="0.2">
      <c r="A121" s="277" t="s">
        <v>538</v>
      </c>
      <c r="B121" s="277" t="s">
        <v>539</v>
      </c>
    </row>
    <row r="122" spans="1:2" x14ac:dyDescent="0.2">
      <c r="A122" s="277" t="s">
        <v>540</v>
      </c>
      <c r="B122" s="277" t="s">
        <v>541</v>
      </c>
    </row>
    <row r="123" spans="1:2" x14ac:dyDescent="0.2">
      <c r="A123" s="277" t="s">
        <v>318</v>
      </c>
      <c r="B123" s="277" t="s">
        <v>542</v>
      </c>
    </row>
    <row r="124" spans="1:2" x14ac:dyDescent="0.2">
      <c r="A124" s="277" t="s">
        <v>543</v>
      </c>
      <c r="B124" s="277" t="s">
        <v>544</v>
      </c>
    </row>
    <row r="125" spans="1:2" x14ac:dyDescent="0.2">
      <c r="A125" s="277" t="s">
        <v>312</v>
      </c>
      <c r="B125" s="277" t="s">
        <v>545</v>
      </c>
    </row>
    <row r="126" spans="1:2" x14ac:dyDescent="0.2">
      <c r="A126" s="277" t="s">
        <v>279</v>
      </c>
      <c r="B126" s="277" t="s">
        <v>546</v>
      </c>
    </row>
    <row r="127" spans="1:2" x14ac:dyDescent="0.2">
      <c r="A127" s="277" t="s">
        <v>278</v>
      </c>
      <c r="B127" s="277" t="s">
        <v>547</v>
      </c>
    </row>
    <row r="128" spans="1:2" x14ac:dyDescent="0.2">
      <c r="A128" s="277" t="s">
        <v>273</v>
      </c>
      <c r="B128" s="277" t="s">
        <v>548</v>
      </c>
    </row>
    <row r="129" spans="1:2" x14ac:dyDescent="0.2">
      <c r="A129" s="277" t="s">
        <v>274</v>
      </c>
      <c r="B129" s="277" t="s">
        <v>549</v>
      </c>
    </row>
    <row r="130" spans="1:2" x14ac:dyDescent="0.2">
      <c r="A130" s="277" t="s">
        <v>281</v>
      </c>
      <c r="B130" s="277" t="s">
        <v>550</v>
      </c>
    </row>
    <row r="131" spans="1:2" x14ac:dyDescent="0.2">
      <c r="A131" s="277" t="s">
        <v>282</v>
      </c>
      <c r="B131" s="277" t="s">
        <v>551</v>
      </c>
    </row>
    <row r="132" spans="1:2" x14ac:dyDescent="0.2">
      <c r="A132" s="277" t="s">
        <v>290</v>
      </c>
      <c r="B132" s="277" t="s">
        <v>552</v>
      </c>
    </row>
    <row r="133" spans="1:2" x14ac:dyDescent="0.2">
      <c r="A133" s="277" t="s">
        <v>268</v>
      </c>
      <c r="B133" s="277" t="s">
        <v>553</v>
      </c>
    </row>
    <row r="134" spans="1:2" x14ac:dyDescent="0.2">
      <c r="A134" s="277" t="s">
        <v>554</v>
      </c>
      <c r="B134" s="277" t="s">
        <v>555</v>
      </c>
    </row>
    <row r="135" spans="1:2" x14ac:dyDescent="0.2">
      <c r="A135" s="277" t="s">
        <v>264</v>
      </c>
      <c r="B135" s="277" t="s">
        <v>556</v>
      </c>
    </row>
    <row r="136" spans="1:2" x14ac:dyDescent="0.2">
      <c r="A136" s="277" t="s">
        <v>259</v>
      </c>
      <c r="B136" s="277" t="s">
        <v>557</v>
      </c>
    </row>
    <row r="137" spans="1:2" x14ac:dyDescent="0.2">
      <c r="A137" s="277" t="s">
        <v>288</v>
      </c>
      <c r="B137" s="277" t="s">
        <v>558</v>
      </c>
    </row>
    <row r="138" spans="1:2" x14ac:dyDescent="0.2">
      <c r="A138" s="277" t="s">
        <v>559</v>
      </c>
      <c r="B138" s="277" t="s">
        <v>560</v>
      </c>
    </row>
    <row r="139" spans="1:2" x14ac:dyDescent="0.2">
      <c r="A139" s="277" t="s">
        <v>561</v>
      </c>
      <c r="B139" s="277" t="s">
        <v>562</v>
      </c>
    </row>
    <row r="140" spans="1:2" x14ac:dyDescent="0.2">
      <c r="A140" s="277" t="s">
        <v>230</v>
      </c>
      <c r="B140" s="277" t="s">
        <v>563</v>
      </c>
    </row>
    <row r="141" spans="1:2" x14ac:dyDescent="0.2">
      <c r="A141" s="277" t="s">
        <v>564</v>
      </c>
      <c r="B141" s="277" t="s">
        <v>565</v>
      </c>
    </row>
    <row r="142" spans="1:2" x14ac:dyDescent="0.2">
      <c r="A142" s="277" t="s">
        <v>247</v>
      </c>
      <c r="B142" s="277" t="s">
        <v>566</v>
      </c>
    </row>
    <row r="143" spans="1:2" x14ac:dyDescent="0.2">
      <c r="A143" s="277" t="s">
        <v>291</v>
      </c>
      <c r="B143" s="277" t="s">
        <v>567</v>
      </c>
    </row>
    <row r="144" spans="1:2" x14ac:dyDescent="0.2">
      <c r="A144" s="277" t="s">
        <v>568</v>
      </c>
      <c r="B144" s="277" t="s">
        <v>569</v>
      </c>
    </row>
    <row r="145" spans="1:2" x14ac:dyDescent="0.2">
      <c r="A145" s="277" t="s">
        <v>570</v>
      </c>
      <c r="B145" s="277" t="s">
        <v>571</v>
      </c>
    </row>
    <row r="146" spans="1:2" x14ac:dyDescent="0.2">
      <c r="A146" s="277" t="s">
        <v>572</v>
      </c>
      <c r="B146" s="277" t="s">
        <v>573</v>
      </c>
    </row>
    <row r="147" spans="1:2" x14ac:dyDescent="0.2">
      <c r="A147" s="277" t="s">
        <v>284</v>
      </c>
      <c r="B147" s="277" t="s">
        <v>574</v>
      </c>
    </row>
    <row r="148" spans="1:2" x14ac:dyDescent="0.2">
      <c r="A148" s="277" t="s">
        <v>575</v>
      </c>
      <c r="B148" s="277" t="s">
        <v>576</v>
      </c>
    </row>
    <row r="149" spans="1:2" x14ac:dyDescent="0.2">
      <c r="A149" s="277" t="s">
        <v>269</v>
      </c>
      <c r="B149" s="277" t="s">
        <v>577</v>
      </c>
    </row>
    <row r="150" spans="1:2" x14ac:dyDescent="0.2">
      <c r="A150" s="277" t="s">
        <v>156</v>
      </c>
      <c r="B150" s="277" t="s">
        <v>578</v>
      </c>
    </row>
    <row r="151" spans="1:2" x14ac:dyDescent="0.2">
      <c r="A151" s="277" t="s">
        <v>579</v>
      </c>
      <c r="B151" s="277" t="s">
        <v>580</v>
      </c>
    </row>
    <row r="152" spans="1:2" x14ac:dyDescent="0.2">
      <c r="A152" s="277" t="s">
        <v>581</v>
      </c>
      <c r="B152" s="277" t="s">
        <v>582</v>
      </c>
    </row>
    <row r="153" spans="1:2" x14ac:dyDescent="0.2">
      <c r="A153" s="277" t="s">
        <v>583</v>
      </c>
      <c r="B153" s="277" t="s">
        <v>584</v>
      </c>
    </row>
    <row r="154" spans="1:2" x14ac:dyDescent="0.2">
      <c r="A154" s="277" t="s">
        <v>585</v>
      </c>
      <c r="B154" s="277" t="s">
        <v>586</v>
      </c>
    </row>
    <row r="155" spans="1:2" x14ac:dyDescent="0.2">
      <c r="A155" s="277" t="s">
        <v>587</v>
      </c>
      <c r="B155" s="277" t="s">
        <v>588</v>
      </c>
    </row>
    <row r="156" spans="1:2" x14ac:dyDescent="0.2">
      <c r="A156" s="277" t="s">
        <v>589</v>
      </c>
      <c r="B156" s="277" t="s">
        <v>590</v>
      </c>
    </row>
    <row r="157" spans="1:2" x14ac:dyDescent="0.2">
      <c r="A157" s="277" t="s">
        <v>591</v>
      </c>
      <c r="B157" s="277" t="s">
        <v>592</v>
      </c>
    </row>
    <row r="158" spans="1:2" x14ac:dyDescent="0.2">
      <c r="A158" s="277" t="s">
        <v>593</v>
      </c>
      <c r="B158" s="277" t="s">
        <v>594</v>
      </c>
    </row>
    <row r="159" spans="1:2" x14ac:dyDescent="0.2">
      <c r="A159" s="277" t="s">
        <v>159</v>
      </c>
      <c r="B159" s="277" t="s">
        <v>595</v>
      </c>
    </row>
    <row r="160" spans="1:2" x14ac:dyDescent="0.2">
      <c r="A160" s="277" t="s">
        <v>596</v>
      </c>
      <c r="B160" s="277" t="s">
        <v>597</v>
      </c>
    </row>
    <row r="161" spans="1:2" x14ac:dyDescent="0.2">
      <c r="A161" s="277" t="s">
        <v>157</v>
      </c>
      <c r="B161" s="277" t="s">
        <v>598</v>
      </c>
    </row>
    <row r="162" spans="1:2" x14ac:dyDescent="0.2">
      <c r="A162" s="277" t="s">
        <v>599</v>
      </c>
      <c r="B162" s="277" t="s">
        <v>600</v>
      </c>
    </row>
    <row r="163" spans="1:2" x14ac:dyDescent="0.2">
      <c r="A163" s="277" t="s">
        <v>601</v>
      </c>
      <c r="B163" s="277" t="s">
        <v>602</v>
      </c>
    </row>
    <row r="164" spans="1:2" x14ac:dyDescent="0.2">
      <c r="A164" s="277" t="s">
        <v>158</v>
      </c>
      <c r="B164" s="277" t="s">
        <v>603</v>
      </c>
    </row>
    <row r="165" spans="1:2" x14ac:dyDescent="0.2">
      <c r="A165" s="277" t="s">
        <v>604</v>
      </c>
      <c r="B165" s="277" t="s">
        <v>605</v>
      </c>
    </row>
    <row r="166" spans="1:2" x14ac:dyDescent="0.2">
      <c r="A166" s="277" t="s">
        <v>606</v>
      </c>
      <c r="B166" s="277" t="s">
        <v>607</v>
      </c>
    </row>
    <row r="167" spans="1:2" x14ac:dyDescent="0.2">
      <c r="A167" s="277" t="s">
        <v>608</v>
      </c>
      <c r="B167" s="277" t="s">
        <v>609</v>
      </c>
    </row>
    <row r="168" spans="1:2" x14ac:dyDescent="0.2">
      <c r="A168" s="277" t="s">
        <v>610</v>
      </c>
      <c r="B168" s="277" t="s">
        <v>611</v>
      </c>
    </row>
    <row r="169" spans="1:2" x14ac:dyDescent="0.2">
      <c r="A169" s="277" t="s">
        <v>612</v>
      </c>
      <c r="B169" s="277" t="s">
        <v>613</v>
      </c>
    </row>
    <row r="170" spans="1:2" x14ac:dyDescent="0.2">
      <c r="A170" s="277" t="s">
        <v>160</v>
      </c>
      <c r="B170" s="277" t="s">
        <v>614</v>
      </c>
    </row>
    <row r="171" spans="1:2" x14ac:dyDescent="0.2">
      <c r="A171" s="277" t="s">
        <v>615</v>
      </c>
      <c r="B171" s="277" t="s">
        <v>616</v>
      </c>
    </row>
    <row r="172" spans="1:2" x14ac:dyDescent="0.2">
      <c r="A172" s="277" t="s">
        <v>617</v>
      </c>
      <c r="B172" s="277" t="s">
        <v>618</v>
      </c>
    </row>
    <row r="173" spans="1:2" x14ac:dyDescent="0.2">
      <c r="A173" s="277" t="s">
        <v>619</v>
      </c>
      <c r="B173" s="277" t="s">
        <v>620</v>
      </c>
    </row>
    <row r="174" spans="1:2" x14ac:dyDescent="0.2">
      <c r="A174" s="277" t="s">
        <v>621</v>
      </c>
      <c r="B174" s="277" t="s">
        <v>622</v>
      </c>
    </row>
    <row r="175" spans="1:2" x14ac:dyDescent="0.2">
      <c r="A175" s="277" t="s">
        <v>623</v>
      </c>
      <c r="B175" s="277" t="s">
        <v>624</v>
      </c>
    </row>
    <row r="176" spans="1:2" x14ac:dyDescent="0.2">
      <c r="A176" s="277" t="s">
        <v>625</v>
      </c>
      <c r="B176" s="277" t="s">
        <v>626</v>
      </c>
    </row>
    <row r="177" spans="1:2" x14ac:dyDescent="0.2">
      <c r="A177" s="277" t="s">
        <v>627</v>
      </c>
      <c r="B177" s="277" t="s">
        <v>628</v>
      </c>
    </row>
    <row r="178" spans="1:2" x14ac:dyDescent="0.2">
      <c r="A178" s="277" t="s">
        <v>629</v>
      </c>
      <c r="B178" s="277" t="s">
        <v>630</v>
      </c>
    </row>
    <row r="179" spans="1:2" x14ac:dyDescent="0.2">
      <c r="A179" s="277" t="s">
        <v>631</v>
      </c>
      <c r="B179" s="277" t="s">
        <v>632</v>
      </c>
    </row>
    <row r="180" spans="1:2" x14ac:dyDescent="0.2">
      <c r="A180" s="277" t="s">
        <v>633</v>
      </c>
      <c r="B180" s="277" t="s">
        <v>577</v>
      </c>
    </row>
    <row r="181" spans="1:2" x14ac:dyDescent="0.2">
      <c r="A181" s="277" t="s">
        <v>634</v>
      </c>
      <c r="B181" s="277" t="s">
        <v>635</v>
      </c>
    </row>
    <row r="182" spans="1:2" x14ac:dyDescent="0.2">
      <c r="A182" s="277" t="s">
        <v>636</v>
      </c>
      <c r="B182" s="277" t="s">
        <v>637</v>
      </c>
    </row>
    <row r="183" spans="1:2" x14ac:dyDescent="0.2">
      <c r="A183" s="277" t="s">
        <v>638</v>
      </c>
      <c r="B183" s="277" t="s">
        <v>639</v>
      </c>
    </row>
    <row r="184" spans="1:2" x14ac:dyDescent="0.2">
      <c r="A184" s="277" t="s">
        <v>640</v>
      </c>
      <c r="B184" s="277" t="s">
        <v>641</v>
      </c>
    </row>
    <row r="185" spans="1:2" x14ac:dyDescent="0.2">
      <c r="A185" s="277" t="s">
        <v>642</v>
      </c>
      <c r="B185" s="277" t="s">
        <v>643</v>
      </c>
    </row>
    <row r="186" spans="1:2" x14ac:dyDescent="0.2">
      <c r="A186" s="277" t="s">
        <v>644</v>
      </c>
      <c r="B186" s="277" t="s">
        <v>645</v>
      </c>
    </row>
    <row r="187" spans="1:2" x14ac:dyDescent="0.2">
      <c r="A187" s="277" t="s">
        <v>646</v>
      </c>
      <c r="B187" s="277" t="s">
        <v>647</v>
      </c>
    </row>
    <row r="188" spans="1:2" x14ac:dyDescent="0.2">
      <c r="A188" s="277" t="s">
        <v>648</v>
      </c>
      <c r="B188" s="277" t="s">
        <v>649</v>
      </c>
    </row>
    <row r="189" spans="1:2" x14ac:dyDescent="0.2">
      <c r="A189" s="277" t="s">
        <v>650</v>
      </c>
      <c r="B189" s="277" t="s">
        <v>651</v>
      </c>
    </row>
    <row r="190" spans="1:2" x14ac:dyDescent="0.2">
      <c r="A190" s="277" t="s">
        <v>652</v>
      </c>
      <c r="B190" s="277" t="s">
        <v>653</v>
      </c>
    </row>
    <row r="191" spans="1:2" x14ac:dyDescent="0.2">
      <c r="A191" s="277" t="s">
        <v>654</v>
      </c>
      <c r="B191" s="277" t="s">
        <v>655</v>
      </c>
    </row>
    <row r="192" spans="1:2" x14ac:dyDescent="0.2">
      <c r="A192" s="277" t="s">
        <v>656</v>
      </c>
      <c r="B192" s="277" t="s">
        <v>657</v>
      </c>
    </row>
    <row r="193" spans="1:2" x14ac:dyDescent="0.2">
      <c r="A193" s="277" t="s">
        <v>658</v>
      </c>
      <c r="B193" s="277" t="s">
        <v>659</v>
      </c>
    </row>
    <row r="194" spans="1:2" x14ac:dyDescent="0.2">
      <c r="A194" s="277" t="s">
        <v>660</v>
      </c>
      <c r="B194" s="277" t="s">
        <v>661</v>
      </c>
    </row>
    <row r="195" spans="1:2" x14ac:dyDescent="0.2">
      <c r="A195" s="277" t="s">
        <v>662</v>
      </c>
      <c r="B195" s="277" t="s">
        <v>663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C1" zoomScale="70" zoomScaleNormal="70" workbookViewId="0">
      <selection activeCell="E36" sqref="E36"/>
    </sheetView>
  </sheetViews>
  <sheetFormatPr baseColWidth="10" defaultRowHeight="12.75" x14ac:dyDescent="0.2"/>
  <cols>
    <col min="1" max="1" width="23" customWidth="1"/>
    <col min="2" max="2" width="26.85546875" customWidth="1"/>
    <col min="3" max="3" width="40.28515625" customWidth="1"/>
    <col min="4" max="4" width="28.7109375" customWidth="1"/>
    <col min="5" max="5" width="20" customWidth="1"/>
    <col min="6" max="10" width="13.7109375" customWidth="1"/>
    <col min="11" max="12" width="14.42578125" bestFit="1" customWidth="1"/>
    <col min="13" max="14" width="15" customWidth="1"/>
    <col min="15" max="15" width="15.140625" customWidth="1"/>
    <col min="16" max="16" width="18" customWidth="1"/>
  </cols>
  <sheetData>
    <row r="1" spans="3:16" ht="18.75" x14ac:dyDescent="0.3">
      <c r="C1" s="160" t="s">
        <v>49</v>
      </c>
    </row>
    <row r="2" spans="3:16" ht="18.75" x14ac:dyDescent="0.3">
      <c r="C2" s="160" t="s">
        <v>128</v>
      </c>
    </row>
    <row r="3" spans="3:16" ht="18.75" x14ac:dyDescent="0.3">
      <c r="C3" s="160" t="s">
        <v>129</v>
      </c>
    </row>
    <row r="5" spans="3:16" s="15" customFormat="1" ht="15" x14ac:dyDescent="0.25">
      <c r="D5" s="15" t="s">
        <v>22</v>
      </c>
      <c r="E5" s="15" t="s">
        <v>23</v>
      </c>
      <c r="F5" s="15" t="s">
        <v>24</v>
      </c>
      <c r="G5" s="15" t="s">
        <v>25</v>
      </c>
      <c r="H5" s="15" t="s">
        <v>26</v>
      </c>
      <c r="I5" s="15" t="s">
        <v>27</v>
      </c>
      <c r="J5" s="15" t="s">
        <v>28</v>
      </c>
      <c r="K5" s="15" t="s">
        <v>29</v>
      </c>
      <c r="L5" s="15" t="s">
        <v>30</v>
      </c>
      <c r="M5" s="15" t="s">
        <v>31</v>
      </c>
      <c r="N5" s="15" t="s">
        <v>32</v>
      </c>
      <c r="O5" s="15" t="s">
        <v>33</v>
      </c>
      <c r="P5" s="15" t="s">
        <v>19</v>
      </c>
    </row>
    <row r="6" spans="3:16" ht="15" x14ac:dyDescent="0.25">
      <c r="C6" s="161" t="s">
        <v>130</v>
      </c>
      <c r="D6" s="153">
        <f>D14</f>
        <v>1150564.1314583332</v>
      </c>
      <c r="E6" s="153">
        <f>E14-D6</f>
        <v>1150564.1314583332</v>
      </c>
      <c r="F6" s="153">
        <f>F14-E6-D6</f>
        <v>1150564.1314583309</v>
      </c>
      <c r="G6" s="153">
        <f>G14-F6-E6-D6</f>
        <v>1139048.3708333354</v>
      </c>
      <c r="H6" s="153">
        <f>H14-G6-F6-E6-D6</f>
        <v>1139048.3708333392</v>
      </c>
      <c r="I6" s="153">
        <f>I14-H6-G6-F6-E6-D6</f>
        <v>1139048.3708333224</v>
      </c>
      <c r="J6" s="153">
        <f>J14-I6-H6-G6-F6-E6-D6</f>
        <v>1139048.3708333373</v>
      </c>
      <c r="K6" s="153">
        <f>K14-J6-I6-H6-G6-F6-E6-D6</f>
        <v>1015386.4072916685</v>
      </c>
      <c r="L6" s="153">
        <f>L14-K6-J6-I6-H6-G6-F6-E6-D6</f>
        <v>1015386.4072916685</v>
      </c>
      <c r="M6" s="153">
        <f>M14-L6-K6-J6-I6-H6-G6-F6-E6-D6</f>
        <v>914815.44375000801</v>
      </c>
      <c r="N6" s="153">
        <f>N14-M6-L6-K6-J6-I6-H6-G6-F6-E6-D6</f>
        <v>890049.48854165431</v>
      </c>
      <c r="O6" s="153">
        <f>O14-N6-M6-L6-K6-J6-I6-H6-G6-F6-E6-D6</f>
        <v>890049.48854165804</v>
      </c>
      <c r="P6" s="153">
        <f>SUM(D6:O6)</f>
        <v>12733573.113124993</v>
      </c>
    </row>
    <row r="7" spans="3:16" ht="15" x14ac:dyDescent="0.25">
      <c r="C7" s="161" t="s">
        <v>131</v>
      </c>
      <c r="D7" s="153">
        <f>D15</f>
        <v>101218.56020833337</v>
      </c>
      <c r="E7" s="153">
        <f>E15-D7</f>
        <v>100356.51854166668</v>
      </c>
      <c r="F7" s="153">
        <f>F15-E7-D7</f>
        <v>99991.101874999935</v>
      </c>
      <c r="G7" s="153">
        <f>G15-F7-E7-D7</f>
        <v>99991.101875000051</v>
      </c>
      <c r="H7" s="153">
        <f>H15-G7-F7-E7-D7</f>
        <v>99861.018541666621</v>
      </c>
      <c r="I7" s="153">
        <f>I15-H7-G7-F7-E7-D7</f>
        <v>99611.039374999935</v>
      </c>
      <c r="J7" s="153">
        <f>J15-I7-H7-G7-F7-E7-D7</f>
        <v>99611.039375000284</v>
      </c>
      <c r="K7" s="153">
        <f>K15-J7-I7-H7-G7-F7-E7-D7</f>
        <v>92382.857916666311</v>
      </c>
      <c r="L7" s="153">
        <f>L15-K7-J7-I7-H7-G7-F7-E7-D7</f>
        <v>92382.857916666893</v>
      </c>
      <c r="M7" s="153">
        <f>M15-L7-K7-J7-I7-H7-G7-F7-E7-D7</f>
        <v>91184.555833333172</v>
      </c>
      <c r="N7" s="153">
        <f>N15-M7-L7-K7-J7-I7-H7-G7-F7-E7-D7</f>
        <v>90351.4454166668</v>
      </c>
      <c r="O7" s="153">
        <f>O15-N7-M7-L7-K7-J7-I7-H7-G7-F7-E7-D7</f>
        <v>89496.704791666241</v>
      </c>
      <c r="P7" s="153">
        <f>SUM(D7:O7)</f>
        <v>1156438.8016666663</v>
      </c>
    </row>
    <row r="8" spans="3:16" ht="15" x14ac:dyDescent="0.25">
      <c r="C8" s="161" t="s">
        <v>132</v>
      </c>
      <c r="D8" s="153">
        <f>D16</f>
        <v>31691.854250000004</v>
      </c>
      <c r="E8" s="153">
        <f>E16-D8</f>
        <v>31651.95425000001</v>
      </c>
      <c r="F8" s="153">
        <f>F16-E8-D8</f>
        <v>31651.954249999966</v>
      </c>
      <c r="G8" s="153">
        <f>G16-F8-E8-D8</f>
        <v>31651.954250000024</v>
      </c>
      <c r="H8" s="153">
        <f>H16-G8-F8-E8-D8</f>
        <v>31644.93000000008</v>
      </c>
      <c r="I8" s="153">
        <f>I16-H8-G8-F8-E8-D8</f>
        <v>31644.929999999877</v>
      </c>
      <c r="J8" s="153">
        <f>J16-I8-H8-G8-F8-E8-D8</f>
        <v>31599.513333333307</v>
      </c>
      <c r="K8" s="153">
        <f>K16-J8-I8-H8-G8-F8-E8-D8</f>
        <v>31599.513333333452</v>
      </c>
      <c r="L8" s="153">
        <f>L16-K8-J8-I8-H8-G8-F8-E8-D8</f>
        <v>31599.513333333249</v>
      </c>
      <c r="M8" s="153">
        <f>M16-L8-K8-J8-I8-H8-G8-F8-E8-D8</f>
        <v>31599.51333333354</v>
      </c>
      <c r="N8" s="153">
        <f>N16-M8-L8-K8-J8-I8-H8-G8-F8-E8-D8</f>
        <v>31343.018999999797</v>
      </c>
      <c r="O8" s="153">
        <f>O16-N8-M8-L8-K8-J8-I8-H8-G8-F8-E8-D8</f>
        <v>31298.193000000028</v>
      </c>
      <c r="P8" s="153">
        <f>SUM(D8:O8)</f>
        <v>378976.84233333333</v>
      </c>
    </row>
    <row r="9" spans="3:16" ht="15" x14ac:dyDescent="0.25">
      <c r="C9" s="161" t="s">
        <v>133</v>
      </c>
      <c r="D9" s="153">
        <f>D17</f>
        <v>19262.142000000018</v>
      </c>
      <c r="E9" s="153">
        <f>E17-D9</f>
        <v>19122.74866666667</v>
      </c>
      <c r="F9" s="153">
        <f>F17-E9-D9</f>
        <v>18896.117083333131</v>
      </c>
      <c r="G9" s="153">
        <f>G17-F9-E9-D9</f>
        <v>18896.117083333553</v>
      </c>
      <c r="H9" s="153">
        <f>H17-G9-F9-E9-D9</f>
        <v>18896.117083333276</v>
      </c>
      <c r="I9" s="153">
        <f>I17-H9-G9-F9-E9-D9</f>
        <v>18880.50108333302</v>
      </c>
      <c r="J9" s="153">
        <f>J17-I9-H9-G9-F9-E9-D9</f>
        <v>19009.138916667307</v>
      </c>
      <c r="K9" s="153">
        <f>K17-J9-I9-H9-G9-F9-E9-D9</f>
        <v>18864.758749999794</v>
      </c>
      <c r="L9" s="153">
        <f>L17-K9-J9-I9-H9-G9-F9-E9-D9</f>
        <v>18864.758749999706</v>
      </c>
      <c r="M9" s="153">
        <f>M17-L9-K9-J9-I9-H9-G9-F9-E9-D9</f>
        <v>18539.616500000109</v>
      </c>
      <c r="N9" s="153">
        <f>N17-M9-L9-K9-J9-I9-H9-G9-F9-E9-D9</f>
        <v>18378.298750000471</v>
      </c>
      <c r="O9" s="153">
        <f>O17-N9-M9-L9-K9-J9-I9-H9-G9-F9-E9-D9</f>
        <v>18313.177083332226</v>
      </c>
      <c r="P9" s="153">
        <f>SUM(D9:O9)</f>
        <v>225923.49174999932</v>
      </c>
    </row>
    <row r="10" spans="3:16" ht="15" x14ac:dyDescent="0.25">
      <c r="C10" s="161" t="s">
        <v>134</v>
      </c>
      <c r="D10" s="168">
        <v>129467.95833333334</v>
      </c>
      <c r="E10" s="168">
        <v>129467.95833333334</v>
      </c>
      <c r="F10" s="168">
        <v>129467.95833333334</v>
      </c>
      <c r="G10" s="168">
        <v>129467.95833333334</v>
      </c>
      <c r="H10" s="168">
        <v>129467.95833333334</v>
      </c>
      <c r="I10" s="168">
        <v>129467.95833333334</v>
      </c>
      <c r="J10" s="168">
        <v>129467.95833333334</v>
      </c>
      <c r="K10" s="168">
        <v>129467.95833333334</v>
      </c>
      <c r="L10" s="168">
        <v>129467.95833333334</v>
      </c>
      <c r="M10" s="168">
        <v>129467.95833333334</v>
      </c>
      <c r="N10" s="168">
        <v>129467.95833333334</v>
      </c>
      <c r="O10" s="168">
        <v>129467.95833333334</v>
      </c>
      <c r="P10" s="153">
        <f>SUM(D10:O10)</f>
        <v>1553615.5</v>
      </c>
    </row>
    <row r="11" spans="3:16" s="19" customFormat="1" ht="15.75" thickBot="1" x14ac:dyDescent="0.3">
      <c r="C11" s="162"/>
      <c r="D11" s="163">
        <f t="shared" ref="D11:P11" si="0">SUM(D6:D10)</f>
        <v>1432204.64625</v>
      </c>
      <c r="E11" s="163">
        <f t="shared" si="0"/>
        <v>1431163.3112499998</v>
      </c>
      <c r="F11" s="163">
        <f t="shared" si="0"/>
        <v>1430571.2629999972</v>
      </c>
      <c r="G11" s="163">
        <f t="shared" si="0"/>
        <v>1419055.5023750025</v>
      </c>
      <c r="H11" s="163">
        <f t="shared" si="0"/>
        <v>1418918.3947916725</v>
      </c>
      <c r="I11" s="163">
        <f t="shared" si="0"/>
        <v>1418652.7996249886</v>
      </c>
      <c r="J11" s="163">
        <f t="shared" si="0"/>
        <v>1418736.0207916712</v>
      </c>
      <c r="K11" s="163">
        <f t="shared" si="0"/>
        <v>1287701.4956250011</v>
      </c>
      <c r="L11" s="163">
        <f t="shared" si="0"/>
        <v>1287701.4956250016</v>
      </c>
      <c r="M11" s="163">
        <f t="shared" si="0"/>
        <v>1185607.0877500081</v>
      </c>
      <c r="N11" s="163">
        <f t="shared" si="0"/>
        <v>1159590.2100416548</v>
      </c>
      <c r="O11" s="163">
        <f t="shared" si="0"/>
        <v>1158625.5217499898</v>
      </c>
      <c r="P11" s="163">
        <f t="shared" si="0"/>
        <v>16048527.748874992</v>
      </c>
    </row>
    <row r="12" spans="3:16" ht="17.25" x14ac:dyDescent="0.3">
      <c r="C12" s="164"/>
    </row>
    <row r="13" spans="3:16" s="15" customFormat="1" ht="15" x14ac:dyDescent="0.25">
      <c r="C13" s="165" t="s">
        <v>135</v>
      </c>
      <c r="D13" s="166" t="s">
        <v>22</v>
      </c>
      <c r="E13" s="166" t="s">
        <v>23</v>
      </c>
      <c r="F13" s="166" t="s">
        <v>24</v>
      </c>
      <c r="G13" s="166" t="s">
        <v>25</v>
      </c>
      <c r="H13" s="166" t="s">
        <v>26</v>
      </c>
      <c r="I13" s="166" t="s">
        <v>27</v>
      </c>
      <c r="J13" s="166" t="s">
        <v>28</v>
      </c>
      <c r="K13" s="166" t="s">
        <v>29</v>
      </c>
      <c r="L13" s="166" t="s">
        <v>30</v>
      </c>
      <c r="M13" s="166" t="s">
        <v>31</v>
      </c>
      <c r="N13" s="166" t="s">
        <v>32</v>
      </c>
      <c r="O13" s="166" t="s">
        <v>33</v>
      </c>
      <c r="P13" s="166"/>
    </row>
    <row r="14" spans="3:16" x14ac:dyDescent="0.2">
      <c r="C14" s="167" t="s">
        <v>130</v>
      </c>
      <c r="D14" s="168">
        <v>1150564.1314583332</v>
      </c>
      <c r="E14" s="168">
        <v>2301128.2629166665</v>
      </c>
      <c r="F14" s="168">
        <v>3451692.3943749974</v>
      </c>
      <c r="G14" s="168">
        <v>4590740.7652083328</v>
      </c>
      <c r="H14" s="168">
        <v>5729789.136041672</v>
      </c>
      <c r="I14" s="168">
        <v>6868837.5068749944</v>
      </c>
      <c r="J14" s="168">
        <v>8007885.8777083317</v>
      </c>
      <c r="K14" s="168">
        <v>9023272.2850000001</v>
      </c>
      <c r="L14" s="168">
        <v>10038658.692291668</v>
      </c>
      <c r="M14" s="168">
        <v>10953474.136041677</v>
      </c>
      <c r="N14" s="168">
        <v>11843523.624583332</v>
      </c>
      <c r="O14" s="168">
        <v>12733573.113124991</v>
      </c>
      <c r="P14" s="168">
        <f>P6-O14</f>
        <v>0</v>
      </c>
    </row>
    <row r="15" spans="3:16" x14ac:dyDescent="0.2">
      <c r="C15" s="167" t="s">
        <v>131</v>
      </c>
      <c r="D15" s="168">
        <v>101218.56020833337</v>
      </c>
      <c r="E15" s="168">
        <v>201575.07875000004</v>
      </c>
      <c r="F15" s="168">
        <v>301566.18062499998</v>
      </c>
      <c r="G15" s="168">
        <v>401557.28250000003</v>
      </c>
      <c r="H15" s="168">
        <v>501418.30104166665</v>
      </c>
      <c r="I15" s="168">
        <v>601029.34041666659</v>
      </c>
      <c r="J15" s="168">
        <v>700640.37979166687</v>
      </c>
      <c r="K15" s="168">
        <v>793023.23770833318</v>
      </c>
      <c r="L15" s="168">
        <v>885406.09562500007</v>
      </c>
      <c r="M15" s="168">
        <v>976590.65145833325</v>
      </c>
      <c r="N15" s="168">
        <v>1066942.096875</v>
      </c>
      <c r="O15" s="168">
        <v>1156438.8016666663</v>
      </c>
      <c r="P15" s="168">
        <f>P7-O15</f>
        <v>0</v>
      </c>
    </row>
    <row r="16" spans="3:16" x14ac:dyDescent="0.2">
      <c r="C16" s="167" t="s">
        <v>132</v>
      </c>
      <c r="D16" s="168">
        <v>31691.854250000004</v>
      </c>
      <c r="E16" s="168">
        <v>63343.808500000014</v>
      </c>
      <c r="F16" s="168">
        <v>94995.76274999998</v>
      </c>
      <c r="G16" s="168">
        <v>126647.717</v>
      </c>
      <c r="H16" s="168">
        <v>158292.64700000008</v>
      </c>
      <c r="I16" s="168">
        <v>189937.57699999996</v>
      </c>
      <c r="J16" s="168">
        <v>221537.09033333327</v>
      </c>
      <c r="K16" s="168">
        <v>253136.60366666672</v>
      </c>
      <c r="L16" s="168">
        <v>284736.11699999997</v>
      </c>
      <c r="M16" s="168">
        <v>316335.63033333351</v>
      </c>
      <c r="N16" s="168">
        <v>347678.64933333331</v>
      </c>
      <c r="O16" s="168">
        <v>378976.84233333333</v>
      </c>
      <c r="P16" s="168">
        <f>P8-O16</f>
        <v>0</v>
      </c>
    </row>
    <row r="17" spans="3:16" x14ac:dyDescent="0.2">
      <c r="C17" s="167" t="s">
        <v>133</v>
      </c>
      <c r="D17" s="168">
        <v>19262.142000000018</v>
      </c>
      <c r="E17" s="168">
        <v>38384.890666666688</v>
      </c>
      <c r="F17" s="168">
        <v>57281.007749999822</v>
      </c>
      <c r="G17" s="168">
        <v>76177.124833333364</v>
      </c>
      <c r="H17" s="168">
        <v>95073.241916666637</v>
      </c>
      <c r="I17" s="168">
        <v>113953.74299999965</v>
      </c>
      <c r="J17" s="168">
        <v>132962.88191666696</v>
      </c>
      <c r="K17" s="168">
        <v>151827.64066666676</v>
      </c>
      <c r="L17" s="168">
        <v>170692.39941666648</v>
      </c>
      <c r="M17" s="168">
        <v>189232.0159166666</v>
      </c>
      <c r="N17" s="168">
        <v>207610.31466666708</v>
      </c>
      <c r="O17" s="168">
        <v>225923.49174999932</v>
      </c>
      <c r="P17" s="168">
        <f>P9-O17</f>
        <v>0</v>
      </c>
    </row>
    <row r="18" spans="3:16" x14ac:dyDescent="0.2">
      <c r="C18" s="167" t="s">
        <v>134</v>
      </c>
      <c r="D18" s="168">
        <v>129467.95833333334</v>
      </c>
      <c r="E18" s="168">
        <v>258935.91666666669</v>
      </c>
      <c r="F18" s="168">
        <v>388403.875</v>
      </c>
      <c r="G18" s="168">
        <v>517871.83333333337</v>
      </c>
      <c r="H18" s="168">
        <v>647339.79166666663</v>
      </c>
      <c r="I18" s="168">
        <v>776807.75</v>
      </c>
      <c r="J18" s="168">
        <v>906275.70833333337</v>
      </c>
      <c r="K18" s="168">
        <v>1424147.5416666665</v>
      </c>
      <c r="L18" s="168">
        <v>1165211.625</v>
      </c>
      <c r="M18" s="168">
        <v>1294679.5833333333</v>
      </c>
      <c r="N18" s="168">
        <v>1424147.5416666665</v>
      </c>
      <c r="O18" s="168">
        <v>1553615.5</v>
      </c>
      <c r="P18" s="168">
        <f>P10-O18</f>
        <v>0</v>
      </c>
    </row>
    <row r="19" spans="3:16" ht="13.5" thickBot="1" x14ac:dyDescent="0.25">
      <c r="C19" s="169"/>
      <c r="D19" s="170">
        <f t="shared" ref="D19:O19" si="1">SUM(D14:D18)</f>
        <v>1432204.64625</v>
      </c>
      <c r="E19" s="170">
        <f t="shared" si="1"/>
        <v>2863367.9574999996</v>
      </c>
      <c r="F19" s="170">
        <f t="shared" si="1"/>
        <v>4293939.220499997</v>
      </c>
      <c r="G19" s="170">
        <f t="shared" si="1"/>
        <v>5712994.722874999</v>
      </c>
      <c r="H19" s="170">
        <f t="shared" si="1"/>
        <v>7131913.117666672</v>
      </c>
      <c r="I19" s="170">
        <f t="shared" si="1"/>
        <v>8550565.9172916599</v>
      </c>
      <c r="J19" s="170">
        <f t="shared" si="1"/>
        <v>9969301.938083332</v>
      </c>
      <c r="K19" s="170">
        <f t="shared" si="1"/>
        <v>11645407.308708334</v>
      </c>
      <c r="L19" s="170">
        <f t="shared" si="1"/>
        <v>12544704.929333335</v>
      </c>
      <c r="M19" s="170">
        <f t="shared" si="1"/>
        <v>13730312.017083343</v>
      </c>
      <c r="N19" s="170">
        <f t="shared" si="1"/>
        <v>14889902.227125</v>
      </c>
      <c r="O19" s="170">
        <f t="shared" si="1"/>
        <v>16048527.74887499</v>
      </c>
      <c r="P19" s="171"/>
    </row>
    <row r="22" spans="3:16" x14ac:dyDescent="0.2">
      <c r="C22" t="s">
        <v>146</v>
      </c>
    </row>
    <row r="23" spans="3:16" x14ac:dyDescent="0.2">
      <c r="C23" s="167" t="s">
        <v>149</v>
      </c>
      <c r="E23" s="20" t="e">
        <f>#REF!/48</f>
        <v>#REF!</v>
      </c>
      <c r="F23" s="20" t="e">
        <f>#REF!/48+#REF!/48</f>
        <v>#REF!</v>
      </c>
      <c r="G23" s="20" t="e">
        <f>#REF!/48+#REF!/48+#REF!/48</f>
        <v>#REF!</v>
      </c>
      <c r="H23" s="20" t="e">
        <f>#REF!/48+#REF!/48+#REF!/48+#REF!/48</f>
        <v>#REF!</v>
      </c>
      <c r="I23" s="20" t="e">
        <f>#REF!/48+#REF!/48+#REF!/48+#REF!/48+#REF!/48</f>
        <v>#REF!</v>
      </c>
      <c r="J23" s="20" t="e">
        <f>#REF!/48+#REF!/48+#REF!/48+#REF!/48+#REF!/48+#REF!/48</f>
        <v>#REF!</v>
      </c>
      <c r="K23" s="20" t="e">
        <f>#REF!/48+#REF!/48+#REF!/48+#REF!/48+#REF!/48+#REF!/48+#REF!/48</f>
        <v>#REF!</v>
      </c>
      <c r="L23" s="20" t="e">
        <f>#REF!/48+#REF!/48+#REF!/48+#REF!/48+#REF!/48+#REF!/48+#REF!/48+#REF!/48</f>
        <v>#REF!</v>
      </c>
      <c r="M23" s="20" t="e">
        <f>#REF!/48+#REF!/48+#REF!/48+#REF!/48+#REF!/48+#REF!/48+#REF!/48+#REF!/48+#REF!/48</f>
        <v>#REF!</v>
      </c>
      <c r="N23" s="20" t="e">
        <f>#REF!/48+#REF!/48+#REF!/48+#REF!/48+#REF!/48+#REF!/48+#REF!/48+#REF!/48+#REF!/48+#REF!/48</f>
        <v>#REF!</v>
      </c>
      <c r="O23" s="20" t="e">
        <f>#REF!/48+#REF!/48+#REF!/48+#REF!/48+#REF!/48+#REF!/48+#REF!/48+#REF!/48+#REF!/48+#REF!/48+#REF!/48</f>
        <v>#REF!</v>
      </c>
      <c r="P23" s="20" t="e">
        <f t="shared" ref="P23:P28" si="2">SUM(D23:O23)</f>
        <v>#REF!</v>
      </c>
    </row>
    <row r="24" spans="3:16" x14ac:dyDescent="0.2">
      <c r="C24" s="167" t="s">
        <v>131</v>
      </c>
      <c r="E24" s="20" t="e">
        <f>#REF!/48</f>
        <v>#REF!</v>
      </c>
      <c r="F24" s="20" t="e">
        <f>#REF!/48+#REF!/48</f>
        <v>#REF!</v>
      </c>
      <c r="G24" s="20" t="e">
        <f>#REF!/48+#REF!/48+#REF!/48</f>
        <v>#REF!</v>
      </c>
      <c r="H24" s="20" t="e">
        <f>#REF!/48+#REF!/48+#REF!/48+#REF!/48</f>
        <v>#REF!</v>
      </c>
      <c r="I24" s="20" t="e">
        <f>#REF!/48+#REF!/48+#REF!/48+#REF!/48+#REF!/48</f>
        <v>#REF!</v>
      </c>
      <c r="J24" s="20" t="e">
        <f>#REF!/48+#REF!/48+#REF!/48+#REF!/48+#REF!/48+#REF!/48</f>
        <v>#REF!</v>
      </c>
      <c r="K24" s="20" t="e">
        <f>#REF!/48+#REF!/48+#REF!/48+#REF!/48+#REF!/48+#REF!/48+#REF!/48</f>
        <v>#REF!</v>
      </c>
      <c r="L24" s="20" t="e">
        <f>#REF!/48+#REF!/48+#REF!/48+#REF!/48+#REF!/48+#REF!/48+#REF!/48+#REF!/48</f>
        <v>#REF!</v>
      </c>
      <c r="M24" s="20" t="e">
        <f>#REF!/48+#REF!/48+#REF!/48+#REF!/48+#REF!/48+#REF!/48+#REF!/48+#REF!/48+#REF!/48</f>
        <v>#REF!</v>
      </c>
      <c r="N24" s="20" t="e">
        <f>#REF!/48+#REF!/48+#REF!/48+#REF!/48+#REF!/48+#REF!/48+#REF!/48+#REF!/48+#REF!/48+#REF!/48</f>
        <v>#REF!</v>
      </c>
      <c r="O24" s="20" t="e">
        <f>#REF!/48+#REF!/48+#REF!/48+#REF!/48+#REF!/48+#REF!/48+#REF!/48+#REF!/48+#REF!/48+#REF!/48+#REF!/48</f>
        <v>#REF!</v>
      </c>
      <c r="P24" s="20" t="e">
        <f t="shared" si="2"/>
        <v>#REF!</v>
      </c>
    </row>
    <row r="25" spans="3:16" x14ac:dyDescent="0.2">
      <c r="C25" s="167" t="s">
        <v>132</v>
      </c>
      <c r="E25" s="20" t="e">
        <f>#REF!/120</f>
        <v>#REF!</v>
      </c>
      <c r="F25" s="20" t="e">
        <f>#REF!/120+#REF!/120</f>
        <v>#REF!</v>
      </c>
      <c r="G25" s="20" t="e">
        <f>#REF!/120+#REF!/120+#REF!/120</f>
        <v>#REF!</v>
      </c>
      <c r="H25" s="20" t="e">
        <f>#REF!/120+#REF!/120+#REF!/120+#REF!/120</f>
        <v>#REF!</v>
      </c>
      <c r="I25" s="20" t="e">
        <f>#REF!/120+#REF!/120+#REF!/120+#REF!/120+#REF!/120</f>
        <v>#REF!</v>
      </c>
      <c r="J25" s="20" t="e">
        <f>#REF!/120+#REF!/120+#REF!/120+#REF!/120+#REF!/120+#REF!/120</f>
        <v>#REF!</v>
      </c>
      <c r="K25" s="20" t="e">
        <f>#REF!/120+#REF!/120+#REF!/120+#REF!/120+#REF!/120+#REF!/120+#REF!/120</f>
        <v>#REF!</v>
      </c>
      <c r="L25" s="20" t="e">
        <f>#REF!/120+#REF!/120+#REF!/120+#REF!/120+#REF!/120+#REF!/120+#REF!/120+#REF!/120</f>
        <v>#REF!</v>
      </c>
      <c r="M25" s="20" t="e">
        <f>#REF!/120+#REF!/120+#REF!/120+#REF!/120+#REF!/120+#REF!/120+#REF!/120+#REF!/120+#REF!/120</f>
        <v>#REF!</v>
      </c>
      <c r="N25" s="20" t="e">
        <f>#REF!/120+#REF!/120+#REF!/120+#REF!/120+#REF!/120+#REF!/120+#REF!/120+#REF!/120+#REF!/120+#REF!/120</f>
        <v>#REF!</v>
      </c>
      <c r="O25" s="20" t="e">
        <f>#REF!/120+#REF!/120+#REF!/120+#REF!/120+#REF!/120+#REF!/120+#REF!/120+#REF!/120+#REF!/120+#REF!/120+#REF!/120</f>
        <v>#REF!</v>
      </c>
      <c r="P25" s="20" t="e">
        <f t="shared" si="2"/>
        <v>#REF!</v>
      </c>
    </row>
    <row r="26" spans="3:16" x14ac:dyDescent="0.2">
      <c r="C26" s="167" t="s">
        <v>133</v>
      </c>
      <c r="E26" s="20" t="e">
        <f>#REF!/120</f>
        <v>#REF!</v>
      </c>
      <c r="F26" s="20" t="e">
        <f>#REF!/120+#REF!/120</f>
        <v>#REF!</v>
      </c>
      <c r="G26" s="20" t="e">
        <f>#REF!/120+#REF!/120+#REF!/120</f>
        <v>#REF!</v>
      </c>
      <c r="H26" s="20" t="e">
        <f>#REF!/120+#REF!/120+#REF!/120+#REF!/120</f>
        <v>#REF!</v>
      </c>
      <c r="I26" s="20" t="e">
        <f>#REF!/120+#REF!/120+#REF!/120+#REF!/120+#REF!/120</f>
        <v>#REF!</v>
      </c>
      <c r="J26" s="20" t="e">
        <f>#REF!/120+#REF!/120+#REF!/120+#REF!/120+#REF!/120+#REF!/120</f>
        <v>#REF!</v>
      </c>
      <c r="K26" s="20" t="e">
        <f>#REF!/120+#REF!/120+#REF!/120+#REF!/120+#REF!/120+#REF!/120+#REF!/120</f>
        <v>#REF!</v>
      </c>
      <c r="L26" s="20" t="e">
        <f>#REF!/120+#REF!/120+#REF!/120+#REF!/120+#REF!/120+#REF!/120+#REF!/120+#REF!/120+#REF!/120</f>
        <v>#REF!</v>
      </c>
      <c r="M26" s="20" t="e">
        <f>#REF!/120+#REF!/120+#REF!/120+#REF!/120+#REF!/120+#REF!/120+#REF!/120+#REF!/120+#REF!/120+#REF!/120</f>
        <v>#REF!</v>
      </c>
      <c r="N26" s="20" t="e">
        <f>#REF!/120+#REF!/120+#REF!/120+#REF!/120+#REF!/120+#REF!/120+#REF!/120+#REF!/120+#REF!/120+#REF!/120+#REF!/120</f>
        <v>#REF!</v>
      </c>
      <c r="O26" s="20" t="e">
        <f>#REF!/120+#REF!/120+#REF!/120+#REF!/120+#REF!/120+#REF!/120+#REF!/120+#REF!/120+#REF!/120+#REF!/120+#REF!/120+#REF!/120</f>
        <v>#REF!</v>
      </c>
      <c r="P26" s="20" t="e">
        <f t="shared" si="2"/>
        <v>#REF!</v>
      </c>
    </row>
    <row r="27" spans="3:16" x14ac:dyDescent="0.2">
      <c r="C27" s="167" t="s">
        <v>150</v>
      </c>
      <c r="E27" s="20" t="e">
        <f>#REF!/240</f>
        <v>#REF!</v>
      </c>
      <c r="F27" s="20" t="e">
        <f>#REF!/240+#REF!/240</f>
        <v>#REF!</v>
      </c>
      <c r="G27" s="20" t="e">
        <f>#REF!/240+#REF!/240+#REF!/240</f>
        <v>#REF!</v>
      </c>
      <c r="H27" s="20" t="e">
        <f>#REF!/240+#REF!/240+#REF!/240+#REF!/240</f>
        <v>#REF!</v>
      </c>
      <c r="I27" s="20" t="e">
        <f>#REF!/240+#REF!/240+#REF!/240+#REF!/240+#REF!/240</f>
        <v>#REF!</v>
      </c>
      <c r="J27" s="20" t="e">
        <f>#REF!/240+#REF!/240+#REF!/240+#REF!/240+#REF!/240+#REF!/240</f>
        <v>#REF!</v>
      </c>
      <c r="K27" s="20" t="e">
        <f>#REF!/240+#REF!/240+#REF!/240+#REF!/240+#REF!/240+#REF!/240+#REF!/240</f>
        <v>#REF!</v>
      </c>
      <c r="L27" s="20" t="e">
        <f>#REF!/240+#REF!/240+#REF!/240+#REF!/240+#REF!/240+#REF!/240+#REF!/240+#REF!/240+#REF!/240</f>
        <v>#REF!</v>
      </c>
      <c r="M27" s="20" t="e">
        <f>#REF!/240+#REF!/240+#REF!/240+#REF!/240+#REF!/240+#REF!/240+#REF!/240+#REF!/240+#REF!/240+#REF!</f>
        <v>#REF!</v>
      </c>
      <c r="N27" s="20" t="e">
        <f>#REF!/240+#REF!/240+#REF!/240+#REF!/240+#REF!/240+#REF!/240+#REF!/240+#REF!/240+#REF!/240+#REF!+#REF!</f>
        <v>#REF!</v>
      </c>
      <c r="O27" s="20" t="e">
        <f>#REF!/240+#REF!/240+#REF!/240+#REF!/240+#REF!/240+#REF!/240+#REF!/240+#REF!/240+#REF!/240+#REF!+#REF!+#REF!</f>
        <v>#REF!</v>
      </c>
      <c r="P27" s="20" t="e">
        <f t="shared" si="2"/>
        <v>#REF!</v>
      </c>
    </row>
    <row r="28" spans="3:16" x14ac:dyDescent="0.2">
      <c r="C28" s="167" t="s">
        <v>151</v>
      </c>
      <c r="E28" s="20" t="e">
        <f>#REF!/48</f>
        <v>#REF!</v>
      </c>
      <c r="F28" s="20">
        <v>0</v>
      </c>
      <c r="G28" s="20">
        <v>0</v>
      </c>
      <c r="H28" s="20" t="e">
        <f>#REF!/48+#REF!/48+#REF!/48+#REF!/48</f>
        <v>#REF!</v>
      </c>
      <c r="I28" s="20" t="e">
        <f>#REF!/48+#REF!/48+#REF!/48+#REF!/48+#REF!/48</f>
        <v>#REF!</v>
      </c>
      <c r="J28" s="20" t="e">
        <f>#REF!/48+#REF!/48+#REF!/48+#REF!/48+#REF!/48+#REF!/48</f>
        <v>#REF!</v>
      </c>
      <c r="K28" s="20" t="e">
        <f>#REF!/48+#REF!/48+#REF!/48+#REF!/48+#REF!/48+#REF!/48+#REF!/48</f>
        <v>#REF!</v>
      </c>
      <c r="L28" s="20" t="e">
        <f>#REF!/48+#REF!/48+#REF!/48+#REF!/48+#REF!/48+#REF!/48+#REF!/48+#REF!/48</f>
        <v>#REF!</v>
      </c>
      <c r="M28" s="20" t="e">
        <f>#REF!/48+#REF!/48+#REF!/48+#REF!/48+#REF!/48+#REF!/48+#REF!/48+#REF!/48+#REF!/48</f>
        <v>#REF!</v>
      </c>
      <c r="N28" s="20" t="e">
        <f>#REF!/48+#REF!/48+#REF!/48+#REF!/48+#REF!/48+#REF!/48+#REF!/48+#REF!/48+#REF!/48+#REF!/48</f>
        <v>#REF!</v>
      </c>
      <c r="O28" s="20" t="e">
        <f>#REF!/48+#REF!/48+#REF!/48+#REF!/48+#REF!/48+#REF!/48+#REF!/48+#REF!/48+#REF!/48+#REF!/48+#REF!/48</f>
        <v>#REF!</v>
      </c>
      <c r="P28" s="20" t="e">
        <f t="shared" si="2"/>
        <v>#REF!</v>
      </c>
    </row>
    <row r="29" spans="3:16" ht="13.5" thickBot="1" x14ac:dyDescent="0.25">
      <c r="C29" s="167" t="s">
        <v>147</v>
      </c>
      <c r="D29" s="170">
        <f>SUM(D23:D27)</f>
        <v>0</v>
      </c>
      <c r="E29" s="170" t="e">
        <f>SUM(E23:E28)</f>
        <v>#REF!</v>
      </c>
      <c r="F29" s="170" t="e">
        <f t="shared" ref="F29:P29" si="3">SUM(F23:F28)</f>
        <v>#REF!</v>
      </c>
      <c r="G29" s="170" t="e">
        <f t="shared" si="3"/>
        <v>#REF!</v>
      </c>
      <c r="H29" s="170" t="e">
        <f t="shared" si="3"/>
        <v>#REF!</v>
      </c>
      <c r="I29" s="170" t="e">
        <f t="shared" si="3"/>
        <v>#REF!</v>
      </c>
      <c r="J29" s="170" t="e">
        <f t="shared" si="3"/>
        <v>#REF!</v>
      </c>
      <c r="K29" s="170" t="e">
        <f t="shared" si="3"/>
        <v>#REF!</v>
      </c>
      <c r="L29" s="170" t="e">
        <f t="shared" si="3"/>
        <v>#REF!</v>
      </c>
      <c r="M29" s="170" t="e">
        <f t="shared" si="3"/>
        <v>#REF!</v>
      </c>
      <c r="N29" s="170" t="e">
        <f t="shared" si="3"/>
        <v>#REF!</v>
      </c>
      <c r="O29" s="170" t="e">
        <f t="shared" si="3"/>
        <v>#REF!</v>
      </c>
      <c r="P29" s="170" t="e">
        <f t="shared" si="3"/>
        <v>#REF!</v>
      </c>
    </row>
    <row r="30" spans="3:16" x14ac:dyDescent="0.2">
      <c r="C30" s="167" t="s">
        <v>148</v>
      </c>
      <c r="D30" s="175">
        <f>D11+D29</f>
        <v>1432204.64625</v>
      </c>
      <c r="E30" s="175" t="e">
        <f t="shared" ref="E30:P30" si="4">E11+E29</f>
        <v>#REF!</v>
      </c>
      <c r="F30" s="175" t="e">
        <f t="shared" si="4"/>
        <v>#REF!</v>
      </c>
      <c r="G30" s="175" t="e">
        <f t="shared" si="4"/>
        <v>#REF!</v>
      </c>
      <c r="H30" s="175" t="e">
        <f t="shared" si="4"/>
        <v>#REF!</v>
      </c>
      <c r="I30" s="175" t="e">
        <f t="shared" si="4"/>
        <v>#REF!</v>
      </c>
      <c r="J30" s="175" t="e">
        <f t="shared" si="4"/>
        <v>#REF!</v>
      </c>
      <c r="K30" s="175" t="e">
        <f t="shared" si="4"/>
        <v>#REF!</v>
      </c>
      <c r="L30" s="175" t="e">
        <f t="shared" si="4"/>
        <v>#REF!</v>
      </c>
      <c r="M30" s="175" t="e">
        <f t="shared" si="4"/>
        <v>#REF!</v>
      </c>
      <c r="N30" s="175" t="e">
        <f t="shared" si="4"/>
        <v>#REF!</v>
      </c>
      <c r="O30" s="175" t="e">
        <f t="shared" si="4"/>
        <v>#REF!</v>
      </c>
      <c r="P30" s="175" t="e">
        <f t="shared" si="4"/>
        <v>#REF!</v>
      </c>
    </row>
    <row r="35" spans="1:16" ht="15" x14ac:dyDescent="0.25">
      <c r="C35" s="15"/>
      <c r="D35" s="15" t="s">
        <v>22</v>
      </c>
      <c r="E35" s="15" t="s">
        <v>23</v>
      </c>
      <c r="F35" s="15" t="s">
        <v>24</v>
      </c>
      <c r="G35" s="15" t="s">
        <v>25</v>
      </c>
      <c r="H35" s="15" t="s">
        <v>26</v>
      </c>
      <c r="I35" s="15" t="s">
        <v>27</v>
      </c>
      <c r="J35" s="15" t="s">
        <v>28</v>
      </c>
      <c r="K35" s="15" t="s">
        <v>29</v>
      </c>
      <c r="L35" s="15" t="s">
        <v>30</v>
      </c>
      <c r="M35" s="15" t="s">
        <v>31</v>
      </c>
      <c r="N35" s="15" t="s">
        <v>32</v>
      </c>
      <c r="O35" s="15" t="s">
        <v>33</v>
      </c>
      <c r="P35" s="15" t="s">
        <v>19</v>
      </c>
    </row>
    <row r="36" spans="1:16" ht="15" x14ac:dyDescent="0.25">
      <c r="A36" s="172" t="s">
        <v>156</v>
      </c>
      <c r="B36" s="172" t="s">
        <v>155</v>
      </c>
      <c r="C36" s="161" t="s">
        <v>130</v>
      </c>
      <c r="D36" s="153">
        <f>D6+D23</f>
        <v>1150564.1314583332</v>
      </c>
      <c r="E36" s="153" t="e">
        <f t="shared" ref="E36:P36" si="5">E6+E23</f>
        <v>#REF!</v>
      </c>
      <c r="F36" s="153" t="e">
        <f t="shared" si="5"/>
        <v>#REF!</v>
      </c>
      <c r="G36" s="153" t="e">
        <f t="shared" si="5"/>
        <v>#REF!</v>
      </c>
      <c r="H36" s="153" t="e">
        <f t="shared" si="5"/>
        <v>#REF!</v>
      </c>
      <c r="I36" s="153" t="e">
        <f t="shared" si="5"/>
        <v>#REF!</v>
      </c>
      <c r="J36" s="153" t="e">
        <f t="shared" si="5"/>
        <v>#REF!</v>
      </c>
      <c r="K36" s="153" t="e">
        <f t="shared" si="5"/>
        <v>#REF!</v>
      </c>
      <c r="L36" s="153" t="e">
        <f t="shared" si="5"/>
        <v>#REF!</v>
      </c>
      <c r="M36" s="153" t="e">
        <f t="shared" si="5"/>
        <v>#REF!</v>
      </c>
      <c r="N36" s="153" t="e">
        <f t="shared" si="5"/>
        <v>#REF!</v>
      </c>
      <c r="O36" s="153" t="e">
        <f t="shared" si="5"/>
        <v>#REF!</v>
      </c>
      <c r="P36" s="153" t="e">
        <f t="shared" si="5"/>
        <v>#REF!</v>
      </c>
    </row>
    <row r="37" spans="1:16" ht="15" x14ac:dyDescent="0.25">
      <c r="A37" s="172" t="s">
        <v>157</v>
      </c>
      <c r="B37" s="172" t="s">
        <v>155</v>
      </c>
      <c r="C37" s="161" t="s">
        <v>131</v>
      </c>
      <c r="D37" s="153">
        <f t="shared" ref="D37:P40" si="6">D7+D24</f>
        <v>101218.56020833337</v>
      </c>
      <c r="E37" s="153" t="e">
        <f t="shared" si="6"/>
        <v>#REF!</v>
      </c>
      <c r="F37" s="153" t="e">
        <f t="shared" si="6"/>
        <v>#REF!</v>
      </c>
      <c r="G37" s="153" t="e">
        <f t="shared" si="6"/>
        <v>#REF!</v>
      </c>
      <c r="H37" s="153" t="e">
        <f t="shared" si="6"/>
        <v>#REF!</v>
      </c>
      <c r="I37" s="153" t="e">
        <f t="shared" si="6"/>
        <v>#REF!</v>
      </c>
      <c r="J37" s="153" t="e">
        <f t="shared" si="6"/>
        <v>#REF!</v>
      </c>
      <c r="K37" s="153" t="e">
        <f t="shared" si="6"/>
        <v>#REF!</v>
      </c>
      <c r="L37" s="153" t="e">
        <f t="shared" si="6"/>
        <v>#REF!</v>
      </c>
      <c r="M37" s="153" t="e">
        <f t="shared" si="6"/>
        <v>#REF!</v>
      </c>
      <c r="N37" s="153" t="e">
        <f t="shared" si="6"/>
        <v>#REF!</v>
      </c>
      <c r="O37" s="153" t="e">
        <f t="shared" si="6"/>
        <v>#REF!</v>
      </c>
      <c r="P37" s="153" t="e">
        <f t="shared" si="6"/>
        <v>#REF!</v>
      </c>
    </row>
    <row r="38" spans="1:16" ht="15" x14ac:dyDescent="0.25">
      <c r="A38" s="172" t="s">
        <v>158</v>
      </c>
      <c r="B38" s="172" t="s">
        <v>155</v>
      </c>
      <c r="C38" s="161" t="s">
        <v>132</v>
      </c>
      <c r="D38" s="153">
        <f t="shared" si="6"/>
        <v>31691.854250000004</v>
      </c>
      <c r="E38" s="153" t="e">
        <f t="shared" si="6"/>
        <v>#REF!</v>
      </c>
      <c r="F38" s="153" t="e">
        <f t="shared" si="6"/>
        <v>#REF!</v>
      </c>
      <c r="G38" s="153" t="e">
        <f t="shared" si="6"/>
        <v>#REF!</v>
      </c>
      <c r="H38" s="153" t="e">
        <f t="shared" si="6"/>
        <v>#REF!</v>
      </c>
      <c r="I38" s="153" t="e">
        <f t="shared" si="6"/>
        <v>#REF!</v>
      </c>
      <c r="J38" s="153" t="e">
        <f t="shared" si="6"/>
        <v>#REF!</v>
      </c>
      <c r="K38" s="153" t="e">
        <f t="shared" si="6"/>
        <v>#REF!</v>
      </c>
      <c r="L38" s="153" t="e">
        <f t="shared" si="6"/>
        <v>#REF!</v>
      </c>
      <c r="M38" s="153" t="e">
        <f t="shared" si="6"/>
        <v>#REF!</v>
      </c>
      <c r="N38" s="153" t="e">
        <f t="shared" si="6"/>
        <v>#REF!</v>
      </c>
      <c r="O38" s="153" t="e">
        <f t="shared" si="6"/>
        <v>#REF!</v>
      </c>
      <c r="P38" s="153" t="e">
        <f t="shared" si="6"/>
        <v>#REF!</v>
      </c>
    </row>
    <row r="39" spans="1:16" ht="15" x14ac:dyDescent="0.25">
      <c r="A39" s="172" t="s">
        <v>159</v>
      </c>
      <c r="B39" s="172" t="s">
        <v>155</v>
      </c>
      <c r="C39" s="161" t="s">
        <v>133</v>
      </c>
      <c r="D39" s="153">
        <f t="shared" si="6"/>
        <v>19262.142000000018</v>
      </c>
      <c r="E39" s="153" t="e">
        <f t="shared" si="6"/>
        <v>#REF!</v>
      </c>
      <c r="F39" s="153" t="e">
        <f t="shared" si="6"/>
        <v>#REF!</v>
      </c>
      <c r="G39" s="153" t="e">
        <f t="shared" si="6"/>
        <v>#REF!</v>
      </c>
      <c r="H39" s="153" t="e">
        <f t="shared" si="6"/>
        <v>#REF!</v>
      </c>
      <c r="I39" s="153" t="e">
        <f t="shared" si="6"/>
        <v>#REF!</v>
      </c>
      <c r="J39" s="153" t="e">
        <f t="shared" si="6"/>
        <v>#REF!</v>
      </c>
      <c r="K39" s="153" t="e">
        <f t="shared" si="6"/>
        <v>#REF!</v>
      </c>
      <c r="L39" s="153" t="e">
        <f t="shared" si="6"/>
        <v>#REF!</v>
      </c>
      <c r="M39" s="153" t="e">
        <f t="shared" si="6"/>
        <v>#REF!</v>
      </c>
      <c r="N39" s="153" t="e">
        <f t="shared" si="6"/>
        <v>#REF!</v>
      </c>
      <c r="O39" s="153" t="e">
        <f t="shared" si="6"/>
        <v>#REF!</v>
      </c>
      <c r="P39" s="153" t="e">
        <f t="shared" si="6"/>
        <v>#REF!</v>
      </c>
    </row>
    <row r="40" spans="1:16" ht="15" x14ac:dyDescent="0.25">
      <c r="A40" s="172" t="s">
        <v>160</v>
      </c>
      <c r="B40" s="172" t="s">
        <v>155</v>
      </c>
      <c r="C40" s="161" t="s">
        <v>134</v>
      </c>
      <c r="D40" s="168">
        <f t="shared" si="6"/>
        <v>129467.95833333334</v>
      </c>
      <c r="E40" s="168" t="e">
        <f t="shared" si="6"/>
        <v>#REF!</v>
      </c>
      <c r="F40" s="168" t="e">
        <f t="shared" si="6"/>
        <v>#REF!</v>
      </c>
      <c r="G40" s="168" t="e">
        <f t="shared" si="6"/>
        <v>#REF!</v>
      </c>
      <c r="H40" s="168" t="e">
        <f t="shared" si="6"/>
        <v>#REF!</v>
      </c>
      <c r="I40" s="168" t="e">
        <f t="shared" si="6"/>
        <v>#REF!</v>
      </c>
      <c r="J40" s="168" t="e">
        <f t="shared" si="6"/>
        <v>#REF!</v>
      </c>
      <c r="K40" s="168" t="e">
        <f t="shared" si="6"/>
        <v>#REF!</v>
      </c>
      <c r="L40" s="168" t="e">
        <f t="shared" si="6"/>
        <v>#REF!</v>
      </c>
      <c r="M40" s="168" t="e">
        <f t="shared" si="6"/>
        <v>#REF!</v>
      </c>
      <c r="N40" s="168" t="e">
        <f t="shared" si="6"/>
        <v>#REF!</v>
      </c>
      <c r="O40" s="168" t="e">
        <f t="shared" si="6"/>
        <v>#REF!</v>
      </c>
      <c r="P40" s="153" t="e">
        <f t="shared" si="6"/>
        <v>#REF!</v>
      </c>
    </row>
    <row r="41" spans="1:16" ht="15.75" thickBot="1" x14ac:dyDescent="0.3">
      <c r="C41" s="162"/>
      <c r="D41" s="163">
        <f t="shared" ref="D41:P41" si="7">SUM(D36:D40)</f>
        <v>1432204.64625</v>
      </c>
      <c r="E41" s="163" t="e">
        <f t="shared" si="7"/>
        <v>#REF!</v>
      </c>
      <c r="F41" s="163" t="e">
        <f t="shared" si="7"/>
        <v>#REF!</v>
      </c>
      <c r="G41" s="163" t="e">
        <f t="shared" si="7"/>
        <v>#REF!</v>
      </c>
      <c r="H41" s="163" t="e">
        <f t="shared" si="7"/>
        <v>#REF!</v>
      </c>
      <c r="I41" s="163" t="e">
        <f t="shared" si="7"/>
        <v>#REF!</v>
      </c>
      <c r="J41" s="163" t="e">
        <f t="shared" si="7"/>
        <v>#REF!</v>
      </c>
      <c r="K41" s="163" t="e">
        <f t="shared" si="7"/>
        <v>#REF!</v>
      </c>
      <c r="L41" s="163" t="e">
        <f t="shared" si="7"/>
        <v>#REF!</v>
      </c>
      <c r="M41" s="163" t="e">
        <f t="shared" si="7"/>
        <v>#REF!</v>
      </c>
      <c r="N41" s="163" t="e">
        <f t="shared" si="7"/>
        <v>#REF!</v>
      </c>
      <c r="O41" s="163" t="e">
        <f t="shared" si="7"/>
        <v>#REF!</v>
      </c>
      <c r="P41" s="163" t="e">
        <f t="shared" si="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E1" workbookViewId="0">
      <selection sqref="A1:T2"/>
    </sheetView>
  </sheetViews>
  <sheetFormatPr baseColWidth="10" defaultRowHeight="12.75" x14ac:dyDescent="0.2"/>
  <sheetData>
    <row r="1" spans="1:20" ht="25.5" x14ac:dyDescent="0.2">
      <c r="A1" s="580" t="s">
        <v>743</v>
      </c>
      <c r="B1" s="580" t="s">
        <v>220</v>
      </c>
      <c r="C1" s="580" t="s">
        <v>744</v>
      </c>
      <c r="D1" s="580" t="s">
        <v>745</v>
      </c>
      <c r="E1" s="580" t="s">
        <v>746</v>
      </c>
      <c r="F1" s="580" t="s">
        <v>747</v>
      </c>
      <c r="G1" s="580" t="s">
        <v>748</v>
      </c>
      <c r="H1" s="580" t="s">
        <v>749</v>
      </c>
      <c r="I1" s="580" t="s">
        <v>750</v>
      </c>
      <c r="J1" s="580" t="s">
        <v>751</v>
      </c>
      <c r="K1" s="580" t="s">
        <v>752</v>
      </c>
      <c r="L1" s="581" t="s">
        <v>753</v>
      </c>
      <c r="M1" s="580" t="s">
        <v>754</v>
      </c>
      <c r="N1" s="580" t="s">
        <v>755</v>
      </c>
      <c r="O1" s="580" t="s">
        <v>756</v>
      </c>
      <c r="P1" s="580" t="s">
        <v>757</v>
      </c>
      <c r="Q1" s="580" t="s">
        <v>758</v>
      </c>
      <c r="R1" s="580" t="s">
        <v>759</v>
      </c>
      <c r="S1" s="580" t="s">
        <v>760</v>
      </c>
      <c r="T1" s="580" t="s">
        <v>761</v>
      </c>
    </row>
    <row r="2" spans="1:20" ht="13.5" thickBot="1" x14ac:dyDescent="0.25">
      <c r="A2" s="582" t="s">
        <v>762</v>
      </c>
      <c r="B2" s="583" t="s">
        <v>763</v>
      </c>
      <c r="C2" s="582" t="s">
        <v>764</v>
      </c>
      <c r="D2" s="582" t="s">
        <v>765</v>
      </c>
      <c r="E2" s="582">
        <v>2013</v>
      </c>
      <c r="F2" s="582" t="s">
        <v>766</v>
      </c>
      <c r="G2" s="582">
        <v>12000</v>
      </c>
      <c r="H2" s="582">
        <v>1000</v>
      </c>
      <c r="I2" s="582">
        <v>1000</v>
      </c>
      <c r="J2" s="582">
        <v>1000</v>
      </c>
      <c r="K2" s="582">
        <v>1000</v>
      </c>
      <c r="L2" s="584">
        <v>1000</v>
      </c>
      <c r="M2" s="582">
        <v>1000</v>
      </c>
      <c r="N2" s="582">
        <v>1000</v>
      </c>
      <c r="O2" s="582">
        <v>1000</v>
      </c>
      <c r="P2" s="582">
        <v>1000</v>
      </c>
      <c r="Q2" s="582">
        <v>1000</v>
      </c>
      <c r="R2" s="582">
        <v>1000</v>
      </c>
      <c r="S2" s="582">
        <v>1000</v>
      </c>
      <c r="T2" s="582" t="s">
        <v>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2060"/>
  </sheetPr>
  <dimension ref="A1:WVM97"/>
  <sheetViews>
    <sheetView zoomScaleNormal="100" workbookViewId="0">
      <selection activeCell="B19" sqref="B19"/>
    </sheetView>
  </sheetViews>
  <sheetFormatPr baseColWidth="10" defaultColWidth="0" defaultRowHeight="12.75" zeroHeight="1" x14ac:dyDescent="0.2"/>
  <cols>
    <col min="1" max="1" width="45.42578125" style="25" customWidth="1"/>
    <col min="2" max="2" width="16.5703125" style="73" customWidth="1"/>
    <col min="3" max="3" width="40.7109375" style="25" customWidth="1"/>
    <col min="4" max="4" width="11.42578125" style="25" customWidth="1"/>
    <col min="5" max="5" width="11.42578125" style="25" hidden="1" customWidth="1"/>
    <col min="6" max="256" width="0" style="25" hidden="1"/>
    <col min="257" max="257" width="45.42578125" style="25" hidden="1" customWidth="1"/>
    <col min="258" max="258" width="15" style="25" hidden="1" customWidth="1"/>
    <col min="259" max="259" width="40.7109375" style="25" hidden="1" customWidth="1"/>
    <col min="260" max="261" width="11.42578125" style="25" hidden="1" customWidth="1"/>
    <col min="262" max="512" width="0" style="25" hidden="1"/>
    <col min="513" max="513" width="45.42578125" style="25" hidden="1" customWidth="1"/>
    <col min="514" max="514" width="15" style="25" hidden="1" customWidth="1"/>
    <col min="515" max="515" width="40.7109375" style="25" hidden="1" customWidth="1"/>
    <col min="516" max="517" width="11.42578125" style="25" hidden="1" customWidth="1"/>
    <col min="518" max="768" width="0" style="25" hidden="1"/>
    <col min="769" max="769" width="45.42578125" style="25" hidden="1" customWidth="1"/>
    <col min="770" max="770" width="15" style="25" hidden="1" customWidth="1"/>
    <col min="771" max="771" width="40.7109375" style="25" hidden="1" customWidth="1"/>
    <col min="772" max="773" width="11.42578125" style="25" hidden="1" customWidth="1"/>
    <col min="774" max="1024" width="0" style="25" hidden="1"/>
    <col min="1025" max="1025" width="45.42578125" style="25" hidden="1" customWidth="1"/>
    <col min="1026" max="1026" width="15" style="25" hidden="1" customWidth="1"/>
    <col min="1027" max="1027" width="40.7109375" style="25" hidden="1" customWidth="1"/>
    <col min="1028" max="1029" width="11.42578125" style="25" hidden="1" customWidth="1"/>
    <col min="1030" max="1280" width="0" style="25" hidden="1"/>
    <col min="1281" max="1281" width="45.42578125" style="25" hidden="1" customWidth="1"/>
    <col min="1282" max="1282" width="15" style="25" hidden="1" customWidth="1"/>
    <col min="1283" max="1283" width="40.7109375" style="25" hidden="1" customWidth="1"/>
    <col min="1284" max="1285" width="11.42578125" style="25" hidden="1" customWidth="1"/>
    <col min="1286" max="1536" width="0" style="25" hidden="1"/>
    <col min="1537" max="1537" width="45.42578125" style="25" hidden="1" customWidth="1"/>
    <col min="1538" max="1538" width="15" style="25" hidden="1" customWidth="1"/>
    <col min="1539" max="1539" width="40.7109375" style="25" hidden="1" customWidth="1"/>
    <col min="1540" max="1541" width="11.42578125" style="25" hidden="1" customWidth="1"/>
    <col min="1542" max="1792" width="0" style="25" hidden="1"/>
    <col min="1793" max="1793" width="45.42578125" style="25" hidden="1" customWidth="1"/>
    <col min="1794" max="1794" width="15" style="25" hidden="1" customWidth="1"/>
    <col min="1795" max="1795" width="40.7109375" style="25" hidden="1" customWidth="1"/>
    <col min="1796" max="1797" width="11.42578125" style="25" hidden="1" customWidth="1"/>
    <col min="1798" max="2048" width="0" style="25" hidden="1"/>
    <col min="2049" max="2049" width="45.42578125" style="25" hidden="1" customWidth="1"/>
    <col min="2050" max="2050" width="15" style="25" hidden="1" customWidth="1"/>
    <col min="2051" max="2051" width="40.7109375" style="25" hidden="1" customWidth="1"/>
    <col min="2052" max="2053" width="11.42578125" style="25" hidden="1" customWidth="1"/>
    <col min="2054" max="2304" width="0" style="25" hidden="1"/>
    <col min="2305" max="2305" width="45.42578125" style="25" hidden="1" customWidth="1"/>
    <col min="2306" max="2306" width="15" style="25" hidden="1" customWidth="1"/>
    <col min="2307" max="2307" width="40.7109375" style="25" hidden="1" customWidth="1"/>
    <col min="2308" max="2309" width="11.42578125" style="25" hidden="1" customWidth="1"/>
    <col min="2310" max="2560" width="0" style="25" hidden="1"/>
    <col min="2561" max="2561" width="45.42578125" style="25" hidden="1" customWidth="1"/>
    <col min="2562" max="2562" width="15" style="25" hidden="1" customWidth="1"/>
    <col min="2563" max="2563" width="40.7109375" style="25" hidden="1" customWidth="1"/>
    <col min="2564" max="2565" width="11.42578125" style="25" hidden="1" customWidth="1"/>
    <col min="2566" max="2816" width="0" style="25" hidden="1"/>
    <col min="2817" max="2817" width="45.42578125" style="25" hidden="1" customWidth="1"/>
    <col min="2818" max="2818" width="15" style="25" hidden="1" customWidth="1"/>
    <col min="2819" max="2819" width="40.7109375" style="25" hidden="1" customWidth="1"/>
    <col min="2820" max="2821" width="11.42578125" style="25" hidden="1" customWidth="1"/>
    <col min="2822" max="3072" width="0" style="25" hidden="1"/>
    <col min="3073" max="3073" width="45.42578125" style="25" hidden="1" customWidth="1"/>
    <col min="3074" max="3074" width="15" style="25" hidden="1" customWidth="1"/>
    <col min="3075" max="3075" width="40.7109375" style="25" hidden="1" customWidth="1"/>
    <col min="3076" max="3077" width="11.42578125" style="25" hidden="1" customWidth="1"/>
    <col min="3078" max="3328" width="0" style="25" hidden="1"/>
    <col min="3329" max="3329" width="45.42578125" style="25" hidden="1" customWidth="1"/>
    <col min="3330" max="3330" width="15" style="25" hidden="1" customWidth="1"/>
    <col min="3331" max="3331" width="40.7109375" style="25" hidden="1" customWidth="1"/>
    <col min="3332" max="3333" width="11.42578125" style="25" hidden="1" customWidth="1"/>
    <col min="3334" max="3584" width="0" style="25" hidden="1"/>
    <col min="3585" max="3585" width="45.42578125" style="25" hidden="1" customWidth="1"/>
    <col min="3586" max="3586" width="15" style="25" hidden="1" customWidth="1"/>
    <col min="3587" max="3587" width="40.7109375" style="25" hidden="1" customWidth="1"/>
    <col min="3588" max="3589" width="11.42578125" style="25" hidden="1" customWidth="1"/>
    <col min="3590" max="3840" width="0" style="25" hidden="1"/>
    <col min="3841" max="3841" width="45.42578125" style="25" hidden="1" customWidth="1"/>
    <col min="3842" max="3842" width="15" style="25" hidden="1" customWidth="1"/>
    <col min="3843" max="3843" width="40.7109375" style="25" hidden="1" customWidth="1"/>
    <col min="3844" max="3845" width="11.42578125" style="25" hidden="1" customWidth="1"/>
    <col min="3846" max="4096" width="0" style="25" hidden="1"/>
    <col min="4097" max="4097" width="45.42578125" style="25" hidden="1" customWidth="1"/>
    <col min="4098" max="4098" width="15" style="25" hidden="1" customWidth="1"/>
    <col min="4099" max="4099" width="40.7109375" style="25" hidden="1" customWidth="1"/>
    <col min="4100" max="4101" width="11.42578125" style="25" hidden="1" customWidth="1"/>
    <col min="4102" max="4352" width="0" style="25" hidden="1"/>
    <col min="4353" max="4353" width="45.42578125" style="25" hidden="1" customWidth="1"/>
    <col min="4354" max="4354" width="15" style="25" hidden="1" customWidth="1"/>
    <col min="4355" max="4355" width="40.7109375" style="25" hidden="1" customWidth="1"/>
    <col min="4356" max="4357" width="11.42578125" style="25" hidden="1" customWidth="1"/>
    <col min="4358" max="4608" width="0" style="25" hidden="1"/>
    <col min="4609" max="4609" width="45.42578125" style="25" hidden="1" customWidth="1"/>
    <col min="4610" max="4610" width="15" style="25" hidden="1" customWidth="1"/>
    <col min="4611" max="4611" width="40.7109375" style="25" hidden="1" customWidth="1"/>
    <col min="4612" max="4613" width="11.42578125" style="25" hidden="1" customWidth="1"/>
    <col min="4614" max="4864" width="0" style="25" hidden="1"/>
    <col min="4865" max="4865" width="45.42578125" style="25" hidden="1" customWidth="1"/>
    <col min="4866" max="4866" width="15" style="25" hidden="1" customWidth="1"/>
    <col min="4867" max="4867" width="40.7109375" style="25" hidden="1" customWidth="1"/>
    <col min="4868" max="4869" width="11.42578125" style="25" hidden="1" customWidth="1"/>
    <col min="4870" max="5120" width="0" style="25" hidden="1"/>
    <col min="5121" max="5121" width="45.42578125" style="25" hidden="1" customWidth="1"/>
    <col min="5122" max="5122" width="15" style="25" hidden="1" customWidth="1"/>
    <col min="5123" max="5123" width="40.7109375" style="25" hidden="1" customWidth="1"/>
    <col min="5124" max="5125" width="11.42578125" style="25" hidden="1" customWidth="1"/>
    <col min="5126" max="5376" width="0" style="25" hidden="1"/>
    <col min="5377" max="5377" width="45.42578125" style="25" hidden="1" customWidth="1"/>
    <col min="5378" max="5378" width="15" style="25" hidden="1" customWidth="1"/>
    <col min="5379" max="5379" width="40.7109375" style="25" hidden="1" customWidth="1"/>
    <col min="5380" max="5381" width="11.42578125" style="25" hidden="1" customWidth="1"/>
    <col min="5382" max="5632" width="0" style="25" hidden="1"/>
    <col min="5633" max="5633" width="45.42578125" style="25" hidden="1" customWidth="1"/>
    <col min="5634" max="5634" width="15" style="25" hidden="1" customWidth="1"/>
    <col min="5635" max="5635" width="40.7109375" style="25" hidden="1" customWidth="1"/>
    <col min="5636" max="5637" width="11.42578125" style="25" hidden="1" customWidth="1"/>
    <col min="5638" max="5888" width="0" style="25" hidden="1"/>
    <col min="5889" max="5889" width="45.42578125" style="25" hidden="1" customWidth="1"/>
    <col min="5890" max="5890" width="15" style="25" hidden="1" customWidth="1"/>
    <col min="5891" max="5891" width="40.7109375" style="25" hidden="1" customWidth="1"/>
    <col min="5892" max="5893" width="11.42578125" style="25" hidden="1" customWidth="1"/>
    <col min="5894" max="6144" width="0" style="25" hidden="1"/>
    <col min="6145" max="6145" width="45.42578125" style="25" hidden="1" customWidth="1"/>
    <col min="6146" max="6146" width="15" style="25" hidden="1" customWidth="1"/>
    <col min="6147" max="6147" width="40.7109375" style="25" hidden="1" customWidth="1"/>
    <col min="6148" max="6149" width="11.42578125" style="25" hidden="1" customWidth="1"/>
    <col min="6150" max="6400" width="0" style="25" hidden="1"/>
    <col min="6401" max="6401" width="45.42578125" style="25" hidden="1" customWidth="1"/>
    <col min="6402" max="6402" width="15" style="25" hidden="1" customWidth="1"/>
    <col min="6403" max="6403" width="40.7109375" style="25" hidden="1" customWidth="1"/>
    <col min="6404" max="6405" width="11.42578125" style="25" hidden="1" customWidth="1"/>
    <col min="6406" max="6656" width="0" style="25" hidden="1"/>
    <col min="6657" max="6657" width="45.42578125" style="25" hidden="1" customWidth="1"/>
    <col min="6658" max="6658" width="15" style="25" hidden="1" customWidth="1"/>
    <col min="6659" max="6659" width="40.7109375" style="25" hidden="1" customWidth="1"/>
    <col min="6660" max="6661" width="11.42578125" style="25" hidden="1" customWidth="1"/>
    <col min="6662" max="6912" width="0" style="25" hidden="1"/>
    <col min="6913" max="6913" width="45.42578125" style="25" hidden="1" customWidth="1"/>
    <col min="6914" max="6914" width="15" style="25" hidden="1" customWidth="1"/>
    <col min="6915" max="6915" width="40.7109375" style="25" hidden="1" customWidth="1"/>
    <col min="6916" max="6917" width="11.42578125" style="25" hidden="1" customWidth="1"/>
    <col min="6918" max="7168" width="0" style="25" hidden="1"/>
    <col min="7169" max="7169" width="45.42578125" style="25" hidden="1" customWidth="1"/>
    <col min="7170" max="7170" width="15" style="25" hidden="1" customWidth="1"/>
    <col min="7171" max="7171" width="40.7109375" style="25" hidden="1" customWidth="1"/>
    <col min="7172" max="7173" width="11.42578125" style="25" hidden="1" customWidth="1"/>
    <col min="7174" max="7424" width="0" style="25" hidden="1"/>
    <col min="7425" max="7425" width="45.42578125" style="25" hidden="1" customWidth="1"/>
    <col min="7426" max="7426" width="15" style="25" hidden="1" customWidth="1"/>
    <col min="7427" max="7427" width="40.7109375" style="25" hidden="1" customWidth="1"/>
    <col min="7428" max="7429" width="11.42578125" style="25" hidden="1" customWidth="1"/>
    <col min="7430" max="7680" width="0" style="25" hidden="1"/>
    <col min="7681" max="7681" width="45.42578125" style="25" hidden="1" customWidth="1"/>
    <col min="7682" max="7682" width="15" style="25" hidden="1" customWidth="1"/>
    <col min="7683" max="7683" width="40.7109375" style="25" hidden="1" customWidth="1"/>
    <col min="7684" max="7685" width="11.42578125" style="25" hidden="1" customWidth="1"/>
    <col min="7686" max="7936" width="0" style="25" hidden="1"/>
    <col min="7937" max="7937" width="45.42578125" style="25" hidden="1" customWidth="1"/>
    <col min="7938" max="7938" width="15" style="25" hidden="1" customWidth="1"/>
    <col min="7939" max="7939" width="40.7109375" style="25" hidden="1" customWidth="1"/>
    <col min="7940" max="7941" width="11.42578125" style="25" hidden="1" customWidth="1"/>
    <col min="7942" max="8192" width="0" style="25" hidden="1"/>
    <col min="8193" max="8193" width="45.42578125" style="25" hidden="1" customWidth="1"/>
    <col min="8194" max="8194" width="15" style="25" hidden="1" customWidth="1"/>
    <col min="8195" max="8195" width="40.7109375" style="25" hidden="1" customWidth="1"/>
    <col min="8196" max="8197" width="11.42578125" style="25" hidden="1" customWidth="1"/>
    <col min="8198" max="8448" width="0" style="25" hidden="1"/>
    <col min="8449" max="8449" width="45.42578125" style="25" hidden="1" customWidth="1"/>
    <col min="8450" max="8450" width="15" style="25" hidden="1" customWidth="1"/>
    <col min="8451" max="8451" width="40.7109375" style="25" hidden="1" customWidth="1"/>
    <col min="8452" max="8453" width="11.42578125" style="25" hidden="1" customWidth="1"/>
    <col min="8454" max="8704" width="0" style="25" hidden="1"/>
    <col min="8705" max="8705" width="45.42578125" style="25" hidden="1" customWidth="1"/>
    <col min="8706" max="8706" width="15" style="25" hidden="1" customWidth="1"/>
    <col min="8707" max="8707" width="40.7109375" style="25" hidden="1" customWidth="1"/>
    <col min="8708" max="8709" width="11.42578125" style="25" hidden="1" customWidth="1"/>
    <col min="8710" max="8960" width="0" style="25" hidden="1"/>
    <col min="8961" max="8961" width="45.42578125" style="25" hidden="1" customWidth="1"/>
    <col min="8962" max="8962" width="15" style="25" hidden="1" customWidth="1"/>
    <col min="8963" max="8963" width="40.7109375" style="25" hidden="1" customWidth="1"/>
    <col min="8964" max="8965" width="11.42578125" style="25" hidden="1" customWidth="1"/>
    <col min="8966" max="9216" width="0" style="25" hidden="1"/>
    <col min="9217" max="9217" width="45.42578125" style="25" hidden="1" customWidth="1"/>
    <col min="9218" max="9218" width="15" style="25" hidden="1" customWidth="1"/>
    <col min="9219" max="9219" width="40.7109375" style="25" hidden="1" customWidth="1"/>
    <col min="9220" max="9221" width="11.42578125" style="25" hidden="1" customWidth="1"/>
    <col min="9222" max="9472" width="0" style="25" hidden="1"/>
    <col min="9473" max="9473" width="45.42578125" style="25" hidden="1" customWidth="1"/>
    <col min="9474" max="9474" width="15" style="25" hidden="1" customWidth="1"/>
    <col min="9475" max="9475" width="40.7109375" style="25" hidden="1" customWidth="1"/>
    <col min="9476" max="9477" width="11.42578125" style="25" hidden="1" customWidth="1"/>
    <col min="9478" max="9728" width="0" style="25" hidden="1"/>
    <col min="9729" max="9729" width="45.42578125" style="25" hidden="1" customWidth="1"/>
    <col min="9730" max="9730" width="15" style="25" hidden="1" customWidth="1"/>
    <col min="9731" max="9731" width="40.7109375" style="25" hidden="1" customWidth="1"/>
    <col min="9732" max="9733" width="11.42578125" style="25" hidden="1" customWidth="1"/>
    <col min="9734" max="9984" width="0" style="25" hidden="1"/>
    <col min="9985" max="9985" width="45.42578125" style="25" hidden="1" customWidth="1"/>
    <col min="9986" max="9986" width="15" style="25" hidden="1" customWidth="1"/>
    <col min="9987" max="9987" width="40.7109375" style="25" hidden="1" customWidth="1"/>
    <col min="9988" max="9989" width="11.42578125" style="25" hidden="1" customWidth="1"/>
    <col min="9990" max="10240" width="0" style="25" hidden="1"/>
    <col min="10241" max="10241" width="45.42578125" style="25" hidden="1" customWidth="1"/>
    <col min="10242" max="10242" width="15" style="25" hidden="1" customWidth="1"/>
    <col min="10243" max="10243" width="40.7109375" style="25" hidden="1" customWidth="1"/>
    <col min="10244" max="10245" width="11.42578125" style="25" hidden="1" customWidth="1"/>
    <col min="10246" max="10496" width="0" style="25" hidden="1"/>
    <col min="10497" max="10497" width="45.42578125" style="25" hidden="1" customWidth="1"/>
    <col min="10498" max="10498" width="15" style="25" hidden="1" customWidth="1"/>
    <col min="10499" max="10499" width="40.7109375" style="25" hidden="1" customWidth="1"/>
    <col min="10500" max="10501" width="11.42578125" style="25" hidden="1" customWidth="1"/>
    <col min="10502" max="10752" width="0" style="25" hidden="1"/>
    <col min="10753" max="10753" width="45.42578125" style="25" hidden="1" customWidth="1"/>
    <col min="10754" max="10754" width="15" style="25" hidden="1" customWidth="1"/>
    <col min="10755" max="10755" width="40.7109375" style="25" hidden="1" customWidth="1"/>
    <col min="10756" max="10757" width="11.42578125" style="25" hidden="1" customWidth="1"/>
    <col min="10758" max="11008" width="0" style="25" hidden="1"/>
    <col min="11009" max="11009" width="45.42578125" style="25" hidden="1" customWidth="1"/>
    <col min="11010" max="11010" width="15" style="25" hidden="1" customWidth="1"/>
    <col min="11011" max="11011" width="40.7109375" style="25" hidden="1" customWidth="1"/>
    <col min="11012" max="11013" width="11.42578125" style="25" hidden="1" customWidth="1"/>
    <col min="11014" max="11264" width="0" style="25" hidden="1"/>
    <col min="11265" max="11265" width="45.42578125" style="25" hidden="1" customWidth="1"/>
    <col min="11266" max="11266" width="15" style="25" hidden="1" customWidth="1"/>
    <col min="11267" max="11267" width="40.7109375" style="25" hidden="1" customWidth="1"/>
    <col min="11268" max="11269" width="11.42578125" style="25" hidden="1" customWidth="1"/>
    <col min="11270" max="11520" width="0" style="25" hidden="1"/>
    <col min="11521" max="11521" width="45.42578125" style="25" hidden="1" customWidth="1"/>
    <col min="11522" max="11522" width="15" style="25" hidden="1" customWidth="1"/>
    <col min="11523" max="11523" width="40.7109375" style="25" hidden="1" customWidth="1"/>
    <col min="11524" max="11525" width="11.42578125" style="25" hidden="1" customWidth="1"/>
    <col min="11526" max="11776" width="0" style="25" hidden="1"/>
    <col min="11777" max="11777" width="45.42578125" style="25" hidden="1" customWidth="1"/>
    <col min="11778" max="11778" width="15" style="25" hidden="1" customWidth="1"/>
    <col min="11779" max="11779" width="40.7109375" style="25" hidden="1" customWidth="1"/>
    <col min="11780" max="11781" width="11.42578125" style="25" hidden="1" customWidth="1"/>
    <col min="11782" max="12032" width="0" style="25" hidden="1"/>
    <col min="12033" max="12033" width="45.42578125" style="25" hidden="1" customWidth="1"/>
    <col min="12034" max="12034" width="15" style="25" hidden="1" customWidth="1"/>
    <col min="12035" max="12035" width="40.7109375" style="25" hidden="1" customWidth="1"/>
    <col min="12036" max="12037" width="11.42578125" style="25" hidden="1" customWidth="1"/>
    <col min="12038" max="12288" width="0" style="25" hidden="1"/>
    <col min="12289" max="12289" width="45.42578125" style="25" hidden="1" customWidth="1"/>
    <col min="12290" max="12290" width="15" style="25" hidden="1" customWidth="1"/>
    <col min="12291" max="12291" width="40.7109375" style="25" hidden="1" customWidth="1"/>
    <col min="12292" max="12293" width="11.42578125" style="25" hidden="1" customWidth="1"/>
    <col min="12294" max="12544" width="0" style="25" hidden="1"/>
    <col min="12545" max="12545" width="45.42578125" style="25" hidden="1" customWidth="1"/>
    <col min="12546" max="12546" width="15" style="25" hidden="1" customWidth="1"/>
    <col min="12547" max="12547" width="40.7109375" style="25" hidden="1" customWidth="1"/>
    <col min="12548" max="12549" width="11.42578125" style="25" hidden="1" customWidth="1"/>
    <col min="12550" max="12800" width="0" style="25" hidden="1"/>
    <col min="12801" max="12801" width="45.42578125" style="25" hidden="1" customWidth="1"/>
    <col min="12802" max="12802" width="15" style="25" hidden="1" customWidth="1"/>
    <col min="12803" max="12803" width="40.7109375" style="25" hidden="1" customWidth="1"/>
    <col min="12804" max="12805" width="11.42578125" style="25" hidden="1" customWidth="1"/>
    <col min="12806" max="13056" width="0" style="25" hidden="1"/>
    <col min="13057" max="13057" width="45.42578125" style="25" hidden="1" customWidth="1"/>
    <col min="13058" max="13058" width="15" style="25" hidden="1" customWidth="1"/>
    <col min="13059" max="13059" width="40.7109375" style="25" hidden="1" customWidth="1"/>
    <col min="13060" max="13061" width="11.42578125" style="25" hidden="1" customWidth="1"/>
    <col min="13062" max="13312" width="0" style="25" hidden="1"/>
    <col min="13313" max="13313" width="45.42578125" style="25" hidden="1" customWidth="1"/>
    <col min="13314" max="13314" width="15" style="25" hidden="1" customWidth="1"/>
    <col min="13315" max="13315" width="40.7109375" style="25" hidden="1" customWidth="1"/>
    <col min="13316" max="13317" width="11.42578125" style="25" hidden="1" customWidth="1"/>
    <col min="13318" max="13568" width="0" style="25" hidden="1"/>
    <col min="13569" max="13569" width="45.42578125" style="25" hidden="1" customWidth="1"/>
    <col min="13570" max="13570" width="15" style="25" hidden="1" customWidth="1"/>
    <col min="13571" max="13571" width="40.7109375" style="25" hidden="1" customWidth="1"/>
    <col min="13572" max="13573" width="11.42578125" style="25" hidden="1" customWidth="1"/>
    <col min="13574" max="13824" width="0" style="25" hidden="1"/>
    <col min="13825" max="13825" width="45.42578125" style="25" hidden="1" customWidth="1"/>
    <col min="13826" max="13826" width="15" style="25" hidden="1" customWidth="1"/>
    <col min="13827" max="13827" width="40.7109375" style="25" hidden="1" customWidth="1"/>
    <col min="13828" max="13829" width="11.42578125" style="25" hidden="1" customWidth="1"/>
    <col min="13830" max="14080" width="0" style="25" hidden="1"/>
    <col min="14081" max="14081" width="45.42578125" style="25" hidden="1" customWidth="1"/>
    <col min="14082" max="14082" width="15" style="25" hidden="1" customWidth="1"/>
    <col min="14083" max="14083" width="40.7109375" style="25" hidden="1" customWidth="1"/>
    <col min="14084" max="14085" width="11.42578125" style="25" hidden="1" customWidth="1"/>
    <col min="14086" max="14336" width="0" style="25" hidden="1"/>
    <col min="14337" max="14337" width="45.42578125" style="25" hidden="1" customWidth="1"/>
    <col min="14338" max="14338" width="15" style="25" hidden="1" customWidth="1"/>
    <col min="14339" max="14339" width="40.7109375" style="25" hidden="1" customWidth="1"/>
    <col min="14340" max="14341" width="11.42578125" style="25" hidden="1" customWidth="1"/>
    <col min="14342" max="14592" width="0" style="25" hidden="1"/>
    <col min="14593" max="14593" width="45.42578125" style="25" hidden="1" customWidth="1"/>
    <col min="14594" max="14594" width="15" style="25" hidden="1" customWidth="1"/>
    <col min="14595" max="14595" width="40.7109375" style="25" hidden="1" customWidth="1"/>
    <col min="14596" max="14597" width="11.42578125" style="25" hidden="1" customWidth="1"/>
    <col min="14598" max="14848" width="0" style="25" hidden="1"/>
    <col min="14849" max="14849" width="45.42578125" style="25" hidden="1" customWidth="1"/>
    <col min="14850" max="14850" width="15" style="25" hidden="1" customWidth="1"/>
    <col min="14851" max="14851" width="40.7109375" style="25" hidden="1" customWidth="1"/>
    <col min="14852" max="14853" width="11.42578125" style="25" hidden="1" customWidth="1"/>
    <col min="14854" max="15104" width="0" style="25" hidden="1"/>
    <col min="15105" max="15105" width="45.42578125" style="25" hidden="1" customWidth="1"/>
    <col min="15106" max="15106" width="15" style="25" hidden="1" customWidth="1"/>
    <col min="15107" max="15107" width="40.7109375" style="25" hidden="1" customWidth="1"/>
    <col min="15108" max="15109" width="11.42578125" style="25" hidden="1" customWidth="1"/>
    <col min="15110" max="15360" width="0" style="25" hidden="1"/>
    <col min="15361" max="15361" width="45.42578125" style="25" hidden="1" customWidth="1"/>
    <col min="15362" max="15362" width="15" style="25" hidden="1" customWidth="1"/>
    <col min="15363" max="15363" width="40.7109375" style="25" hidden="1" customWidth="1"/>
    <col min="15364" max="15365" width="11.42578125" style="25" hidden="1" customWidth="1"/>
    <col min="15366" max="15616" width="0" style="25" hidden="1"/>
    <col min="15617" max="15617" width="45.42578125" style="25" hidden="1" customWidth="1"/>
    <col min="15618" max="15618" width="15" style="25" hidden="1" customWidth="1"/>
    <col min="15619" max="15619" width="40.7109375" style="25" hidden="1" customWidth="1"/>
    <col min="15620" max="15621" width="11.42578125" style="25" hidden="1" customWidth="1"/>
    <col min="15622" max="15872" width="0" style="25" hidden="1"/>
    <col min="15873" max="15873" width="45.42578125" style="25" hidden="1" customWidth="1"/>
    <col min="15874" max="15874" width="15" style="25" hidden="1" customWidth="1"/>
    <col min="15875" max="15875" width="40.7109375" style="25" hidden="1" customWidth="1"/>
    <col min="15876" max="15877" width="11.42578125" style="25" hidden="1" customWidth="1"/>
    <col min="15878" max="16128" width="0" style="25" hidden="1"/>
    <col min="16129" max="16129" width="45.42578125" style="25" hidden="1" customWidth="1"/>
    <col min="16130" max="16130" width="15" style="25" hidden="1" customWidth="1"/>
    <col min="16131" max="16131" width="40.7109375" style="25" hidden="1" customWidth="1"/>
    <col min="16132" max="16133" width="11.42578125" style="25" hidden="1" customWidth="1"/>
    <col min="16134" max="16384" width="0" style="25" hidden="1"/>
  </cols>
  <sheetData>
    <row r="1" spans="1:20" ht="13.5" thickTop="1" x14ac:dyDescent="0.2">
      <c r="A1" s="28"/>
      <c r="B1" s="29"/>
      <c r="C1" s="30"/>
      <c r="D1" s="31"/>
      <c r="E1" s="31"/>
      <c r="F1" s="31"/>
    </row>
    <row r="2" spans="1:20" ht="25.5" x14ac:dyDescent="0.35">
      <c r="A2" s="32" t="s">
        <v>50</v>
      </c>
      <c r="B2" s="33"/>
      <c r="C2" s="34"/>
      <c r="D2" s="31"/>
      <c r="E2" s="31"/>
      <c r="F2" s="31"/>
    </row>
    <row r="3" spans="1:20" x14ac:dyDescent="0.2">
      <c r="A3" s="35"/>
      <c r="B3" s="33"/>
      <c r="C3" s="34"/>
      <c r="D3" s="31"/>
      <c r="E3" s="31"/>
      <c r="F3" s="31"/>
    </row>
    <row r="4" spans="1:20" ht="15.75" x14ac:dyDescent="0.25">
      <c r="A4" s="36" t="e">
        <f>#REF!</f>
        <v>#REF!</v>
      </c>
      <c r="B4" s="37"/>
      <c r="C4" s="27"/>
    </row>
    <row r="5" spans="1:20" ht="15.75" x14ac:dyDescent="0.25">
      <c r="A5" s="38" t="s">
        <v>51</v>
      </c>
      <c r="B5" s="37"/>
      <c r="C5" s="27"/>
    </row>
    <row r="6" spans="1:20" ht="15.75" x14ac:dyDescent="0.25">
      <c r="A6" s="38" t="s">
        <v>52</v>
      </c>
      <c r="B6" s="37"/>
      <c r="C6" s="27"/>
    </row>
    <row r="7" spans="1:20" ht="15.75" x14ac:dyDescent="0.25">
      <c r="A7" s="38"/>
      <c r="B7" s="37"/>
      <c r="C7" s="27"/>
      <c r="T7" s="27"/>
    </row>
    <row r="8" spans="1:20" x14ac:dyDescent="0.2">
      <c r="A8" s="39"/>
      <c r="B8" s="40" t="s">
        <v>18</v>
      </c>
      <c r="C8" s="41"/>
      <c r="T8" s="27"/>
    </row>
    <row r="9" spans="1:20" x14ac:dyDescent="0.2">
      <c r="A9" s="42" t="s">
        <v>2</v>
      </c>
      <c r="B9" s="43" t="s">
        <v>34</v>
      </c>
      <c r="C9" s="44" t="s">
        <v>53</v>
      </c>
      <c r="T9" s="27"/>
    </row>
    <row r="10" spans="1:20" x14ac:dyDescent="0.2">
      <c r="A10" s="45"/>
      <c r="B10" s="46">
        <v>2012</v>
      </c>
      <c r="C10" s="47"/>
      <c r="T10" s="27"/>
    </row>
    <row r="11" spans="1:20" x14ac:dyDescent="0.2">
      <c r="A11" s="48"/>
      <c r="B11" s="49"/>
      <c r="C11" s="50"/>
      <c r="T11" s="27"/>
    </row>
    <row r="12" spans="1:20" x14ac:dyDescent="0.2">
      <c r="A12" s="51" t="s">
        <v>54</v>
      </c>
      <c r="B12" s="52">
        <v>3.7999999999999999E-2</v>
      </c>
      <c r="C12" s="50"/>
      <c r="T12" s="27"/>
    </row>
    <row r="13" spans="1:20" x14ac:dyDescent="0.2">
      <c r="A13" s="48"/>
      <c r="B13" s="49"/>
      <c r="C13" s="50"/>
      <c r="T13" s="27"/>
    </row>
    <row r="14" spans="1:20" x14ac:dyDescent="0.2">
      <c r="A14" s="53" t="s">
        <v>55</v>
      </c>
      <c r="B14" s="54">
        <v>13</v>
      </c>
      <c r="C14" s="50"/>
      <c r="T14" s="27"/>
    </row>
    <row r="15" spans="1:20" x14ac:dyDescent="0.2">
      <c r="A15" s="23"/>
      <c r="B15" s="55"/>
      <c r="C15" s="56"/>
      <c r="T15" s="27"/>
    </row>
    <row r="16" spans="1:20" x14ac:dyDescent="0.2">
      <c r="A16" s="53" t="s">
        <v>56</v>
      </c>
      <c r="B16" s="52">
        <v>3.5000000000000003E-2</v>
      </c>
      <c r="C16" s="50"/>
      <c r="T16" s="27"/>
    </row>
    <row r="17" spans="1:20" x14ac:dyDescent="0.2">
      <c r="A17" s="23"/>
      <c r="B17" s="58"/>
      <c r="C17" s="56"/>
      <c r="T17" s="27"/>
    </row>
    <row r="18" spans="1:20" x14ac:dyDescent="0.2">
      <c r="A18" s="59" t="s">
        <v>57</v>
      </c>
      <c r="B18" s="60">
        <v>0</v>
      </c>
      <c r="C18" s="56"/>
      <c r="T18" s="27"/>
    </row>
    <row r="19" spans="1:20" x14ac:dyDescent="0.2">
      <c r="A19" s="59"/>
      <c r="B19" s="113" t="s">
        <v>98</v>
      </c>
      <c r="C19" s="56"/>
      <c r="T19" s="27"/>
    </row>
    <row r="20" spans="1:20" x14ac:dyDescent="0.2">
      <c r="A20" s="23"/>
      <c r="B20" s="57"/>
      <c r="C20" s="56"/>
      <c r="T20" s="27"/>
    </row>
    <row r="21" spans="1:20" x14ac:dyDescent="0.2">
      <c r="A21" s="59" t="s">
        <v>58</v>
      </c>
      <c r="B21" s="61"/>
      <c r="C21" s="56"/>
      <c r="T21" s="27"/>
    </row>
    <row r="22" spans="1:20" x14ac:dyDescent="0.2">
      <c r="A22" s="23" t="s">
        <v>59</v>
      </c>
      <c r="B22" s="62">
        <v>3.7999999999999999E-2</v>
      </c>
      <c r="C22" s="56"/>
      <c r="T22" s="27"/>
    </row>
    <row r="23" spans="1:20" x14ac:dyDescent="0.2">
      <c r="A23" s="23" t="s">
        <v>60</v>
      </c>
      <c r="B23" s="63">
        <v>9.9199999999999997E-2</v>
      </c>
      <c r="C23" s="56"/>
      <c r="T23" s="27"/>
    </row>
    <row r="24" spans="1:20" x14ac:dyDescent="0.2">
      <c r="A24" s="23" t="s">
        <v>61</v>
      </c>
      <c r="B24" s="62">
        <v>3.7999999999999999E-2</v>
      </c>
      <c r="C24" s="56"/>
      <c r="T24" s="27"/>
    </row>
    <row r="25" spans="1:20" x14ac:dyDescent="0.2">
      <c r="A25" s="23" t="s">
        <v>62</v>
      </c>
      <c r="B25" s="62">
        <v>0.04</v>
      </c>
      <c r="C25" s="56" t="s">
        <v>63</v>
      </c>
      <c r="T25" s="27"/>
    </row>
    <row r="26" spans="1:20" x14ac:dyDescent="0.2">
      <c r="A26" s="23" t="s">
        <v>64</v>
      </c>
      <c r="B26" s="62">
        <v>3.7999999999999999E-2</v>
      </c>
      <c r="C26" s="56"/>
      <c r="T26" s="27"/>
    </row>
    <row r="27" spans="1:20" x14ac:dyDescent="0.2">
      <c r="A27" s="23" t="s">
        <v>65</v>
      </c>
      <c r="B27" s="62">
        <v>3.7999999999999999E-2</v>
      </c>
      <c r="C27" s="56"/>
      <c r="T27" s="27"/>
    </row>
    <row r="28" spans="1:20" x14ac:dyDescent="0.2">
      <c r="A28" s="23"/>
      <c r="B28" s="64"/>
      <c r="C28" s="56"/>
      <c r="T28" s="27"/>
    </row>
    <row r="29" spans="1:20" x14ac:dyDescent="0.2">
      <c r="A29" s="59" t="s">
        <v>66</v>
      </c>
      <c r="B29" s="65"/>
      <c r="C29" s="56"/>
      <c r="T29" s="27"/>
    </row>
    <row r="30" spans="1:20" x14ac:dyDescent="0.2">
      <c r="A30" s="23" t="s">
        <v>67</v>
      </c>
      <c r="B30" s="66">
        <v>3.7999999999999999E-2</v>
      </c>
      <c r="C30" s="56"/>
      <c r="T30" s="27"/>
    </row>
    <row r="31" spans="1:20" x14ac:dyDescent="0.2">
      <c r="A31" s="23" t="s">
        <v>62</v>
      </c>
      <c r="B31" s="66">
        <v>0.04</v>
      </c>
      <c r="C31" s="56" t="s">
        <v>68</v>
      </c>
      <c r="D31" s="26"/>
      <c r="T31" s="27"/>
    </row>
    <row r="32" spans="1:20" x14ac:dyDescent="0.2">
      <c r="A32" s="23"/>
      <c r="B32" s="67"/>
      <c r="C32" s="56"/>
      <c r="T32" s="27"/>
    </row>
    <row r="33" spans="1:20" x14ac:dyDescent="0.2">
      <c r="A33" s="59" t="s">
        <v>69</v>
      </c>
      <c r="B33" s="65"/>
      <c r="C33" s="56"/>
      <c r="T33" s="27"/>
    </row>
    <row r="34" spans="1:20" x14ac:dyDescent="0.2">
      <c r="A34" s="23" t="s">
        <v>70</v>
      </c>
      <c r="B34" s="66">
        <v>0.04</v>
      </c>
      <c r="C34" s="56" t="s">
        <v>71</v>
      </c>
      <c r="T34" s="27"/>
    </row>
    <row r="35" spans="1:20" x14ac:dyDescent="0.2">
      <c r="A35" s="23" t="s">
        <v>72</v>
      </c>
      <c r="B35" s="66">
        <v>0</v>
      </c>
      <c r="C35" s="56"/>
      <c r="T35" s="27"/>
    </row>
    <row r="36" spans="1:20" x14ac:dyDescent="0.2">
      <c r="A36" s="23" t="s">
        <v>73</v>
      </c>
      <c r="B36" s="66">
        <v>3.7999999999999999E-2</v>
      </c>
      <c r="C36" s="56"/>
      <c r="T36" s="27"/>
    </row>
    <row r="37" spans="1:20" x14ac:dyDescent="0.2">
      <c r="A37" s="23" t="s">
        <v>74</v>
      </c>
      <c r="B37" s="66">
        <v>3.7999999999999999E-2</v>
      </c>
      <c r="C37" s="56"/>
      <c r="T37" s="27"/>
    </row>
    <row r="38" spans="1:20" x14ac:dyDescent="0.2">
      <c r="A38" s="23" t="s">
        <v>75</v>
      </c>
      <c r="B38" s="66">
        <v>3.7999999999999999E-2</v>
      </c>
      <c r="C38" s="56"/>
      <c r="T38" s="27"/>
    </row>
    <row r="39" spans="1:20" x14ac:dyDescent="0.2">
      <c r="A39" s="23"/>
      <c r="B39" s="68"/>
      <c r="C39" s="69"/>
      <c r="T39" s="27"/>
    </row>
    <row r="40" spans="1:20" x14ac:dyDescent="0.2">
      <c r="A40" s="59" t="s">
        <v>76</v>
      </c>
      <c r="B40" s="65"/>
      <c r="C40" s="69"/>
      <c r="T40" s="27"/>
    </row>
    <row r="41" spans="1:20" x14ac:dyDescent="0.2">
      <c r="A41" s="23" t="s">
        <v>77</v>
      </c>
      <c r="B41" s="66">
        <v>4.4999999999999998E-2</v>
      </c>
      <c r="C41" s="69"/>
      <c r="T41" s="27"/>
    </row>
    <row r="42" spans="1:20" x14ac:dyDescent="0.2">
      <c r="A42" s="23" t="s">
        <v>78</v>
      </c>
      <c r="B42" s="66">
        <v>7.5399999999999995E-2</v>
      </c>
      <c r="C42" s="69"/>
      <c r="T42" s="27"/>
    </row>
    <row r="43" spans="1:20" ht="13.5" thickBot="1" x14ac:dyDescent="0.25">
      <c r="A43" s="70"/>
      <c r="B43" s="71"/>
      <c r="C43" s="72" t="s">
        <v>17</v>
      </c>
      <c r="T43" s="27"/>
    </row>
    <row r="44" spans="1:20" ht="13.5" thickTop="1" x14ac:dyDescent="0.2">
      <c r="T44" s="27"/>
    </row>
    <row r="45" spans="1:20" x14ac:dyDescent="0.2">
      <c r="T45" s="27"/>
    </row>
    <row r="46" spans="1:20" x14ac:dyDescent="0.2">
      <c r="T46" s="27"/>
    </row>
    <row r="47" spans="1:20" x14ac:dyDescent="0.2">
      <c r="T47" s="27"/>
    </row>
    <row r="48" spans="1:20" hidden="1" x14ac:dyDescent="0.2">
      <c r="T48" s="27"/>
    </row>
    <row r="49" spans="20:20" hidden="1" x14ac:dyDescent="0.2">
      <c r="T49" s="27"/>
    </row>
    <row r="50" spans="20:20" hidden="1" x14ac:dyDescent="0.2"/>
    <row r="51" spans="20:20" hidden="1" x14ac:dyDescent="0.2"/>
    <row r="52" spans="20:20" hidden="1" x14ac:dyDescent="0.2"/>
    <row r="53" spans="20:20" hidden="1" x14ac:dyDescent="0.2"/>
    <row r="54" spans="20:20" hidden="1" x14ac:dyDescent="0.2"/>
    <row r="55" spans="20:20" hidden="1" x14ac:dyDescent="0.2"/>
    <row r="56" spans="20:20" hidden="1" x14ac:dyDescent="0.2"/>
    <row r="57" spans="20:20" hidden="1" x14ac:dyDescent="0.2"/>
    <row r="58" spans="20:20" hidden="1" x14ac:dyDescent="0.2"/>
    <row r="59" spans="20:20" hidden="1" x14ac:dyDescent="0.2">
      <c r="T59" s="27"/>
    </row>
    <row r="60" spans="20:20" hidden="1" x14ac:dyDescent="0.2">
      <c r="T60" s="27"/>
    </row>
    <row r="61" spans="20:20" hidden="1" x14ac:dyDescent="0.2">
      <c r="T61" s="27"/>
    </row>
    <row r="62" spans="20:20" hidden="1" x14ac:dyDescent="0.2">
      <c r="T62" s="27"/>
    </row>
    <row r="63" spans="20:20" hidden="1" x14ac:dyDescent="0.2">
      <c r="T63" s="27"/>
    </row>
    <row r="64" spans="20:20" hidden="1" x14ac:dyDescent="0.2">
      <c r="T64" s="27"/>
    </row>
    <row r="65" spans="20:20" hidden="1" x14ac:dyDescent="0.2">
      <c r="T65" s="27"/>
    </row>
    <row r="66" spans="20:20" hidden="1" x14ac:dyDescent="0.2">
      <c r="T66" s="27"/>
    </row>
    <row r="67" spans="20:20" hidden="1" x14ac:dyDescent="0.2">
      <c r="T67" s="27"/>
    </row>
    <row r="68" spans="20:20" hidden="1" x14ac:dyDescent="0.2">
      <c r="T68" s="27"/>
    </row>
    <row r="69" spans="20:20" hidden="1" x14ac:dyDescent="0.2">
      <c r="T69" s="27"/>
    </row>
    <row r="70" spans="20:20" hidden="1" x14ac:dyDescent="0.2">
      <c r="T70" s="27"/>
    </row>
    <row r="71" spans="20:20" hidden="1" x14ac:dyDescent="0.2">
      <c r="T71" s="27"/>
    </row>
    <row r="72" spans="20:20" hidden="1" x14ac:dyDescent="0.2">
      <c r="T72" s="27"/>
    </row>
    <row r="73" spans="20:20" hidden="1" x14ac:dyDescent="0.2">
      <c r="T73" s="27"/>
    </row>
    <row r="74" spans="20:20" hidden="1" x14ac:dyDescent="0.2">
      <c r="T74" s="27"/>
    </row>
    <row r="75" spans="20:20" hidden="1" x14ac:dyDescent="0.2">
      <c r="T75" s="27"/>
    </row>
    <row r="76" spans="20:20" hidden="1" x14ac:dyDescent="0.2">
      <c r="T76" s="27"/>
    </row>
    <row r="77" spans="20:20" hidden="1" x14ac:dyDescent="0.2">
      <c r="T77" s="27"/>
    </row>
    <row r="78" spans="20:20" hidden="1" x14ac:dyDescent="0.2">
      <c r="T78" s="27"/>
    </row>
    <row r="79" spans="20:20" hidden="1" x14ac:dyDescent="0.2">
      <c r="T79" s="27"/>
    </row>
    <row r="80" spans="20:20" hidden="1" x14ac:dyDescent="0.2">
      <c r="T80" s="27"/>
    </row>
    <row r="81" spans="20:20" hidden="1" x14ac:dyDescent="0.2">
      <c r="T81" s="27"/>
    </row>
    <row r="82" spans="20:20" hidden="1" x14ac:dyDescent="0.2">
      <c r="T82" s="27"/>
    </row>
    <row r="83" spans="20:20" hidden="1" x14ac:dyDescent="0.2">
      <c r="T83" s="27"/>
    </row>
    <row r="84" spans="20:20" hidden="1" x14ac:dyDescent="0.2">
      <c r="T84" s="27"/>
    </row>
    <row r="85" spans="20:20" hidden="1" x14ac:dyDescent="0.2">
      <c r="T85" s="27"/>
    </row>
    <row r="86" spans="20:20" hidden="1" x14ac:dyDescent="0.2">
      <c r="T86" s="27"/>
    </row>
    <row r="87" spans="20:20" hidden="1" x14ac:dyDescent="0.2">
      <c r="T87" s="27"/>
    </row>
    <row r="88" spans="20:20" hidden="1" x14ac:dyDescent="0.2">
      <c r="T88" s="27"/>
    </row>
    <row r="89" spans="20:20" hidden="1" x14ac:dyDescent="0.2">
      <c r="T89" s="27"/>
    </row>
    <row r="90" spans="20:20" hidden="1" x14ac:dyDescent="0.2">
      <c r="T90" s="27"/>
    </row>
    <row r="91" spans="20:20" hidden="1" x14ac:dyDescent="0.2">
      <c r="T91" s="27"/>
    </row>
    <row r="92" spans="20:20" hidden="1" x14ac:dyDescent="0.2">
      <c r="T92" s="27"/>
    </row>
    <row r="93" spans="20:20" hidden="1" x14ac:dyDescent="0.2">
      <c r="T93" s="27"/>
    </row>
    <row r="94" spans="20:20" hidden="1" x14ac:dyDescent="0.2">
      <c r="T94" s="27"/>
    </row>
    <row r="95" spans="20:20" hidden="1" x14ac:dyDescent="0.2">
      <c r="T95" s="27"/>
    </row>
    <row r="96" spans="20:20" hidden="1" x14ac:dyDescent="0.2">
      <c r="T96" s="27"/>
    </row>
    <row r="97" spans="20:20" hidden="1" x14ac:dyDescent="0.2">
      <c r="T97" s="27"/>
    </row>
  </sheetData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2060"/>
  </sheetPr>
  <dimension ref="A1:T97"/>
  <sheetViews>
    <sheetView workbookViewId="0">
      <selection activeCell="B44" sqref="B44"/>
    </sheetView>
  </sheetViews>
  <sheetFormatPr baseColWidth="10" defaultColWidth="0" defaultRowHeight="12.75" zeroHeight="1" x14ac:dyDescent="0.2"/>
  <cols>
    <col min="1" max="1" width="44" style="25" customWidth="1"/>
    <col min="2" max="13" width="13.7109375" style="25" customWidth="1"/>
    <col min="14" max="14" width="15.5703125" style="25" bestFit="1" customWidth="1"/>
    <col min="15" max="16" width="11.42578125" style="25" customWidth="1"/>
    <col min="17" max="256" width="0" style="25" hidden="1"/>
    <col min="257" max="257" width="44" style="25" customWidth="1"/>
    <col min="258" max="269" width="13.7109375" style="25" customWidth="1"/>
    <col min="270" max="270" width="15.5703125" style="25" bestFit="1" customWidth="1"/>
    <col min="271" max="272" width="11.42578125" style="25" customWidth="1"/>
    <col min="273" max="512" width="0" style="25" hidden="1"/>
    <col min="513" max="513" width="44" style="25" customWidth="1"/>
    <col min="514" max="525" width="13.7109375" style="25" customWidth="1"/>
    <col min="526" max="526" width="15.5703125" style="25" bestFit="1" customWidth="1"/>
    <col min="527" max="528" width="11.42578125" style="25" customWidth="1"/>
    <col min="529" max="768" width="0" style="25" hidden="1"/>
    <col min="769" max="769" width="44" style="25" customWidth="1"/>
    <col min="770" max="781" width="13.7109375" style="25" customWidth="1"/>
    <col min="782" max="782" width="15.5703125" style="25" bestFit="1" customWidth="1"/>
    <col min="783" max="784" width="11.42578125" style="25" customWidth="1"/>
    <col min="785" max="1024" width="0" style="25" hidden="1"/>
    <col min="1025" max="1025" width="44" style="25" customWidth="1"/>
    <col min="1026" max="1037" width="13.7109375" style="25" customWidth="1"/>
    <col min="1038" max="1038" width="15.5703125" style="25" bestFit="1" customWidth="1"/>
    <col min="1039" max="1040" width="11.42578125" style="25" customWidth="1"/>
    <col min="1041" max="1280" width="0" style="25" hidden="1"/>
    <col min="1281" max="1281" width="44" style="25" customWidth="1"/>
    <col min="1282" max="1293" width="13.7109375" style="25" customWidth="1"/>
    <col min="1294" max="1294" width="15.5703125" style="25" bestFit="1" customWidth="1"/>
    <col min="1295" max="1296" width="11.42578125" style="25" customWidth="1"/>
    <col min="1297" max="1536" width="0" style="25" hidden="1"/>
    <col min="1537" max="1537" width="44" style="25" customWidth="1"/>
    <col min="1538" max="1549" width="13.7109375" style="25" customWidth="1"/>
    <col min="1550" max="1550" width="15.5703125" style="25" bestFit="1" customWidth="1"/>
    <col min="1551" max="1552" width="11.42578125" style="25" customWidth="1"/>
    <col min="1553" max="1792" width="0" style="25" hidden="1"/>
    <col min="1793" max="1793" width="44" style="25" customWidth="1"/>
    <col min="1794" max="1805" width="13.7109375" style="25" customWidth="1"/>
    <col min="1806" max="1806" width="15.5703125" style="25" bestFit="1" customWidth="1"/>
    <col min="1807" max="1808" width="11.42578125" style="25" customWidth="1"/>
    <col min="1809" max="2048" width="0" style="25" hidden="1"/>
    <col min="2049" max="2049" width="44" style="25" customWidth="1"/>
    <col min="2050" max="2061" width="13.7109375" style="25" customWidth="1"/>
    <col min="2062" max="2062" width="15.5703125" style="25" bestFit="1" customWidth="1"/>
    <col min="2063" max="2064" width="11.42578125" style="25" customWidth="1"/>
    <col min="2065" max="2304" width="0" style="25" hidden="1"/>
    <col min="2305" max="2305" width="44" style="25" customWidth="1"/>
    <col min="2306" max="2317" width="13.7109375" style="25" customWidth="1"/>
    <col min="2318" max="2318" width="15.5703125" style="25" bestFit="1" customWidth="1"/>
    <col min="2319" max="2320" width="11.42578125" style="25" customWidth="1"/>
    <col min="2321" max="2560" width="0" style="25" hidden="1"/>
    <col min="2561" max="2561" width="44" style="25" customWidth="1"/>
    <col min="2562" max="2573" width="13.7109375" style="25" customWidth="1"/>
    <col min="2574" max="2574" width="15.5703125" style="25" bestFit="1" customWidth="1"/>
    <col min="2575" max="2576" width="11.42578125" style="25" customWidth="1"/>
    <col min="2577" max="2816" width="0" style="25" hidden="1"/>
    <col min="2817" max="2817" width="44" style="25" customWidth="1"/>
    <col min="2818" max="2829" width="13.7109375" style="25" customWidth="1"/>
    <col min="2830" max="2830" width="15.5703125" style="25" bestFit="1" customWidth="1"/>
    <col min="2831" max="2832" width="11.42578125" style="25" customWidth="1"/>
    <col min="2833" max="3072" width="0" style="25" hidden="1"/>
    <col min="3073" max="3073" width="44" style="25" customWidth="1"/>
    <col min="3074" max="3085" width="13.7109375" style="25" customWidth="1"/>
    <col min="3086" max="3086" width="15.5703125" style="25" bestFit="1" customWidth="1"/>
    <col min="3087" max="3088" width="11.42578125" style="25" customWidth="1"/>
    <col min="3089" max="3328" width="0" style="25" hidden="1"/>
    <col min="3329" max="3329" width="44" style="25" customWidth="1"/>
    <col min="3330" max="3341" width="13.7109375" style="25" customWidth="1"/>
    <col min="3342" max="3342" width="15.5703125" style="25" bestFit="1" customWidth="1"/>
    <col min="3343" max="3344" width="11.42578125" style="25" customWidth="1"/>
    <col min="3345" max="3584" width="0" style="25" hidden="1"/>
    <col min="3585" max="3585" width="44" style="25" customWidth="1"/>
    <col min="3586" max="3597" width="13.7109375" style="25" customWidth="1"/>
    <col min="3598" max="3598" width="15.5703125" style="25" bestFit="1" customWidth="1"/>
    <col min="3599" max="3600" width="11.42578125" style="25" customWidth="1"/>
    <col min="3601" max="3840" width="0" style="25" hidden="1"/>
    <col min="3841" max="3841" width="44" style="25" customWidth="1"/>
    <col min="3842" max="3853" width="13.7109375" style="25" customWidth="1"/>
    <col min="3854" max="3854" width="15.5703125" style="25" bestFit="1" customWidth="1"/>
    <col min="3855" max="3856" width="11.42578125" style="25" customWidth="1"/>
    <col min="3857" max="4096" width="0" style="25" hidden="1"/>
    <col min="4097" max="4097" width="44" style="25" customWidth="1"/>
    <col min="4098" max="4109" width="13.7109375" style="25" customWidth="1"/>
    <col min="4110" max="4110" width="15.5703125" style="25" bestFit="1" customWidth="1"/>
    <col min="4111" max="4112" width="11.42578125" style="25" customWidth="1"/>
    <col min="4113" max="4352" width="0" style="25" hidden="1"/>
    <col min="4353" max="4353" width="44" style="25" customWidth="1"/>
    <col min="4354" max="4365" width="13.7109375" style="25" customWidth="1"/>
    <col min="4366" max="4366" width="15.5703125" style="25" bestFit="1" customWidth="1"/>
    <col min="4367" max="4368" width="11.42578125" style="25" customWidth="1"/>
    <col min="4369" max="4608" width="0" style="25" hidden="1"/>
    <col min="4609" max="4609" width="44" style="25" customWidth="1"/>
    <col min="4610" max="4621" width="13.7109375" style="25" customWidth="1"/>
    <col min="4622" max="4622" width="15.5703125" style="25" bestFit="1" customWidth="1"/>
    <col min="4623" max="4624" width="11.42578125" style="25" customWidth="1"/>
    <col min="4625" max="4864" width="0" style="25" hidden="1"/>
    <col min="4865" max="4865" width="44" style="25" customWidth="1"/>
    <col min="4866" max="4877" width="13.7109375" style="25" customWidth="1"/>
    <col min="4878" max="4878" width="15.5703125" style="25" bestFit="1" customWidth="1"/>
    <col min="4879" max="4880" width="11.42578125" style="25" customWidth="1"/>
    <col min="4881" max="5120" width="0" style="25" hidden="1"/>
    <col min="5121" max="5121" width="44" style="25" customWidth="1"/>
    <col min="5122" max="5133" width="13.7109375" style="25" customWidth="1"/>
    <col min="5134" max="5134" width="15.5703125" style="25" bestFit="1" customWidth="1"/>
    <col min="5135" max="5136" width="11.42578125" style="25" customWidth="1"/>
    <col min="5137" max="5376" width="0" style="25" hidden="1"/>
    <col min="5377" max="5377" width="44" style="25" customWidth="1"/>
    <col min="5378" max="5389" width="13.7109375" style="25" customWidth="1"/>
    <col min="5390" max="5390" width="15.5703125" style="25" bestFit="1" customWidth="1"/>
    <col min="5391" max="5392" width="11.42578125" style="25" customWidth="1"/>
    <col min="5393" max="5632" width="0" style="25" hidden="1"/>
    <col min="5633" max="5633" width="44" style="25" customWidth="1"/>
    <col min="5634" max="5645" width="13.7109375" style="25" customWidth="1"/>
    <col min="5646" max="5646" width="15.5703125" style="25" bestFit="1" customWidth="1"/>
    <col min="5647" max="5648" width="11.42578125" style="25" customWidth="1"/>
    <col min="5649" max="5888" width="0" style="25" hidden="1"/>
    <col min="5889" max="5889" width="44" style="25" customWidth="1"/>
    <col min="5890" max="5901" width="13.7109375" style="25" customWidth="1"/>
    <col min="5902" max="5902" width="15.5703125" style="25" bestFit="1" customWidth="1"/>
    <col min="5903" max="5904" width="11.42578125" style="25" customWidth="1"/>
    <col min="5905" max="6144" width="0" style="25" hidden="1"/>
    <col min="6145" max="6145" width="44" style="25" customWidth="1"/>
    <col min="6146" max="6157" width="13.7109375" style="25" customWidth="1"/>
    <col min="6158" max="6158" width="15.5703125" style="25" bestFit="1" customWidth="1"/>
    <col min="6159" max="6160" width="11.42578125" style="25" customWidth="1"/>
    <col min="6161" max="6400" width="0" style="25" hidden="1"/>
    <col min="6401" max="6401" width="44" style="25" customWidth="1"/>
    <col min="6402" max="6413" width="13.7109375" style="25" customWidth="1"/>
    <col min="6414" max="6414" width="15.5703125" style="25" bestFit="1" customWidth="1"/>
    <col min="6415" max="6416" width="11.42578125" style="25" customWidth="1"/>
    <col min="6417" max="6656" width="0" style="25" hidden="1"/>
    <col min="6657" max="6657" width="44" style="25" customWidth="1"/>
    <col min="6658" max="6669" width="13.7109375" style="25" customWidth="1"/>
    <col min="6670" max="6670" width="15.5703125" style="25" bestFit="1" customWidth="1"/>
    <col min="6671" max="6672" width="11.42578125" style="25" customWidth="1"/>
    <col min="6673" max="6912" width="0" style="25" hidden="1"/>
    <col min="6913" max="6913" width="44" style="25" customWidth="1"/>
    <col min="6914" max="6925" width="13.7109375" style="25" customWidth="1"/>
    <col min="6926" max="6926" width="15.5703125" style="25" bestFit="1" customWidth="1"/>
    <col min="6927" max="6928" width="11.42578125" style="25" customWidth="1"/>
    <col min="6929" max="7168" width="0" style="25" hidden="1"/>
    <col min="7169" max="7169" width="44" style="25" customWidth="1"/>
    <col min="7170" max="7181" width="13.7109375" style="25" customWidth="1"/>
    <col min="7182" max="7182" width="15.5703125" style="25" bestFit="1" customWidth="1"/>
    <col min="7183" max="7184" width="11.42578125" style="25" customWidth="1"/>
    <col min="7185" max="7424" width="0" style="25" hidden="1"/>
    <col min="7425" max="7425" width="44" style="25" customWidth="1"/>
    <col min="7426" max="7437" width="13.7109375" style="25" customWidth="1"/>
    <col min="7438" max="7438" width="15.5703125" style="25" bestFit="1" customWidth="1"/>
    <col min="7439" max="7440" width="11.42578125" style="25" customWidth="1"/>
    <col min="7441" max="7680" width="0" style="25" hidden="1"/>
    <col min="7681" max="7681" width="44" style="25" customWidth="1"/>
    <col min="7682" max="7693" width="13.7109375" style="25" customWidth="1"/>
    <col min="7694" max="7694" width="15.5703125" style="25" bestFit="1" customWidth="1"/>
    <col min="7695" max="7696" width="11.42578125" style="25" customWidth="1"/>
    <col min="7697" max="7936" width="0" style="25" hidden="1"/>
    <col min="7937" max="7937" width="44" style="25" customWidth="1"/>
    <col min="7938" max="7949" width="13.7109375" style="25" customWidth="1"/>
    <col min="7950" max="7950" width="15.5703125" style="25" bestFit="1" customWidth="1"/>
    <col min="7951" max="7952" width="11.42578125" style="25" customWidth="1"/>
    <col min="7953" max="8192" width="0" style="25" hidden="1"/>
    <col min="8193" max="8193" width="44" style="25" customWidth="1"/>
    <col min="8194" max="8205" width="13.7109375" style="25" customWidth="1"/>
    <col min="8206" max="8206" width="15.5703125" style="25" bestFit="1" customWidth="1"/>
    <col min="8207" max="8208" width="11.42578125" style="25" customWidth="1"/>
    <col min="8209" max="8448" width="0" style="25" hidden="1"/>
    <col min="8449" max="8449" width="44" style="25" customWidth="1"/>
    <col min="8450" max="8461" width="13.7109375" style="25" customWidth="1"/>
    <col min="8462" max="8462" width="15.5703125" style="25" bestFit="1" customWidth="1"/>
    <col min="8463" max="8464" width="11.42578125" style="25" customWidth="1"/>
    <col min="8465" max="8704" width="0" style="25" hidden="1"/>
    <col min="8705" max="8705" width="44" style="25" customWidth="1"/>
    <col min="8706" max="8717" width="13.7109375" style="25" customWidth="1"/>
    <col min="8718" max="8718" width="15.5703125" style="25" bestFit="1" customWidth="1"/>
    <col min="8719" max="8720" width="11.42578125" style="25" customWidth="1"/>
    <col min="8721" max="8960" width="0" style="25" hidden="1"/>
    <col min="8961" max="8961" width="44" style="25" customWidth="1"/>
    <col min="8962" max="8973" width="13.7109375" style="25" customWidth="1"/>
    <col min="8974" max="8974" width="15.5703125" style="25" bestFit="1" customWidth="1"/>
    <col min="8975" max="8976" width="11.42578125" style="25" customWidth="1"/>
    <col min="8977" max="9216" width="0" style="25" hidden="1"/>
    <col min="9217" max="9217" width="44" style="25" customWidth="1"/>
    <col min="9218" max="9229" width="13.7109375" style="25" customWidth="1"/>
    <col min="9230" max="9230" width="15.5703125" style="25" bestFit="1" customWidth="1"/>
    <col min="9231" max="9232" width="11.42578125" style="25" customWidth="1"/>
    <col min="9233" max="9472" width="0" style="25" hidden="1"/>
    <col min="9473" max="9473" width="44" style="25" customWidth="1"/>
    <col min="9474" max="9485" width="13.7109375" style="25" customWidth="1"/>
    <col min="9486" max="9486" width="15.5703125" style="25" bestFit="1" customWidth="1"/>
    <col min="9487" max="9488" width="11.42578125" style="25" customWidth="1"/>
    <col min="9489" max="9728" width="0" style="25" hidden="1"/>
    <col min="9729" max="9729" width="44" style="25" customWidth="1"/>
    <col min="9730" max="9741" width="13.7109375" style="25" customWidth="1"/>
    <col min="9742" max="9742" width="15.5703125" style="25" bestFit="1" customWidth="1"/>
    <col min="9743" max="9744" width="11.42578125" style="25" customWidth="1"/>
    <col min="9745" max="9984" width="0" style="25" hidden="1"/>
    <col min="9985" max="9985" width="44" style="25" customWidth="1"/>
    <col min="9986" max="9997" width="13.7109375" style="25" customWidth="1"/>
    <col min="9998" max="9998" width="15.5703125" style="25" bestFit="1" customWidth="1"/>
    <col min="9999" max="10000" width="11.42578125" style="25" customWidth="1"/>
    <col min="10001" max="10240" width="0" style="25" hidden="1"/>
    <col min="10241" max="10241" width="44" style="25" customWidth="1"/>
    <col min="10242" max="10253" width="13.7109375" style="25" customWidth="1"/>
    <col min="10254" max="10254" width="15.5703125" style="25" bestFit="1" customWidth="1"/>
    <col min="10255" max="10256" width="11.42578125" style="25" customWidth="1"/>
    <col min="10257" max="10496" width="0" style="25" hidden="1"/>
    <col min="10497" max="10497" width="44" style="25" customWidth="1"/>
    <col min="10498" max="10509" width="13.7109375" style="25" customWidth="1"/>
    <col min="10510" max="10510" width="15.5703125" style="25" bestFit="1" customWidth="1"/>
    <col min="10511" max="10512" width="11.42578125" style="25" customWidth="1"/>
    <col min="10513" max="10752" width="0" style="25" hidden="1"/>
    <col min="10753" max="10753" width="44" style="25" customWidth="1"/>
    <col min="10754" max="10765" width="13.7109375" style="25" customWidth="1"/>
    <col min="10766" max="10766" width="15.5703125" style="25" bestFit="1" customWidth="1"/>
    <col min="10767" max="10768" width="11.42578125" style="25" customWidth="1"/>
    <col min="10769" max="11008" width="0" style="25" hidden="1"/>
    <col min="11009" max="11009" width="44" style="25" customWidth="1"/>
    <col min="11010" max="11021" width="13.7109375" style="25" customWidth="1"/>
    <col min="11022" max="11022" width="15.5703125" style="25" bestFit="1" customWidth="1"/>
    <col min="11023" max="11024" width="11.42578125" style="25" customWidth="1"/>
    <col min="11025" max="11264" width="0" style="25" hidden="1"/>
    <col min="11265" max="11265" width="44" style="25" customWidth="1"/>
    <col min="11266" max="11277" width="13.7109375" style="25" customWidth="1"/>
    <col min="11278" max="11278" width="15.5703125" style="25" bestFit="1" customWidth="1"/>
    <col min="11279" max="11280" width="11.42578125" style="25" customWidth="1"/>
    <col min="11281" max="11520" width="0" style="25" hidden="1"/>
    <col min="11521" max="11521" width="44" style="25" customWidth="1"/>
    <col min="11522" max="11533" width="13.7109375" style="25" customWidth="1"/>
    <col min="11534" max="11534" width="15.5703125" style="25" bestFit="1" customWidth="1"/>
    <col min="11535" max="11536" width="11.42578125" style="25" customWidth="1"/>
    <col min="11537" max="11776" width="0" style="25" hidden="1"/>
    <col min="11777" max="11777" width="44" style="25" customWidth="1"/>
    <col min="11778" max="11789" width="13.7109375" style="25" customWidth="1"/>
    <col min="11790" max="11790" width="15.5703125" style="25" bestFit="1" customWidth="1"/>
    <col min="11791" max="11792" width="11.42578125" style="25" customWidth="1"/>
    <col min="11793" max="12032" width="0" style="25" hidden="1"/>
    <col min="12033" max="12033" width="44" style="25" customWidth="1"/>
    <col min="12034" max="12045" width="13.7109375" style="25" customWidth="1"/>
    <col min="12046" max="12046" width="15.5703125" style="25" bestFit="1" customWidth="1"/>
    <col min="12047" max="12048" width="11.42578125" style="25" customWidth="1"/>
    <col min="12049" max="12288" width="0" style="25" hidden="1"/>
    <col min="12289" max="12289" width="44" style="25" customWidth="1"/>
    <col min="12290" max="12301" width="13.7109375" style="25" customWidth="1"/>
    <col min="12302" max="12302" width="15.5703125" style="25" bestFit="1" customWidth="1"/>
    <col min="12303" max="12304" width="11.42578125" style="25" customWidth="1"/>
    <col min="12305" max="12544" width="0" style="25" hidden="1"/>
    <col min="12545" max="12545" width="44" style="25" customWidth="1"/>
    <col min="12546" max="12557" width="13.7109375" style="25" customWidth="1"/>
    <col min="12558" max="12558" width="15.5703125" style="25" bestFit="1" customWidth="1"/>
    <col min="12559" max="12560" width="11.42578125" style="25" customWidth="1"/>
    <col min="12561" max="12800" width="0" style="25" hidden="1"/>
    <col min="12801" max="12801" width="44" style="25" customWidth="1"/>
    <col min="12802" max="12813" width="13.7109375" style="25" customWidth="1"/>
    <col min="12814" max="12814" width="15.5703125" style="25" bestFit="1" customWidth="1"/>
    <col min="12815" max="12816" width="11.42578125" style="25" customWidth="1"/>
    <col min="12817" max="13056" width="0" style="25" hidden="1"/>
    <col min="13057" max="13057" width="44" style="25" customWidth="1"/>
    <col min="13058" max="13069" width="13.7109375" style="25" customWidth="1"/>
    <col min="13070" max="13070" width="15.5703125" style="25" bestFit="1" customWidth="1"/>
    <col min="13071" max="13072" width="11.42578125" style="25" customWidth="1"/>
    <col min="13073" max="13312" width="0" style="25" hidden="1"/>
    <col min="13313" max="13313" width="44" style="25" customWidth="1"/>
    <col min="13314" max="13325" width="13.7109375" style="25" customWidth="1"/>
    <col min="13326" max="13326" width="15.5703125" style="25" bestFit="1" customWidth="1"/>
    <col min="13327" max="13328" width="11.42578125" style="25" customWidth="1"/>
    <col min="13329" max="13568" width="0" style="25" hidden="1"/>
    <col min="13569" max="13569" width="44" style="25" customWidth="1"/>
    <col min="13570" max="13581" width="13.7109375" style="25" customWidth="1"/>
    <col min="13582" max="13582" width="15.5703125" style="25" bestFit="1" customWidth="1"/>
    <col min="13583" max="13584" width="11.42578125" style="25" customWidth="1"/>
    <col min="13585" max="13824" width="0" style="25" hidden="1"/>
    <col min="13825" max="13825" width="44" style="25" customWidth="1"/>
    <col min="13826" max="13837" width="13.7109375" style="25" customWidth="1"/>
    <col min="13838" max="13838" width="15.5703125" style="25" bestFit="1" customWidth="1"/>
    <col min="13839" max="13840" width="11.42578125" style="25" customWidth="1"/>
    <col min="13841" max="14080" width="0" style="25" hidden="1"/>
    <col min="14081" max="14081" width="44" style="25" customWidth="1"/>
    <col min="14082" max="14093" width="13.7109375" style="25" customWidth="1"/>
    <col min="14094" max="14094" width="15.5703125" style="25" bestFit="1" customWidth="1"/>
    <col min="14095" max="14096" width="11.42578125" style="25" customWidth="1"/>
    <col min="14097" max="14336" width="0" style="25" hidden="1"/>
    <col min="14337" max="14337" width="44" style="25" customWidth="1"/>
    <col min="14338" max="14349" width="13.7109375" style="25" customWidth="1"/>
    <col min="14350" max="14350" width="15.5703125" style="25" bestFit="1" customWidth="1"/>
    <col min="14351" max="14352" width="11.42578125" style="25" customWidth="1"/>
    <col min="14353" max="14592" width="0" style="25" hidden="1"/>
    <col min="14593" max="14593" width="44" style="25" customWidth="1"/>
    <col min="14594" max="14605" width="13.7109375" style="25" customWidth="1"/>
    <col min="14606" max="14606" width="15.5703125" style="25" bestFit="1" customWidth="1"/>
    <col min="14607" max="14608" width="11.42578125" style="25" customWidth="1"/>
    <col min="14609" max="14848" width="0" style="25" hidden="1"/>
    <col min="14849" max="14849" width="44" style="25" customWidth="1"/>
    <col min="14850" max="14861" width="13.7109375" style="25" customWidth="1"/>
    <col min="14862" max="14862" width="15.5703125" style="25" bestFit="1" customWidth="1"/>
    <col min="14863" max="14864" width="11.42578125" style="25" customWidth="1"/>
    <col min="14865" max="15104" width="0" style="25" hidden="1"/>
    <col min="15105" max="15105" width="44" style="25" customWidth="1"/>
    <col min="15106" max="15117" width="13.7109375" style="25" customWidth="1"/>
    <col min="15118" max="15118" width="15.5703125" style="25" bestFit="1" customWidth="1"/>
    <col min="15119" max="15120" width="11.42578125" style="25" customWidth="1"/>
    <col min="15121" max="15360" width="0" style="25" hidden="1"/>
    <col min="15361" max="15361" width="44" style="25" customWidth="1"/>
    <col min="15362" max="15373" width="13.7109375" style="25" customWidth="1"/>
    <col min="15374" max="15374" width="15.5703125" style="25" bestFit="1" customWidth="1"/>
    <col min="15375" max="15376" width="11.42578125" style="25" customWidth="1"/>
    <col min="15377" max="15616" width="0" style="25" hidden="1"/>
    <col min="15617" max="15617" width="44" style="25" customWidth="1"/>
    <col min="15618" max="15629" width="13.7109375" style="25" customWidth="1"/>
    <col min="15630" max="15630" width="15.5703125" style="25" bestFit="1" customWidth="1"/>
    <col min="15631" max="15632" width="11.42578125" style="25" customWidth="1"/>
    <col min="15633" max="15872" width="0" style="25" hidden="1"/>
    <col min="15873" max="15873" width="44" style="25" customWidth="1"/>
    <col min="15874" max="15885" width="13.7109375" style="25" customWidth="1"/>
    <col min="15886" max="15886" width="15.5703125" style="25" bestFit="1" customWidth="1"/>
    <col min="15887" max="15888" width="11.42578125" style="25" customWidth="1"/>
    <col min="15889" max="16128" width="0" style="25" hidden="1"/>
    <col min="16129" max="16129" width="44" style="25" customWidth="1"/>
    <col min="16130" max="16141" width="13.7109375" style="25" customWidth="1"/>
    <col min="16142" max="16142" width="15.5703125" style="25" bestFit="1" customWidth="1"/>
    <col min="16143" max="16144" width="11.42578125" style="25" customWidth="1"/>
    <col min="16145" max="16384" width="0" style="25" hidden="1"/>
  </cols>
  <sheetData>
    <row r="1" spans="1:20" x14ac:dyDescent="0.2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20" ht="23.25" x14ac:dyDescent="0.35">
      <c r="A2" s="84" t="e">
        <f>#REF!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20" x14ac:dyDescent="0.2">
      <c r="A3" s="24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20" ht="15.75" x14ac:dyDescent="0.25">
      <c r="A4" s="74" t="e">
        <f>#REF!</f>
        <v>#REF!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</row>
    <row r="5" spans="1:20" ht="15.75" x14ac:dyDescent="0.25">
      <c r="A5" s="74" t="s">
        <v>79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20" ht="16.5" thickBot="1" x14ac:dyDescent="0.3">
      <c r="A6" s="75" t="s">
        <v>80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20" ht="13.5" thickTop="1" x14ac:dyDescent="0.2">
      <c r="A7" s="77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 t="s">
        <v>20</v>
      </c>
      <c r="T7" s="27"/>
    </row>
    <row r="8" spans="1:20" ht="15.75" x14ac:dyDescent="0.25">
      <c r="A8" s="86" t="s">
        <v>2</v>
      </c>
      <c r="B8" s="92" t="s">
        <v>5</v>
      </c>
      <c r="C8" s="92" t="s">
        <v>6</v>
      </c>
      <c r="D8" s="92" t="s">
        <v>7</v>
      </c>
      <c r="E8" s="92" t="s">
        <v>8</v>
      </c>
      <c r="F8" s="92" t="s">
        <v>9</v>
      </c>
      <c r="G8" s="92" t="s">
        <v>10</v>
      </c>
      <c r="H8" s="92" t="s">
        <v>11</v>
      </c>
      <c r="I8" s="92" t="s">
        <v>12</v>
      </c>
      <c r="J8" s="92" t="s">
        <v>13</v>
      </c>
      <c r="K8" s="92" t="s">
        <v>14</v>
      </c>
      <c r="L8" s="92" t="s">
        <v>15</v>
      </c>
      <c r="M8" s="92" t="s">
        <v>16</v>
      </c>
      <c r="N8" s="87">
        <v>2012</v>
      </c>
      <c r="T8" s="27"/>
    </row>
    <row r="9" spans="1:20" x14ac:dyDescent="0.2">
      <c r="A9" s="78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80"/>
      <c r="T9" s="27"/>
    </row>
    <row r="10" spans="1:20" ht="15.75" x14ac:dyDescent="0.25">
      <c r="A10" s="88" t="s">
        <v>81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27"/>
      <c r="T10" s="27"/>
    </row>
    <row r="11" spans="1:20" x14ac:dyDescent="0.2">
      <c r="A11" s="77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27"/>
      <c r="T11" s="27"/>
    </row>
    <row r="12" spans="1:20" x14ac:dyDescent="0.2">
      <c r="A12" s="83" t="s">
        <v>82</v>
      </c>
      <c r="B12" s="93">
        <v>78</v>
      </c>
      <c r="C12" s="93">
        <v>78</v>
      </c>
      <c r="D12" s="93">
        <v>78</v>
      </c>
      <c r="E12" s="93">
        <v>78</v>
      </c>
      <c r="F12" s="93">
        <v>78</v>
      </c>
      <c r="G12" s="93">
        <v>78</v>
      </c>
      <c r="H12" s="93">
        <v>78</v>
      </c>
      <c r="I12" s="93">
        <v>78</v>
      </c>
      <c r="J12" s="93">
        <v>78</v>
      </c>
      <c r="K12" s="93">
        <v>78</v>
      </c>
      <c r="L12" s="93">
        <v>78</v>
      </c>
      <c r="M12" s="93">
        <v>78</v>
      </c>
      <c r="N12" s="94">
        <f>SUM(B12:M12)/12</f>
        <v>78</v>
      </c>
      <c r="T12" s="27"/>
    </row>
    <row r="13" spans="1:20" x14ac:dyDescent="0.2">
      <c r="A13" s="77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5"/>
      <c r="T13" s="27"/>
    </row>
    <row r="14" spans="1:20" x14ac:dyDescent="0.2">
      <c r="A14" s="83" t="s">
        <v>83</v>
      </c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5"/>
      <c r="T14" s="27"/>
    </row>
    <row r="15" spans="1:20" x14ac:dyDescent="0.2">
      <c r="A15" s="77" t="s">
        <v>84</v>
      </c>
      <c r="B15" s="95">
        <v>190</v>
      </c>
      <c r="C15" s="95">
        <v>190</v>
      </c>
      <c r="D15" s="95">
        <v>190</v>
      </c>
      <c r="E15" s="95">
        <v>198</v>
      </c>
      <c r="F15" s="95">
        <v>191</v>
      </c>
      <c r="G15" s="95">
        <v>198</v>
      </c>
      <c r="H15" s="95">
        <v>198</v>
      </c>
      <c r="I15" s="95">
        <v>198</v>
      </c>
      <c r="J15" s="95">
        <v>198</v>
      </c>
      <c r="K15" s="95">
        <v>198</v>
      </c>
      <c r="L15" s="95">
        <v>198</v>
      </c>
      <c r="M15" s="95">
        <v>198</v>
      </c>
      <c r="N15" s="96">
        <f>SUM(B15:M15)/12</f>
        <v>195.41666666666666</v>
      </c>
      <c r="T15" s="27"/>
    </row>
    <row r="16" spans="1:20" x14ac:dyDescent="0.2">
      <c r="A16" s="77" t="s">
        <v>85</v>
      </c>
      <c r="B16" s="95">
        <v>0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95">
        <v>0</v>
      </c>
      <c r="J16" s="95">
        <v>0</v>
      </c>
      <c r="K16" s="95">
        <v>0</v>
      </c>
      <c r="L16" s="95">
        <v>0</v>
      </c>
      <c r="M16" s="95">
        <v>0</v>
      </c>
      <c r="N16" s="96">
        <f>SUM(B16:M16)/12</f>
        <v>0</v>
      </c>
      <c r="T16" s="27"/>
    </row>
    <row r="17" spans="1:20" x14ac:dyDescent="0.2">
      <c r="A17" s="77" t="s">
        <v>86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6">
        <v>0</v>
      </c>
      <c r="T17" s="27"/>
    </row>
    <row r="18" spans="1:20" x14ac:dyDescent="0.2">
      <c r="A18" s="83" t="s">
        <v>87</v>
      </c>
      <c r="B18" s="97">
        <f t="shared" ref="B18:M18" si="0">SUM(B15:B17)</f>
        <v>190</v>
      </c>
      <c r="C18" s="97">
        <f t="shared" si="0"/>
        <v>190</v>
      </c>
      <c r="D18" s="97">
        <f t="shared" si="0"/>
        <v>190</v>
      </c>
      <c r="E18" s="97">
        <f t="shared" si="0"/>
        <v>198</v>
      </c>
      <c r="F18" s="97">
        <f t="shared" si="0"/>
        <v>191</v>
      </c>
      <c r="G18" s="97">
        <f t="shared" si="0"/>
        <v>198</v>
      </c>
      <c r="H18" s="97">
        <f t="shared" si="0"/>
        <v>198</v>
      </c>
      <c r="I18" s="97">
        <f t="shared" si="0"/>
        <v>198</v>
      </c>
      <c r="J18" s="97">
        <f t="shared" si="0"/>
        <v>198</v>
      </c>
      <c r="K18" s="97">
        <f t="shared" si="0"/>
        <v>198</v>
      </c>
      <c r="L18" s="97">
        <f t="shared" si="0"/>
        <v>198</v>
      </c>
      <c r="M18" s="97">
        <f t="shared" si="0"/>
        <v>198</v>
      </c>
      <c r="N18" s="98">
        <f>+SUM(N15:N17)</f>
        <v>195.41666666666666</v>
      </c>
      <c r="O18" s="99"/>
      <c r="T18" s="27"/>
    </row>
    <row r="19" spans="1:20" x14ac:dyDescent="0.2">
      <c r="A19" s="77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6"/>
      <c r="T19" s="27"/>
    </row>
    <row r="20" spans="1:20" x14ac:dyDescent="0.2">
      <c r="A20" s="83" t="s">
        <v>88</v>
      </c>
      <c r="B20" s="97">
        <v>9</v>
      </c>
      <c r="C20" s="97">
        <v>9</v>
      </c>
      <c r="D20" s="97">
        <v>9</v>
      </c>
      <c r="E20" s="97">
        <v>9</v>
      </c>
      <c r="F20" s="97">
        <v>9</v>
      </c>
      <c r="G20" s="97">
        <v>9</v>
      </c>
      <c r="H20" s="97">
        <v>9</v>
      </c>
      <c r="I20" s="97">
        <v>9</v>
      </c>
      <c r="J20" s="97">
        <v>9</v>
      </c>
      <c r="K20" s="97">
        <v>9</v>
      </c>
      <c r="L20" s="97">
        <v>9</v>
      </c>
      <c r="M20" s="97">
        <v>9</v>
      </c>
      <c r="N20" s="98">
        <f>SUM(B20:M20)/12</f>
        <v>9</v>
      </c>
      <c r="T20" s="27"/>
    </row>
    <row r="21" spans="1:20" x14ac:dyDescent="0.2">
      <c r="A21" s="77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6"/>
      <c r="T21" s="27"/>
    </row>
    <row r="22" spans="1:20" x14ac:dyDescent="0.2">
      <c r="A22" s="77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6"/>
      <c r="T22" s="27"/>
    </row>
    <row r="23" spans="1:20" x14ac:dyDescent="0.2">
      <c r="A23" s="77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T23" s="27"/>
    </row>
    <row r="24" spans="1:20" ht="15.75" x14ac:dyDescent="0.25">
      <c r="A24" s="88"/>
      <c r="B24" s="100">
        <f t="shared" ref="B24:M24" si="1">SUM(B12+B18+B20)</f>
        <v>277</v>
      </c>
      <c r="C24" s="100">
        <f t="shared" si="1"/>
        <v>277</v>
      </c>
      <c r="D24" s="100">
        <f t="shared" si="1"/>
        <v>277</v>
      </c>
      <c r="E24" s="100">
        <f t="shared" si="1"/>
        <v>285</v>
      </c>
      <c r="F24" s="100">
        <f t="shared" si="1"/>
        <v>278</v>
      </c>
      <c r="G24" s="100">
        <f t="shared" si="1"/>
        <v>285</v>
      </c>
      <c r="H24" s="100">
        <f t="shared" si="1"/>
        <v>285</v>
      </c>
      <c r="I24" s="100">
        <f t="shared" si="1"/>
        <v>285</v>
      </c>
      <c r="J24" s="100">
        <f t="shared" si="1"/>
        <v>285</v>
      </c>
      <c r="K24" s="100">
        <f t="shared" si="1"/>
        <v>285</v>
      </c>
      <c r="L24" s="100">
        <f t="shared" si="1"/>
        <v>285</v>
      </c>
      <c r="M24" s="100">
        <f t="shared" si="1"/>
        <v>285</v>
      </c>
      <c r="N24" s="101">
        <f>SUM(N12+N18+N20)</f>
        <v>282.41666666666663</v>
      </c>
      <c r="T24" s="27"/>
    </row>
    <row r="25" spans="1:20" x14ac:dyDescent="0.2">
      <c r="A25" s="77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6"/>
      <c r="T25" s="27"/>
    </row>
    <row r="26" spans="1:20" x14ac:dyDescent="0.2">
      <c r="A26" s="83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6"/>
      <c r="T26" s="27"/>
    </row>
    <row r="27" spans="1:20" ht="15.75" x14ac:dyDescent="0.25">
      <c r="A27" s="88" t="s">
        <v>89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6"/>
      <c r="T27" s="27"/>
    </row>
    <row r="28" spans="1:20" x14ac:dyDescent="0.2">
      <c r="A28" s="77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6"/>
      <c r="T28" s="27"/>
    </row>
    <row r="29" spans="1:20" x14ac:dyDescent="0.2">
      <c r="A29" s="83" t="s">
        <v>90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6"/>
      <c r="T29" s="27"/>
    </row>
    <row r="30" spans="1:20" x14ac:dyDescent="0.2">
      <c r="A30" s="77" t="s">
        <v>91</v>
      </c>
      <c r="B30" s="102" t="e">
        <f>#REF!</f>
        <v>#REF!</v>
      </c>
      <c r="C30" s="102" t="e">
        <f>#REF!</f>
        <v>#REF!</v>
      </c>
      <c r="D30" s="102" t="e">
        <f>#REF!</f>
        <v>#REF!</v>
      </c>
      <c r="E30" s="102" t="e">
        <f>#REF!</f>
        <v>#REF!</v>
      </c>
      <c r="F30" s="102" t="e">
        <f>#REF!</f>
        <v>#REF!</v>
      </c>
      <c r="G30" s="102" t="e">
        <f>#REF!</f>
        <v>#REF!</v>
      </c>
      <c r="H30" s="102" t="e">
        <f>#REF!</f>
        <v>#REF!</v>
      </c>
      <c r="I30" s="102" t="e">
        <f>#REF!</f>
        <v>#REF!</v>
      </c>
      <c r="J30" s="102" t="e">
        <f>#REF!</f>
        <v>#REF!</v>
      </c>
      <c r="K30" s="102" t="e">
        <f>#REF!</f>
        <v>#REF!</v>
      </c>
      <c r="L30" s="102" t="e">
        <f>#REF!</f>
        <v>#REF!</v>
      </c>
      <c r="M30" s="102" t="e">
        <f>#REF!</f>
        <v>#REF!</v>
      </c>
      <c r="N30" s="103" t="e">
        <f>SUM(B30:M30)</f>
        <v>#REF!</v>
      </c>
      <c r="T30" s="27"/>
    </row>
    <row r="31" spans="1:20" x14ac:dyDescent="0.2">
      <c r="A31" s="77" t="s">
        <v>92</v>
      </c>
      <c r="B31" s="102">
        <v>0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</v>
      </c>
      <c r="N31" s="103">
        <f>SUM(B31:M31)</f>
        <v>0</v>
      </c>
      <c r="T31" s="27"/>
    </row>
    <row r="32" spans="1:20" x14ac:dyDescent="0.2">
      <c r="A32" s="77" t="s">
        <v>93</v>
      </c>
      <c r="B32" s="102">
        <v>0</v>
      </c>
      <c r="C32" s="102">
        <v>0</v>
      </c>
      <c r="D32" s="102">
        <v>0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</v>
      </c>
      <c r="N32" s="103"/>
      <c r="T32" s="27"/>
    </row>
    <row r="33" spans="1:20" x14ac:dyDescent="0.2">
      <c r="A33" s="83" t="s">
        <v>87</v>
      </c>
      <c r="B33" s="104" t="e">
        <f t="shared" ref="B33:L33" si="2">SUM(B30:B32)</f>
        <v>#REF!</v>
      </c>
      <c r="C33" s="104" t="e">
        <f t="shared" si="2"/>
        <v>#REF!</v>
      </c>
      <c r="D33" s="104" t="e">
        <f t="shared" si="2"/>
        <v>#REF!</v>
      </c>
      <c r="E33" s="104" t="e">
        <f t="shared" si="2"/>
        <v>#REF!</v>
      </c>
      <c r="F33" s="104" t="e">
        <f t="shared" si="2"/>
        <v>#REF!</v>
      </c>
      <c r="G33" s="104" t="e">
        <f t="shared" si="2"/>
        <v>#REF!</v>
      </c>
      <c r="H33" s="104" t="e">
        <f t="shared" si="2"/>
        <v>#REF!</v>
      </c>
      <c r="I33" s="104" t="e">
        <f t="shared" si="2"/>
        <v>#REF!</v>
      </c>
      <c r="J33" s="104" t="e">
        <f t="shared" si="2"/>
        <v>#REF!</v>
      </c>
      <c r="K33" s="104" t="e">
        <f t="shared" si="2"/>
        <v>#REF!</v>
      </c>
      <c r="L33" s="104" t="e">
        <f t="shared" si="2"/>
        <v>#REF!</v>
      </c>
      <c r="M33" s="104" t="e">
        <f>SUM(M30:M32)</f>
        <v>#REF!</v>
      </c>
      <c r="N33" s="105" t="e">
        <f>SUM(N30:N32)</f>
        <v>#REF!</v>
      </c>
      <c r="T33" s="27"/>
    </row>
    <row r="34" spans="1:20" x14ac:dyDescent="0.2">
      <c r="A34" s="77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6"/>
      <c r="T34" s="27"/>
    </row>
    <row r="35" spans="1:20" ht="15.75" x14ac:dyDescent="0.25">
      <c r="A35" s="88" t="s">
        <v>94</v>
      </c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6"/>
      <c r="T35" s="27"/>
    </row>
    <row r="36" spans="1:20" x14ac:dyDescent="0.2">
      <c r="A36" s="77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6"/>
      <c r="T36" s="27"/>
    </row>
    <row r="37" spans="1:20" x14ac:dyDescent="0.2">
      <c r="A37" s="77" t="s">
        <v>95</v>
      </c>
      <c r="B37" s="95" t="e">
        <f>#REF!</f>
        <v>#REF!</v>
      </c>
      <c r="C37" s="95" t="e">
        <f>#REF!</f>
        <v>#REF!</v>
      </c>
      <c r="D37" s="95" t="e">
        <f>#REF!</f>
        <v>#REF!</v>
      </c>
      <c r="E37" s="95" t="e">
        <f>#REF!</f>
        <v>#REF!</v>
      </c>
      <c r="F37" s="95" t="e">
        <f>#REF!</f>
        <v>#REF!</v>
      </c>
      <c r="G37" s="95" t="e">
        <f>#REF!</f>
        <v>#REF!</v>
      </c>
      <c r="H37" s="95" t="e">
        <f>#REF!</f>
        <v>#REF!</v>
      </c>
      <c r="I37" s="95" t="e">
        <f>#REF!</f>
        <v>#REF!</v>
      </c>
      <c r="J37" s="95" t="e">
        <f>#REF!</f>
        <v>#REF!</v>
      </c>
      <c r="K37" s="95" t="e">
        <f>#REF!</f>
        <v>#REF!</v>
      </c>
      <c r="L37" s="95" t="e">
        <f>#REF!</f>
        <v>#REF!</v>
      </c>
      <c r="M37" s="95" t="e">
        <f>#REF!</f>
        <v>#REF!</v>
      </c>
      <c r="N37" s="103" t="e">
        <f>SUM(B37:M37)</f>
        <v>#REF!</v>
      </c>
      <c r="T37" s="27"/>
    </row>
    <row r="38" spans="1:20" x14ac:dyDescent="0.2">
      <c r="A38" s="77" t="s">
        <v>96</v>
      </c>
      <c r="B38" s="102" t="e">
        <f t="shared" ref="B38:M38" si="3">B37/B15</f>
        <v>#REF!</v>
      </c>
      <c r="C38" s="102" t="e">
        <f t="shared" si="3"/>
        <v>#REF!</v>
      </c>
      <c r="D38" s="102" t="e">
        <f t="shared" si="3"/>
        <v>#REF!</v>
      </c>
      <c r="E38" s="102" t="e">
        <f t="shared" si="3"/>
        <v>#REF!</v>
      </c>
      <c r="F38" s="102" t="e">
        <f t="shared" si="3"/>
        <v>#REF!</v>
      </c>
      <c r="G38" s="102" t="e">
        <f t="shared" si="3"/>
        <v>#REF!</v>
      </c>
      <c r="H38" s="102" t="e">
        <f t="shared" si="3"/>
        <v>#REF!</v>
      </c>
      <c r="I38" s="102" t="e">
        <f t="shared" si="3"/>
        <v>#REF!</v>
      </c>
      <c r="J38" s="102" t="e">
        <f t="shared" si="3"/>
        <v>#REF!</v>
      </c>
      <c r="K38" s="102" t="e">
        <f t="shared" si="3"/>
        <v>#REF!</v>
      </c>
      <c r="L38" s="102" t="e">
        <f t="shared" si="3"/>
        <v>#REF!</v>
      </c>
      <c r="M38" s="102" t="e">
        <f t="shared" si="3"/>
        <v>#REF!</v>
      </c>
      <c r="N38" s="103" t="e">
        <v>#REF!</v>
      </c>
      <c r="T38" s="27"/>
    </row>
    <row r="39" spans="1:20" ht="13.5" thickBot="1" x14ac:dyDescent="0.25">
      <c r="A39" s="106" t="s">
        <v>97</v>
      </c>
      <c r="B39" s="107" t="e">
        <v>#REF!</v>
      </c>
      <c r="C39" s="107" t="e">
        <v>#REF!</v>
      </c>
      <c r="D39" s="107" t="e">
        <v>#REF!</v>
      </c>
      <c r="E39" s="107" t="e">
        <v>#REF!</v>
      </c>
      <c r="F39" s="107" t="e">
        <v>#REF!</v>
      </c>
      <c r="G39" s="107" t="e">
        <v>#REF!</v>
      </c>
      <c r="H39" s="107" t="e">
        <v>#REF!</v>
      </c>
      <c r="I39" s="107" t="e">
        <v>#REF!</v>
      </c>
      <c r="J39" s="107" t="e">
        <v>#REF!</v>
      </c>
      <c r="K39" s="107" t="e">
        <v>#REF!</v>
      </c>
      <c r="L39" s="107" t="e">
        <v>#REF!</v>
      </c>
      <c r="M39" s="107" t="e">
        <v>#REF!</v>
      </c>
      <c r="N39" s="108" t="e">
        <v>#REF!</v>
      </c>
      <c r="T39" s="27"/>
    </row>
    <row r="40" spans="1:20" ht="13.5" thickTop="1" x14ac:dyDescent="0.2">
      <c r="T40" s="27"/>
    </row>
    <row r="41" spans="1:20" x14ac:dyDescent="0.2">
      <c r="T41" s="27"/>
    </row>
    <row r="42" spans="1:20" x14ac:dyDescent="0.2">
      <c r="T42" s="27"/>
    </row>
    <row r="43" spans="1:20" x14ac:dyDescent="0.2">
      <c r="T43" s="27"/>
    </row>
    <row r="44" spans="1:20" x14ac:dyDescent="0.2">
      <c r="T44" s="27"/>
    </row>
    <row r="45" spans="1:20" x14ac:dyDescent="0.2">
      <c r="T45" s="27"/>
    </row>
    <row r="46" spans="1:20" hidden="1" x14ac:dyDescent="0.2">
      <c r="T46" s="27"/>
    </row>
    <row r="47" spans="1:20" hidden="1" x14ac:dyDescent="0.2">
      <c r="T47" s="27"/>
    </row>
    <row r="48" spans="1:20" hidden="1" x14ac:dyDescent="0.2">
      <c r="T48" s="27"/>
    </row>
    <row r="49" spans="20:20" hidden="1" x14ac:dyDescent="0.2">
      <c r="T49" s="27"/>
    </row>
    <row r="50" spans="20:20" hidden="1" x14ac:dyDescent="0.2"/>
    <row r="51" spans="20:20" hidden="1" x14ac:dyDescent="0.2"/>
    <row r="52" spans="20:20" hidden="1" x14ac:dyDescent="0.2"/>
    <row r="53" spans="20:20" hidden="1" x14ac:dyDescent="0.2"/>
    <row r="54" spans="20:20" hidden="1" x14ac:dyDescent="0.2"/>
    <row r="55" spans="20:20" hidden="1" x14ac:dyDescent="0.2"/>
    <row r="56" spans="20:20" hidden="1" x14ac:dyDescent="0.2"/>
    <row r="57" spans="20:20" hidden="1" x14ac:dyDescent="0.2"/>
    <row r="58" spans="20:20" hidden="1" x14ac:dyDescent="0.2"/>
    <row r="59" spans="20:20" hidden="1" x14ac:dyDescent="0.2">
      <c r="T59" s="27"/>
    </row>
    <row r="60" spans="20:20" hidden="1" x14ac:dyDescent="0.2">
      <c r="T60" s="27"/>
    </row>
    <row r="61" spans="20:20" hidden="1" x14ac:dyDescent="0.2">
      <c r="T61" s="27"/>
    </row>
    <row r="62" spans="20:20" hidden="1" x14ac:dyDescent="0.2">
      <c r="T62" s="27"/>
    </row>
    <row r="63" spans="20:20" hidden="1" x14ac:dyDescent="0.2">
      <c r="T63" s="27"/>
    </row>
    <row r="64" spans="20:20" hidden="1" x14ac:dyDescent="0.2">
      <c r="T64" s="27"/>
    </row>
    <row r="65" spans="20:20" hidden="1" x14ac:dyDescent="0.2">
      <c r="T65" s="27"/>
    </row>
    <row r="66" spans="20:20" hidden="1" x14ac:dyDescent="0.2">
      <c r="T66" s="27"/>
    </row>
    <row r="67" spans="20:20" hidden="1" x14ac:dyDescent="0.2">
      <c r="T67" s="27"/>
    </row>
    <row r="68" spans="20:20" hidden="1" x14ac:dyDescent="0.2">
      <c r="T68" s="27"/>
    </row>
    <row r="69" spans="20:20" hidden="1" x14ac:dyDescent="0.2">
      <c r="T69" s="27"/>
    </row>
    <row r="70" spans="20:20" hidden="1" x14ac:dyDescent="0.2">
      <c r="T70" s="27"/>
    </row>
    <row r="71" spans="20:20" hidden="1" x14ac:dyDescent="0.2">
      <c r="T71" s="27"/>
    </row>
    <row r="72" spans="20:20" hidden="1" x14ac:dyDescent="0.2">
      <c r="T72" s="27"/>
    </row>
    <row r="73" spans="20:20" hidden="1" x14ac:dyDescent="0.2">
      <c r="T73" s="27"/>
    </row>
    <row r="74" spans="20:20" hidden="1" x14ac:dyDescent="0.2">
      <c r="T74" s="27"/>
    </row>
    <row r="75" spans="20:20" hidden="1" x14ac:dyDescent="0.2">
      <c r="T75" s="27"/>
    </row>
    <row r="76" spans="20:20" hidden="1" x14ac:dyDescent="0.2">
      <c r="T76" s="27"/>
    </row>
    <row r="77" spans="20:20" hidden="1" x14ac:dyDescent="0.2">
      <c r="T77" s="27"/>
    </row>
    <row r="78" spans="20:20" hidden="1" x14ac:dyDescent="0.2">
      <c r="T78" s="27"/>
    </row>
    <row r="79" spans="20:20" hidden="1" x14ac:dyDescent="0.2">
      <c r="T79" s="27"/>
    </row>
    <row r="80" spans="20:20" hidden="1" x14ac:dyDescent="0.2">
      <c r="T80" s="27"/>
    </row>
    <row r="81" spans="20:20" hidden="1" x14ac:dyDescent="0.2">
      <c r="T81" s="27"/>
    </row>
    <row r="82" spans="20:20" hidden="1" x14ac:dyDescent="0.2">
      <c r="T82" s="27"/>
    </row>
    <row r="83" spans="20:20" hidden="1" x14ac:dyDescent="0.2">
      <c r="T83" s="27"/>
    </row>
    <row r="84" spans="20:20" hidden="1" x14ac:dyDescent="0.2">
      <c r="T84" s="27"/>
    </row>
    <row r="85" spans="20:20" hidden="1" x14ac:dyDescent="0.2">
      <c r="T85" s="27"/>
    </row>
    <row r="86" spans="20:20" hidden="1" x14ac:dyDescent="0.2">
      <c r="T86" s="27"/>
    </row>
    <row r="87" spans="20:20" hidden="1" x14ac:dyDescent="0.2">
      <c r="T87" s="27"/>
    </row>
    <row r="88" spans="20:20" hidden="1" x14ac:dyDescent="0.2">
      <c r="T88" s="27"/>
    </row>
    <row r="89" spans="20:20" hidden="1" x14ac:dyDescent="0.2">
      <c r="T89" s="27"/>
    </row>
    <row r="90" spans="20:20" hidden="1" x14ac:dyDescent="0.2">
      <c r="T90" s="27"/>
    </row>
    <row r="91" spans="20:20" hidden="1" x14ac:dyDescent="0.2">
      <c r="T91" s="27"/>
    </row>
    <row r="92" spans="20:20" hidden="1" x14ac:dyDescent="0.2">
      <c r="T92" s="27"/>
    </row>
    <row r="93" spans="20:20" hidden="1" x14ac:dyDescent="0.2">
      <c r="T93" s="27"/>
    </row>
    <row r="94" spans="20:20" hidden="1" x14ac:dyDescent="0.2">
      <c r="T94" s="27"/>
    </row>
    <row r="95" spans="20:20" hidden="1" x14ac:dyDescent="0.2">
      <c r="T95" s="27"/>
    </row>
    <row r="96" spans="20:20" hidden="1" x14ac:dyDescent="0.2">
      <c r="T96" s="27"/>
    </row>
    <row r="97" spans="20:20" hidden="1" x14ac:dyDescent="0.2">
      <c r="T97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FFC000"/>
  </sheetPr>
  <dimension ref="B1:P78"/>
  <sheetViews>
    <sheetView topLeftCell="A63" zoomScaleNormal="100" workbookViewId="0">
      <selection activeCell="D76" sqref="D76:O76"/>
    </sheetView>
  </sheetViews>
  <sheetFormatPr baseColWidth="10" defaultRowHeight="12.75" x14ac:dyDescent="0.2"/>
  <cols>
    <col min="1" max="1" width="3.140625" customWidth="1"/>
    <col min="2" max="2" width="22.5703125" customWidth="1"/>
    <col min="3" max="3" width="14" customWidth="1"/>
  </cols>
  <sheetData>
    <row r="1" spans="2:3" x14ac:dyDescent="0.2">
      <c r="B1" s="11" t="s">
        <v>46</v>
      </c>
    </row>
    <row r="3" spans="2:3" x14ac:dyDescent="0.2">
      <c r="B3" s="11" t="s">
        <v>47</v>
      </c>
    </row>
    <row r="4" spans="2:3" x14ac:dyDescent="0.2">
      <c r="B4" s="11" t="str">
        <f>caratula!B26</f>
        <v>PRESUPUESTO  2014</v>
      </c>
    </row>
    <row r="5" spans="2:3" x14ac:dyDescent="0.2">
      <c r="B5" s="18" t="s">
        <v>198</v>
      </c>
      <c r="C5" s="16">
        <v>0.04</v>
      </c>
    </row>
    <row r="6" spans="2:3" x14ac:dyDescent="0.2">
      <c r="B6" s="18" t="s">
        <v>199</v>
      </c>
      <c r="C6" s="16">
        <f>C5/12</f>
        <v>3.3333333333333335E-3</v>
      </c>
    </row>
    <row r="7" spans="2:3" ht="25.5" x14ac:dyDescent="0.2">
      <c r="B7" s="114" t="s">
        <v>200</v>
      </c>
      <c r="C7" s="22">
        <v>12.9</v>
      </c>
    </row>
    <row r="8" spans="2:3" x14ac:dyDescent="0.2">
      <c r="B8" s="18" t="s">
        <v>201</v>
      </c>
      <c r="C8" s="16">
        <v>3.5700000000000003E-2</v>
      </c>
    </row>
    <row r="9" spans="2:3" ht="25.5" x14ac:dyDescent="0.2">
      <c r="B9" s="158" t="s">
        <v>215</v>
      </c>
      <c r="C9" s="159">
        <v>4.2900000000000001E-2</v>
      </c>
    </row>
    <row r="10" spans="2:3" ht="25.5" x14ac:dyDescent="0.2">
      <c r="B10" s="158" t="s">
        <v>202</v>
      </c>
      <c r="C10" s="159">
        <v>1.2699999999999999E-2</v>
      </c>
    </row>
    <row r="11" spans="2:3" ht="25.5" x14ac:dyDescent="0.2">
      <c r="B11" s="114" t="s">
        <v>203</v>
      </c>
      <c r="C11" s="22">
        <v>1200000</v>
      </c>
    </row>
    <row r="12" spans="2:3" ht="25.5" x14ac:dyDescent="0.2">
      <c r="B12" s="114" t="s">
        <v>112</v>
      </c>
      <c r="C12" s="22">
        <f>C11/P56</f>
        <v>3934.4262295081967</v>
      </c>
    </row>
    <row r="13" spans="2:3" ht="25.5" x14ac:dyDescent="0.2">
      <c r="B13" s="114" t="s">
        <v>122</v>
      </c>
      <c r="C13" s="21">
        <v>0.04</v>
      </c>
    </row>
    <row r="14" spans="2:3" x14ac:dyDescent="0.2">
      <c r="B14" s="114" t="s">
        <v>127</v>
      </c>
      <c r="C14" s="21">
        <v>0.04</v>
      </c>
    </row>
    <row r="15" spans="2:3" x14ac:dyDescent="0.2">
      <c r="B15" s="114"/>
      <c r="C15" s="22"/>
    </row>
    <row r="16" spans="2:3" ht="38.25" x14ac:dyDescent="0.2">
      <c r="B16" s="114" t="s">
        <v>179</v>
      </c>
      <c r="C16" s="155">
        <v>764604.89</v>
      </c>
    </row>
    <row r="17" spans="2:3" ht="16.5" customHeight="1" x14ac:dyDescent="0.2">
      <c r="B17" s="114" t="s">
        <v>125</v>
      </c>
      <c r="C17" s="22"/>
    </row>
    <row r="18" spans="2:3" ht="25.5" x14ac:dyDescent="0.2">
      <c r="B18" s="114" t="s">
        <v>126</v>
      </c>
      <c r="C18" s="22">
        <f>350000*(1+C5)</f>
        <v>364000</v>
      </c>
    </row>
    <row r="19" spans="2:3" x14ac:dyDescent="0.2">
      <c r="B19" s="22" t="s">
        <v>136</v>
      </c>
      <c r="C19" s="22">
        <v>1135976.5</v>
      </c>
    </row>
    <row r="21" spans="2:3" x14ac:dyDescent="0.2">
      <c r="B21" s="114"/>
      <c r="C21" s="22"/>
    </row>
    <row r="22" spans="2:3" ht="25.5" x14ac:dyDescent="0.2">
      <c r="B22" s="114" t="s">
        <v>123</v>
      </c>
      <c r="C22" s="22">
        <f>5563336.86+64200</f>
        <v>5627536.8600000003</v>
      </c>
    </row>
    <row r="23" spans="2:3" x14ac:dyDescent="0.2">
      <c r="B23" s="114" t="s">
        <v>124</v>
      </c>
      <c r="C23" s="22">
        <v>246554.99999999997</v>
      </c>
    </row>
    <row r="24" spans="2:3" x14ac:dyDescent="0.2">
      <c r="B24" s="114" t="s">
        <v>137</v>
      </c>
      <c r="C24" s="22">
        <f>216324.3*(1+C5)</f>
        <v>224977.272</v>
      </c>
    </row>
    <row r="25" spans="2:3" x14ac:dyDescent="0.2">
      <c r="B25" s="114" t="s">
        <v>138</v>
      </c>
      <c r="C25" s="173">
        <f>904631.69/(1+C5)</f>
        <v>869838.16346153838</v>
      </c>
    </row>
    <row r="26" spans="2:3" ht="25.5" x14ac:dyDescent="0.2">
      <c r="B26" s="114" t="s">
        <v>139</v>
      </c>
      <c r="C26" s="22">
        <v>20000</v>
      </c>
    </row>
    <row r="27" spans="2:3" ht="25.5" x14ac:dyDescent="0.2">
      <c r="B27" s="114" t="s">
        <v>140</v>
      </c>
      <c r="C27" s="22">
        <f>3500</f>
        <v>3500</v>
      </c>
    </row>
    <row r="28" spans="2:3" x14ac:dyDescent="0.2">
      <c r="B28" s="114" t="s">
        <v>141</v>
      </c>
      <c r="C28" s="173">
        <f>1135088.59*(1+C5)</f>
        <v>1180492.1336000001</v>
      </c>
    </row>
    <row r="29" spans="2:3" x14ac:dyDescent="0.2">
      <c r="B29" s="114" t="s">
        <v>142</v>
      </c>
      <c r="C29" s="173">
        <v>1874688.23</v>
      </c>
    </row>
    <row r="30" spans="2:3" x14ac:dyDescent="0.2">
      <c r="B30" s="114"/>
      <c r="C30" s="22"/>
    </row>
    <row r="31" spans="2:3" x14ac:dyDescent="0.2">
      <c r="B31" s="114" t="s">
        <v>143</v>
      </c>
      <c r="C31" s="174">
        <v>1278112.9500000002</v>
      </c>
    </row>
    <row r="32" spans="2:3" ht="25.5" x14ac:dyDescent="0.2">
      <c r="B32" s="114" t="s">
        <v>144</v>
      </c>
      <c r="C32" s="174">
        <f>4281147.97*(1+C5)</f>
        <v>4452393.8887999998</v>
      </c>
    </row>
    <row r="33" spans="2:3" ht="38.25" x14ac:dyDescent="0.2">
      <c r="B33" s="114" t="s">
        <v>145</v>
      </c>
      <c r="C33" s="174">
        <f>3160000*(1+C5)</f>
        <v>3286400</v>
      </c>
    </row>
    <row r="34" spans="2:3" x14ac:dyDescent="0.2">
      <c r="B34" s="114"/>
      <c r="C34" s="174"/>
    </row>
    <row r="35" spans="2:3" x14ac:dyDescent="0.2">
      <c r="B35" s="114"/>
      <c r="C35" s="174"/>
    </row>
    <row r="36" spans="2:3" x14ac:dyDescent="0.2">
      <c r="B36" s="114"/>
      <c r="C36" s="22"/>
    </row>
    <row r="37" spans="2:3" ht="25.5" x14ac:dyDescent="0.2">
      <c r="B37" s="114" t="s">
        <v>121</v>
      </c>
    </row>
    <row r="38" spans="2:3" x14ac:dyDescent="0.2">
      <c r="B38" s="134" t="s">
        <v>100</v>
      </c>
      <c r="C38">
        <f>'Información Op. 2013'!N227</f>
        <v>1.8419676404753378</v>
      </c>
    </row>
    <row r="39" spans="2:3" x14ac:dyDescent="0.2">
      <c r="B39" s="134" t="s">
        <v>43</v>
      </c>
      <c r="C39">
        <f>'Información Op. 2013'!N231</f>
        <v>2.0153886778505208</v>
      </c>
    </row>
    <row r="40" spans="2:3" x14ac:dyDescent="0.2">
      <c r="B40" s="134" t="s">
        <v>39</v>
      </c>
      <c r="C40">
        <f>'Información Op. 2013'!N231</f>
        <v>2.0153886778505208</v>
      </c>
    </row>
    <row r="41" spans="2:3" x14ac:dyDescent="0.2">
      <c r="B41" s="134" t="s">
        <v>40</v>
      </c>
      <c r="C41">
        <f>'Información Op. 2013'!N231</f>
        <v>2.0153886778505208</v>
      </c>
    </row>
    <row r="42" spans="2:3" x14ac:dyDescent="0.2">
      <c r="B42" s="134" t="s">
        <v>101</v>
      </c>
      <c r="C42">
        <f>'Información Op. 2013'!N231</f>
        <v>2.0153886778505208</v>
      </c>
    </row>
    <row r="43" spans="2:3" x14ac:dyDescent="0.2">
      <c r="B43" s="134" t="s">
        <v>38</v>
      </c>
      <c r="C43">
        <f>'Información Op. 2013'!N231</f>
        <v>2.0153886778505208</v>
      </c>
    </row>
    <row r="44" spans="2:3" x14ac:dyDescent="0.2">
      <c r="B44" s="134" t="s">
        <v>44</v>
      </c>
      <c r="C44">
        <f>'Información Op. 2013'!N232</f>
        <v>1.8266738084606549</v>
      </c>
    </row>
    <row r="45" spans="2:3" x14ac:dyDescent="0.2">
      <c r="B45" s="134" t="s">
        <v>42</v>
      </c>
      <c r="C45">
        <f>'Información Op. 2013'!N232</f>
        <v>1.8266738084606549</v>
      </c>
    </row>
    <row r="46" spans="2:3" x14ac:dyDescent="0.2">
      <c r="B46" s="134" t="s">
        <v>45</v>
      </c>
      <c r="C46">
        <f>'Información Op. 2013'!N232</f>
        <v>1.8266738084606549</v>
      </c>
    </row>
    <row r="47" spans="2:3" x14ac:dyDescent="0.2">
      <c r="B47" s="134" t="s">
        <v>41</v>
      </c>
      <c r="C47">
        <f>'Información Op. 2013'!N232</f>
        <v>1.8266738084606549</v>
      </c>
    </row>
    <row r="48" spans="2:3" x14ac:dyDescent="0.2">
      <c r="B48" s="134" t="s">
        <v>103</v>
      </c>
      <c r="C48">
        <f>'Información Op. 2013'!N232</f>
        <v>1.8266738084606549</v>
      </c>
    </row>
    <row r="49" spans="2:16" x14ac:dyDescent="0.2">
      <c r="B49" s="134" t="s">
        <v>102</v>
      </c>
      <c r="C49">
        <f>'Información Op. 2013'!N232</f>
        <v>1.8266738084606549</v>
      </c>
    </row>
    <row r="50" spans="2:16" x14ac:dyDescent="0.2">
      <c r="B50" s="134" t="s">
        <v>37</v>
      </c>
      <c r="C50">
        <f>'Información Op. 2013'!N233</f>
        <v>1.3543161212097861</v>
      </c>
    </row>
    <row r="51" spans="2:16" x14ac:dyDescent="0.2">
      <c r="B51" s="114"/>
      <c r="C51" s="22"/>
    </row>
    <row r="52" spans="2:16" x14ac:dyDescent="0.2">
      <c r="B52" s="114"/>
      <c r="C52" s="22"/>
    </row>
    <row r="53" spans="2:16" x14ac:dyDescent="0.2">
      <c r="B53" s="114"/>
      <c r="C53" s="116"/>
      <c r="D53" s="17"/>
    </row>
    <row r="54" spans="2:16" x14ac:dyDescent="0.2">
      <c r="B54" s="114"/>
      <c r="C54" s="116"/>
    </row>
    <row r="55" spans="2:16" x14ac:dyDescent="0.2">
      <c r="B55" s="114"/>
      <c r="C55" s="114"/>
      <c r="D55" s="124" t="s">
        <v>5</v>
      </c>
      <c r="E55" s="124" t="s">
        <v>6</v>
      </c>
      <c r="F55" s="124" t="s">
        <v>7</v>
      </c>
      <c r="G55" s="124" t="s">
        <v>8</v>
      </c>
      <c r="H55" s="124" t="s">
        <v>9</v>
      </c>
      <c r="I55" s="124" t="s">
        <v>10</v>
      </c>
      <c r="J55" s="124" t="s">
        <v>11</v>
      </c>
      <c r="K55" s="124" t="s">
        <v>12</v>
      </c>
      <c r="L55" s="124" t="s">
        <v>13</v>
      </c>
      <c r="M55" s="124" t="s">
        <v>14</v>
      </c>
      <c r="N55" s="124" t="s">
        <v>15</v>
      </c>
      <c r="O55" s="124" t="s">
        <v>16</v>
      </c>
      <c r="P55" s="124" t="s">
        <v>20</v>
      </c>
    </row>
    <row r="56" spans="2:16" x14ac:dyDescent="0.2">
      <c r="B56" s="133" t="s">
        <v>104</v>
      </c>
      <c r="C56" s="114"/>
      <c r="D56" s="20">
        <v>26</v>
      </c>
      <c r="E56">
        <v>23</v>
      </c>
      <c r="F56">
        <v>25</v>
      </c>
      <c r="G56">
        <v>25</v>
      </c>
      <c r="H56">
        <v>26</v>
      </c>
      <c r="I56">
        <v>25</v>
      </c>
      <c r="J56">
        <v>27</v>
      </c>
      <c r="K56">
        <v>26</v>
      </c>
      <c r="L56">
        <v>25</v>
      </c>
      <c r="M56">
        <v>27</v>
      </c>
      <c r="N56">
        <v>24</v>
      </c>
      <c r="O56">
        <v>26</v>
      </c>
      <c r="P56" s="123">
        <f>SUM(D56:O56)</f>
        <v>305</v>
      </c>
    </row>
    <row r="57" spans="2:16" x14ac:dyDescent="0.2">
      <c r="B57" s="133" t="s">
        <v>105</v>
      </c>
      <c r="C57" s="114"/>
      <c r="D57" s="20">
        <f>$C$11*D58</f>
        <v>94118.09133620908</v>
      </c>
      <c r="E57" s="20">
        <f t="shared" ref="E57:O57" si="0">$C$11*E58</f>
        <v>91896.426138983938</v>
      </c>
      <c r="F57" s="20">
        <f t="shared" si="0"/>
        <v>95016.267806245596</v>
      </c>
      <c r="G57" s="20">
        <f t="shared" si="0"/>
        <v>100289.79482710829</v>
      </c>
      <c r="H57" s="20">
        <f t="shared" si="0"/>
        <v>96723.298720380772</v>
      </c>
      <c r="I57" s="20">
        <f t="shared" si="0"/>
        <v>97193.537849163404</v>
      </c>
      <c r="J57" s="20">
        <f t="shared" si="0"/>
        <v>104915.42428966791</v>
      </c>
      <c r="K57" s="20">
        <f t="shared" si="0"/>
        <v>102748.49247421666</v>
      </c>
      <c r="L57" s="20">
        <f t="shared" si="0"/>
        <v>90930.796139015103</v>
      </c>
      <c r="M57" s="20">
        <f t="shared" si="0"/>
        <v>117420.43335084317</v>
      </c>
      <c r="N57" s="20">
        <f t="shared" si="0"/>
        <v>104373.71853408283</v>
      </c>
      <c r="O57" s="20">
        <f t="shared" si="0"/>
        <v>104373.71853408283</v>
      </c>
      <c r="P57" s="123">
        <f>SUM(D57:O57)</f>
        <v>1199999.9999999995</v>
      </c>
    </row>
    <row r="58" spans="2:16" ht="38.25" customHeight="1" x14ac:dyDescent="0.2">
      <c r="B58" s="133" t="s">
        <v>113</v>
      </c>
      <c r="C58" s="114"/>
      <c r="D58" s="21">
        <f>'Información Op. 2013'!B64</f>
        <v>7.843174278017423E-2</v>
      </c>
      <c r="E58" s="21">
        <f>'Información Op. 2013'!C64</f>
        <v>7.6580355115819954E-2</v>
      </c>
      <c r="F58" s="21">
        <f>'Información Op. 2013'!D64</f>
        <v>7.9180223171871331E-2</v>
      </c>
      <c r="G58" s="21">
        <f>'Información Op. 2013'!E64</f>
        <v>8.3574829022590238E-2</v>
      </c>
      <c r="H58" s="21">
        <f>'Información Op. 2013'!F64</f>
        <v>8.0602748933650645E-2</v>
      </c>
      <c r="I58" s="21">
        <f>'Información Op. 2013'!G64</f>
        <v>8.0994614874302831E-2</v>
      </c>
      <c r="J58" s="21">
        <f>'Información Op. 2013'!H64</f>
        <v>8.7429520241389919E-2</v>
      </c>
      <c r="K58" s="21">
        <f>'Información Op. 2013'!I64</f>
        <v>8.562374372851389E-2</v>
      </c>
      <c r="L58" s="21">
        <f>'Información Op. 2013'!J64</f>
        <v>7.5775663449179256E-2</v>
      </c>
      <c r="M58" s="21">
        <f>'Información Op. 2013'!K64</f>
        <v>9.785036112570264E-2</v>
      </c>
      <c r="N58" s="21">
        <f>'Información Op. 2013'!L64</f>
        <v>8.697809877840236E-2</v>
      </c>
      <c r="O58" s="21">
        <f>'Información Op. 2013'!M64</f>
        <v>8.697809877840236E-2</v>
      </c>
      <c r="P58" s="21">
        <f>'Información Op. 2013'!N64</f>
        <v>0.99999999999999967</v>
      </c>
    </row>
    <row r="59" spans="2:16" ht="38.25" x14ac:dyDescent="0.2">
      <c r="B59" s="133" t="s">
        <v>106</v>
      </c>
      <c r="C59" s="114" t="s">
        <v>111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123"/>
    </row>
    <row r="60" spans="2:16" x14ac:dyDescent="0.2">
      <c r="B60" t="s">
        <v>100</v>
      </c>
      <c r="C60" s="132">
        <f>'Información Op. 2013'!O51</f>
        <v>0.1901500691170277</v>
      </c>
      <c r="D60" s="20">
        <f t="shared" ref="D60:D71" si="1">D$57*$C60</f>
        <v>17896.561572742881</v>
      </c>
      <c r="E60" s="20">
        <f t="shared" ref="E60:O60" si="2">E$57*$C60</f>
        <v>17474.111781935626</v>
      </c>
      <c r="F60" s="20">
        <f t="shared" si="2"/>
        <v>18067.349890599613</v>
      </c>
      <c r="G60" s="20">
        <f t="shared" si="2"/>
        <v>19070.111418107168</v>
      </c>
      <c r="H60" s="20">
        <f t="shared" si="2"/>
        <v>18391.941936907322</v>
      </c>
      <c r="I60" s="20">
        <f t="shared" si="2"/>
        <v>18481.357939746867</v>
      </c>
      <c r="J60" s="20">
        <f t="shared" si="2"/>
        <v>19949.675180122638</v>
      </c>
      <c r="K60" s="20">
        <f t="shared" si="2"/>
        <v>19537.632945642697</v>
      </c>
      <c r="L60" s="20">
        <f t="shared" si="2"/>
        <v>17290.497170700077</v>
      </c>
      <c r="M60" s="20">
        <f t="shared" si="2"/>
        <v>22327.503517414174</v>
      </c>
      <c r="N60" s="20">
        <f t="shared" si="2"/>
        <v>19846.669793257046</v>
      </c>
      <c r="O60" s="20">
        <f t="shared" si="2"/>
        <v>19846.669793257046</v>
      </c>
      <c r="P60" s="123">
        <f>SUM(D60:O60)</f>
        <v>228180.08294043317</v>
      </c>
    </row>
    <row r="61" spans="2:16" x14ac:dyDescent="0.2">
      <c r="B61" t="s">
        <v>152</v>
      </c>
      <c r="C61" s="132">
        <f>'Información Op. 2013'!O52</f>
        <v>2.8465147068430504E-2</v>
      </c>
      <c r="D61" s="20">
        <f t="shared" si="1"/>
        <v>2679.0853116851663</v>
      </c>
      <c r="E61" s="20">
        <f t="shared" ref="E61:O71" si="3">E$57*$C61</f>
        <v>2615.8452851093389</v>
      </c>
      <c r="F61" s="20">
        <f t="shared" si="3"/>
        <v>2704.6520369981595</v>
      </c>
      <c r="G61" s="20">
        <f t="shared" si="3"/>
        <v>2854.7637592163583</v>
      </c>
      <c r="H61" s="20">
        <f t="shared" si="3"/>
        <v>2753.2429230193748</v>
      </c>
      <c r="I61" s="20">
        <f t="shared" si="3"/>
        <v>2766.6283489775028</v>
      </c>
      <c r="J61" s="20">
        <f t="shared" si="3"/>
        <v>2986.4329821521828</v>
      </c>
      <c r="K61" s="20">
        <f t="shared" si="3"/>
        <v>2924.7509493381021</v>
      </c>
      <c r="L61" s="20">
        <f t="shared" si="3"/>
        <v>2588.3584851465375</v>
      </c>
      <c r="M61" s="20">
        <f t="shared" si="3"/>
        <v>3342.3899041705931</v>
      </c>
      <c r="N61" s="20">
        <f t="shared" si="3"/>
        <v>2971.0132481516384</v>
      </c>
      <c r="O61" s="20">
        <f t="shared" si="3"/>
        <v>2971.0132481516384</v>
      </c>
      <c r="P61" s="123">
        <f t="shared" ref="P61:P71" si="4">SUM(D61:O61)</f>
        <v>34158.176482116593</v>
      </c>
    </row>
    <row r="62" spans="2:16" x14ac:dyDescent="0.2">
      <c r="B62" t="s">
        <v>161</v>
      </c>
      <c r="C62" s="132">
        <f>'Información Op. 2013'!O53</f>
        <v>0.2639304148784013</v>
      </c>
      <c r="D62" s="20">
        <f t="shared" si="1"/>
        <v>24840.626893928929</v>
      </c>
      <c r="E62" s="20">
        <f t="shared" si="3"/>
        <v>24254.261876704393</v>
      </c>
      <c r="F62" s="20">
        <f t="shared" si="3"/>
        <v>25077.682982299684</v>
      </c>
      <c r="G62" s="20">
        <f t="shared" si="3"/>
        <v>26469.527156788434</v>
      </c>
      <c r="H62" s="20">
        <f t="shared" si="3"/>
        <v>25528.220359677638</v>
      </c>
      <c r="I62" s="20">
        <f t="shared" si="3"/>
        <v>25652.330768029296</v>
      </c>
      <c r="J62" s="20">
        <f t="shared" si="3"/>
        <v>27690.37145991555</v>
      </c>
      <c r="K62" s="20">
        <f t="shared" si="3"/>
        <v>27118.452246850298</v>
      </c>
      <c r="L62" s="20">
        <f t="shared" si="3"/>
        <v>23999.402750193589</v>
      </c>
      <c r="M62" s="20">
        <f t="shared" si="3"/>
        <v>30990.823689489705</v>
      </c>
      <c r="N62" s="20">
        <f t="shared" si="3"/>
        <v>27547.398835101965</v>
      </c>
      <c r="O62" s="20">
        <f t="shared" si="3"/>
        <v>27547.398835101965</v>
      </c>
      <c r="P62" s="123">
        <f t="shared" si="4"/>
        <v>316716.49785408145</v>
      </c>
    </row>
    <row r="63" spans="2:16" x14ac:dyDescent="0.2">
      <c r="B63" t="s">
        <v>101</v>
      </c>
      <c r="C63" s="132">
        <f>'Información Op. 2013'!O54</f>
        <v>5.1396644429078618E-2</v>
      </c>
      <c r="D63" s="20">
        <f t="shared" si="1"/>
        <v>4837.3540747506831</v>
      </c>
      <c r="E63" s="20">
        <f t="shared" si="3"/>
        <v>4723.1679385684438</v>
      </c>
      <c r="F63" s="20">
        <f t="shared" si="3"/>
        <v>4883.5173314157146</v>
      </c>
      <c r="G63" s="20">
        <f t="shared" si="3"/>
        <v>5154.5589245941328</v>
      </c>
      <c r="H63" s="20">
        <f t="shared" si="3"/>
        <v>4971.2529923389657</v>
      </c>
      <c r="I63" s="20">
        <f t="shared" si="3"/>
        <v>4995.4217056376465</v>
      </c>
      <c r="J63" s="20">
        <f t="shared" si="3"/>
        <v>5392.3007573419791</v>
      </c>
      <c r="K63" s="20">
        <f t="shared" si="3"/>
        <v>5280.9277333211739</v>
      </c>
      <c r="L63" s="20">
        <f t="shared" si="3"/>
        <v>4673.5377968099938</v>
      </c>
      <c r="M63" s="20">
        <f t="shared" si="3"/>
        <v>6035.016261641611</v>
      </c>
      <c r="N63" s="20">
        <f t="shared" si="3"/>
        <v>5364.4588992369881</v>
      </c>
      <c r="O63" s="20">
        <f t="shared" si="3"/>
        <v>5364.4588992369881</v>
      </c>
      <c r="P63" s="123">
        <f t="shared" si="4"/>
        <v>61675.973314894327</v>
      </c>
    </row>
    <row r="64" spans="2:16" x14ac:dyDescent="0.2">
      <c r="B64" s="194" t="s">
        <v>39</v>
      </c>
      <c r="C64" s="195">
        <f>'Información Op. 2013'!O55</f>
        <v>4.4605686788739836E-2</v>
      </c>
      <c r="D64" s="192">
        <f t="shared" si="1"/>
        <v>4198.2021032969506</v>
      </c>
      <c r="E64" s="192">
        <f t="shared" si="3"/>
        <v>4099.1032013600816</v>
      </c>
      <c r="F64" s="192">
        <f t="shared" si="3"/>
        <v>4238.265881600415</v>
      </c>
      <c r="G64" s="192">
        <f t="shared" si="3"/>
        <v>4473.4951761649727</v>
      </c>
      <c r="H64" s="192">
        <f t="shared" si="3"/>
        <v>4314.4091678950253</v>
      </c>
      <c r="I64" s="192">
        <f t="shared" si="3"/>
        <v>4335.3845071893129</v>
      </c>
      <c r="J64" s="192">
        <f t="shared" si="3"/>
        <v>4679.8245551726741</v>
      </c>
      <c r="K64" s="192">
        <f t="shared" si="3"/>
        <v>4583.1670733201008</v>
      </c>
      <c r="L64" s="192">
        <f t="shared" si="3"/>
        <v>4056.0306120276614</v>
      </c>
      <c r="M64" s="192">
        <f t="shared" si="3"/>
        <v>5237.6190726458117</v>
      </c>
      <c r="N64" s="192">
        <f t="shared" si="3"/>
        <v>4655.6613979073882</v>
      </c>
      <c r="O64" s="192">
        <f t="shared" si="3"/>
        <v>4655.6613979073882</v>
      </c>
      <c r="P64" s="123">
        <f t="shared" si="4"/>
        <v>53526.824146487779</v>
      </c>
    </row>
    <row r="65" spans="2:16" x14ac:dyDescent="0.2">
      <c r="B65" s="194" t="s">
        <v>44</v>
      </c>
      <c r="C65" s="195">
        <f>'Información Op. 2013'!O56</f>
        <v>8.6115690225021038E-3</v>
      </c>
      <c r="D65" s="192">
        <f t="shared" si="1"/>
        <v>810.5044398079217</v>
      </c>
      <c r="E65" s="192">
        <f t="shared" si="3"/>
        <v>791.37241661712665</v>
      </c>
      <c r="F65" s="192">
        <f t="shared" si="3"/>
        <v>818.23914847402853</v>
      </c>
      <c r="G65" s="192">
        <f t="shared" si="3"/>
        <v>863.65249040621745</v>
      </c>
      <c r="H65" s="192">
        <f t="shared" si="3"/>
        <v>832.93936301464839</v>
      </c>
      <c r="I65" s="192">
        <f t="shared" si="3"/>
        <v>836.98885972924131</v>
      </c>
      <c r="J65" s="192">
        <f t="shared" si="3"/>
        <v>903.48641779556897</v>
      </c>
      <c r="K65" s="192">
        <f t="shared" si="3"/>
        <v>884.82573489975471</v>
      </c>
      <c r="L65" s="192">
        <f t="shared" si="3"/>
        <v>783.05682722219638</v>
      </c>
      <c r="M65" s="192">
        <f t="shared" si="3"/>
        <v>1011.1741664528939</v>
      </c>
      <c r="N65" s="192">
        <f t="shared" si="3"/>
        <v>898.8214812914614</v>
      </c>
      <c r="O65" s="192">
        <f t="shared" si="3"/>
        <v>898.8214812914614</v>
      </c>
      <c r="P65" s="123">
        <f t="shared" si="4"/>
        <v>10333.882827002521</v>
      </c>
    </row>
    <row r="66" spans="2:16" x14ac:dyDescent="0.2">
      <c r="B66" s="194" t="s">
        <v>45</v>
      </c>
      <c r="C66" s="195">
        <f>'Información Op. 2013'!O57</f>
        <v>3.448089975770864E-3</v>
      </c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23">
        <f t="shared" si="4"/>
        <v>0</v>
      </c>
    </row>
    <row r="67" spans="2:16" x14ac:dyDescent="0.2">
      <c r="B67" s="194" t="s">
        <v>154</v>
      </c>
      <c r="C67" s="195">
        <f>'Información Op. 2013'!O58</f>
        <v>9.3588643177940209E-4</v>
      </c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23">
        <f t="shared" si="4"/>
        <v>0</v>
      </c>
    </row>
    <row r="68" spans="2:16" x14ac:dyDescent="0.2">
      <c r="B68" s="194" t="s">
        <v>41</v>
      </c>
      <c r="C68" s="195">
        <f>'Información Op. 2013'!O59</f>
        <v>7.6987787117132653E-2</v>
      </c>
      <c r="D68" s="192">
        <f t="shared" si="1"/>
        <v>7245.9435796629114</v>
      </c>
      <c r="E68" s="192">
        <f t="shared" si="3"/>
        <v>7074.9024924134001</v>
      </c>
      <c r="F68" s="192">
        <f t="shared" si="3"/>
        <v>7315.0921985317009</v>
      </c>
      <c r="G68" s="192">
        <f t="shared" si="3"/>
        <v>7721.0893741703239</v>
      </c>
      <c r="H68" s="192">
        <f t="shared" si="3"/>
        <v>7446.5127311515043</v>
      </c>
      <c r="I68" s="192">
        <f t="shared" si="3"/>
        <v>7482.7154010923668</v>
      </c>
      <c r="J68" s="192">
        <f t="shared" si="3"/>
        <v>8077.2063505166007</v>
      </c>
      <c r="K68" s="192">
        <f t="shared" si="3"/>
        <v>7910.3790652112984</v>
      </c>
      <c r="L68" s="192">
        <f t="shared" si="3"/>
        <v>7000.5607755418823</v>
      </c>
      <c r="M68" s="192">
        <f t="shared" si="3"/>
        <v>9039.9393260161778</v>
      </c>
      <c r="N68" s="192">
        <f t="shared" si="3"/>
        <v>8035.5016231254913</v>
      </c>
      <c r="O68" s="192">
        <f t="shared" si="3"/>
        <v>8035.5016231254913</v>
      </c>
      <c r="P68" s="123">
        <f t="shared" si="4"/>
        <v>92385.344540559134</v>
      </c>
    </row>
    <row r="69" spans="2:16" x14ac:dyDescent="0.2">
      <c r="B69" s="194" t="s">
        <v>102</v>
      </c>
      <c r="C69" s="195">
        <f>'Información Op. 2013'!O60</f>
        <v>0.21955442635084391</v>
      </c>
      <c r="D69" s="192">
        <f>(D$57*$C69)+325+88</f>
        <v>21077.043552557716</v>
      </c>
      <c r="E69" s="192">
        <f>E$57*$C69+317+86</f>
        <v>20579.267124637317</v>
      </c>
      <c r="F69" s="192">
        <f>F$57*$C69+328+89</f>
        <v>21278.24217219841</v>
      </c>
      <c r="G69" s="192">
        <f>G$57*$C69+346+94</f>
        <v>22459.068372109592</v>
      </c>
      <c r="H69" s="192">
        <f>H$57*$C69+334+91</f>
        <v>21661.028365314516</v>
      </c>
      <c r="I69" s="192">
        <f>I$57*$C69+335+91</f>
        <v>21765.271447482108</v>
      </c>
      <c r="J69" s="192">
        <f>J$57*$C69+362+98</f>
        <v>23494.645795273431</v>
      </c>
      <c r="K69" s="192">
        <f>K$57*$C69+354+96</f>
        <v>23008.886323590643</v>
      </c>
      <c r="L69" s="192">
        <f>L$57*$C69+314+85</f>
        <v>20363.258783926995</v>
      </c>
      <c r="M69" s="192">
        <f>M$57*$C69+405+110</f>
        <v>26295.175886211873</v>
      </c>
      <c r="N69" s="192">
        <f>N$57*$C69+360+98</f>
        <v>23373.711898854999</v>
      </c>
      <c r="O69" s="192">
        <f>O$57*$C69+360+95</f>
        <v>23370.711898854999</v>
      </c>
      <c r="P69" s="123">
        <f t="shared" si="4"/>
        <v>268726.31162101257</v>
      </c>
    </row>
    <row r="70" spans="2:16" x14ac:dyDescent="0.2">
      <c r="B70" s="194" t="s">
        <v>153</v>
      </c>
      <c r="C70" s="195">
        <f>'Información Op. 2013'!O61</f>
        <v>1.2842420327349603E-2</v>
      </c>
      <c r="D70" s="192">
        <f t="shared" si="1"/>
        <v>1208.704089347478</v>
      </c>
      <c r="E70" s="192">
        <f t="shared" si="3"/>
        <v>1180.1725310580687</v>
      </c>
      <c r="F70" s="192">
        <f t="shared" si="3"/>
        <v>1220.2388491038221</v>
      </c>
      <c r="G70" s="192">
        <f t="shared" si="3"/>
        <v>1287.9636997133764</v>
      </c>
      <c r="H70" s="192">
        <f t="shared" si="3"/>
        <v>1242.1612576149257</v>
      </c>
      <c r="I70" s="192">
        <f t="shared" si="3"/>
        <v>1248.2002661611191</v>
      </c>
      <c r="J70" s="192">
        <f t="shared" si="3"/>
        <v>1347.3679775501394</v>
      </c>
      <c r="K70" s="192">
        <f t="shared" si="3"/>
        <v>1319.5393283554076</v>
      </c>
      <c r="L70" s="192">
        <f t="shared" si="3"/>
        <v>1167.7715047177703</v>
      </c>
      <c r="M70" s="192">
        <f t="shared" si="3"/>
        <v>1507.9625601110677</v>
      </c>
      <c r="N70" s="192">
        <f t="shared" si="3"/>
        <v>1340.4111645431713</v>
      </c>
      <c r="O70" s="192">
        <f t="shared" si="3"/>
        <v>1340.4111645431713</v>
      </c>
      <c r="P70" s="123">
        <f t="shared" si="4"/>
        <v>15410.904392819515</v>
      </c>
    </row>
    <row r="71" spans="2:16" x14ac:dyDescent="0.2">
      <c r="B71" t="s">
        <v>37</v>
      </c>
      <c r="C71" s="132">
        <f>'Información Op. 2013'!O62</f>
        <v>9.9071858492943241E-2</v>
      </c>
      <c r="D71" s="20">
        <f t="shared" si="1"/>
        <v>9324.4542264868123</v>
      </c>
      <c r="E71" s="20">
        <f t="shared" si="3"/>
        <v>9104.3497264486268</v>
      </c>
      <c r="F71" s="20">
        <f t="shared" si="3"/>
        <v>9413.4382386279631</v>
      </c>
      <c r="G71" s="20">
        <f t="shared" si="3"/>
        <v>9935.896361397583</v>
      </c>
      <c r="H71" s="20">
        <f t="shared" si="3"/>
        <v>9582.5569637962417</v>
      </c>
      <c r="I71" s="20">
        <f t="shared" si="3"/>
        <v>9629.1444282208395</v>
      </c>
      <c r="J71" s="20">
        <f t="shared" si="3"/>
        <v>10394.166068953078</v>
      </c>
      <c r="K71" s="20">
        <f t="shared" si="3"/>
        <v>10179.484106768836</v>
      </c>
      <c r="L71" s="20">
        <f t="shared" si="3"/>
        <v>9008.6829677351743</v>
      </c>
      <c r="M71" s="20">
        <f t="shared" si="3"/>
        <v>11633.060557114808</v>
      </c>
      <c r="N71" s="20">
        <f t="shared" si="3"/>
        <v>10340.498272990941</v>
      </c>
      <c r="O71" s="20">
        <f t="shared" si="3"/>
        <v>10340.498272990941</v>
      </c>
      <c r="P71" s="123">
        <f t="shared" si="4"/>
        <v>118886.23019153184</v>
      </c>
    </row>
    <row r="72" spans="2:16" x14ac:dyDescent="0.2">
      <c r="B72" s="134"/>
      <c r="C72" s="132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23"/>
    </row>
    <row r="73" spans="2:16" x14ac:dyDescent="0.2">
      <c r="B73" s="114"/>
      <c r="C73" s="115"/>
      <c r="D73" s="21">
        <f t="shared" ref="D73:O73" si="5">SUM(D60:D71)/SUM($P$60:$P$71)</f>
        <v>7.8432051614476736E-2</v>
      </c>
      <c r="E73" s="21">
        <f t="shared" si="5"/>
        <v>7.6580447408915467E-2</v>
      </c>
      <c r="F73" s="21">
        <f t="shared" si="5"/>
        <v>7.9180583876713395E-2</v>
      </c>
      <c r="G73" s="21">
        <f t="shared" si="5"/>
        <v>8.3575089709634121E-2</v>
      </c>
      <c r="H73" s="21">
        <f t="shared" si="5"/>
        <v>8.0603539715050271E-2</v>
      </c>
      <c r="I73" s="21">
        <f t="shared" si="5"/>
        <v>8.0994520983609319E-2</v>
      </c>
      <c r="J73" s="21">
        <f t="shared" si="5"/>
        <v>8.7429547986393047E-2</v>
      </c>
      <c r="K73" s="21">
        <f t="shared" si="5"/>
        <v>8.5623354965458143E-2</v>
      </c>
      <c r="L73" s="21">
        <f t="shared" si="5"/>
        <v>7.5775950311286255E-2</v>
      </c>
      <c r="M73" s="21">
        <f t="shared" si="5"/>
        <v>9.7850535500767569E-2</v>
      </c>
      <c r="N73" s="21">
        <f t="shared" si="5"/>
        <v>8.6978438963610016E-2</v>
      </c>
      <c r="O73" s="21">
        <f t="shared" si="5"/>
        <v>8.6975938964085661E-2</v>
      </c>
      <c r="P73" s="123">
        <f>SUM(P60:P71)</f>
        <v>1200000.2283109389</v>
      </c>
    </row>
    <row r="74" spans="2:16" x14ac:dyDescent="0.2">
      <c r="B74" s="114"/>
      <c r="C74" s="115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</row>
    <row r="75" spans="2:16" x14ac:dyDescent="0.2">
      <c r="B75" s="18"/>
      <c r="D75" s="124" t="s">
        <v>5</v>
      </c>
      <c r="E75" s="124" t="s">
        <v>6</v>
      </c>
      <c r="F75" s="124" t="s">
        <v>7</v>
      </c>
      <c r="G75" s="124" t="s">
        <v>8</v>
      </c>
      <c r="H75" s="124" t="s">
        <v>9</v>
      </c>
      <c r="I75" s="124" t="s">
        <v>10</v>
      </c>
      <c r="J75" s="124" t="s">
        <v>11</v>
      </c>
      <c r="K75" s="124" t="s">
        <v>12</v>
      </c>
      <c r="L75" s="124" t="s">
        <v>13</v>
      </c>
      <c r="M75" s="124" t="s">
        <v>14</v>
      </c>
      <c r="N75" s="124" t="s">
        <v>15</v>
      </c>
      <c r="O75" s="124" t="s">
        <v>16</v>
      </c>
    </row>
    <row r="76" spans="2:16" x14ac:dyDescent="0.2">
      <c r="B76" s="232" t="s">
        <v>216</v>
      </c>
      <c r="D76">
        <v>10.974137931034477</v>
      </c>
      <c r="E76">
        <v>11.068965517241374</v>
      </c>
      <c r="F76">
        <v>11.16379310344827</v>
      </c>
      <c r="G76">
        <v>11.258620689655165</v>
      </c>
      <c r="H76">
        <v>11.353448275862062</v>
      </c>
      <c r="I76">
        <v>11.448275862068957</v>
      </c>
      <c r="J76">
        <v>11.543103448275854</v>
      </c>
      <c r="K76">
        <v>11.637931034482751</v>
      </c>
      <c r="L76">
        <v>11.732758620689646</v>
      </c>
      <c r="M76">
        <v>11.827586206896543</v>
      </c>
      <c r="N76">
        <v>11.922413793103438</v>
      </c>
      <c r="O76">
        <v>12.017241379310335</v>
      </c>
    </row>
    <row r="78" spans="2:16" x14ac:dyDescent="0.2">
      <c r="C78" s="575">
        <v>12.489999999999993</v>
      </c>
      <c r="D78">
        <v>12.729999999999993</v>
      </c>
      <c r="E78">
        <v>12.839999999999993</v>
      </c>
      <c r="F78">
        <v>12.949999999999992</v>
      </c>
      <c r="G78">
        <v>13.059999999999992</v>
      </c>
      <c r="H78">
        <v>13.169999999999991</v>
      </c>
      <c r="I78">
        <v>13.27999999999999</v>
      </c>
      <c r="J78">
        <v>13.38999999999999</v>
      </c>
      <c r="K78">
        <v>13.499999999999989</v>
      </c>
      <c r="L78">
        <v>13.609999999999989</v>
      </c>
      <c r="M78">
        <v>13.719999999999988</v>
      </c>
      <c r="N78">
        <v>13.829999999999988</v>
      </c>
      <c r="O78">
        <v>13.939999999999987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D37"/>
  <sheetViews>
    <sheetView tabSelected="1" zoomScaleNormal="100" workbookViewId="0">
      <pane xSplit="3" ySplit="5" topLeftCell="O6" activePane="bottomRight" state="frozen"/>
      <selection activeCell="F11" sqref="F11:Q16"/>
      <selection pane="topRight" activeCell="F11" sqref="F11:Q16"/>
      <selection pane="bottomLeft" activeCell="F11" sqref="F11:Q16"/>
      <selection pane="bottomRight" activeCell="AH20" sqref="AH20"/>
    </sheetView>
  </sheetViews>
  <sheetFormatPr baseColWidth="10" defaultRowHeight="12.75" x14ac:dyDescent="0.2"/>
  <cols>
    <col min="1" max="1" width="33.7109375" customWidth="1"/>
    <col min="2" max="2" width="14.7109375" customWidth="1"/>
    <col min="3" max="3" width="7.42578125" customWidth="1"/>
    <col min="4" max="14" width="12.85546875" customWidth="1"/>
    <col min="15" max="15" width="12.28515625" style="8" customWidth="1"/>
    <col min="16" max="16" width="31.7109375" hidden="1" customWidth="1"/>
    <col min="17" max="17" width="13.7109375" hidden="1" customWidth="1"/>
    <col min="18" max="18" width="6.7109375" hidden="1" customWidth="1"/>
    <col min="19" max="19" width="13.7109375" hidden="1" customWidth="1"/>
    <col min="20" max="20" width="6.7109375" hidden="1" customWidth="1"/>
    <col min="21" max="21" width="14.140625" hidden="1" customWidth="1"/>
    <col min="22" max="22" width="6.7109375" hidden="1" customWidth="1"/>
    <col min="23" max="23" width="13.7109375" hidden="1" customWidth="1"/>
    <col min="24" max="24" width="6.7109375" hidden="1" customWidth="1"/>
    <col min="25" max="25" width="14.140625" hidden="1" customWidth="1"/>
    <col min="26" max="26" width="7.28515625" hidden="1" customWidth="1"/>
    <col min="27" max="27" width="13.7109375" hidden="1" customWidth="1"/>
    <col min="28" max="28" width="6.7109375" hidden="1" customWidth="1"/>
    <col min="29" max="29" width="14.7109375" hidden="1" customWidth="1"/>
    <col min="30" max="30" width="6.7109375" hidden="1" customWidth="1"/>
    <col min="31" max="31" width="13.7109375" hidden="1" customWidth="1"/>
    <col min="32" max="32" width="11.7109375" style="359" hidden="1" customWidth="1"/>
    <col min="34" max="34" width="12.85546875" style="587" bestFit="1" customWidth="1"/>
  </cols>
  <sheetData>
    <row r="1" spans="1:56" ht="19.5" customHeight="1" x14ac:dyDescent="0.25">
      <c r="A1" s="358" t="s">
        <v>0</v>
      </c>
      <c r="O1"/>
      <c r="P1" s="358" t="s">
        <v>0</v>
      </c>
    </row>
    <row r="2" spans="1:56" ht="20.25" customHeight="1" x14ac:dyDescent="0.25">
      <c r="A2" s="358" t="s">
        <v>664</v>
      </c>
      <c r="D2" s="11" t="s">
        <v>17</v>
      </c>
      <c r="H2" s="22"/>
      <c r="I2" s="590">
        <f>0.5/3.5</f>
        <v>0.14285714285714285</v>
      </c>
      <c r="J2" s="7" t="s">
        <v>17</v>
      </c>
      <c r="O2"/>
      <c r="P2" s="358" t="s">
        <v>665</v>
      </c>
      <c r="S2" s="11"/>
    </row>
    <row r="3" spans="1:56" ht="20.25" customHeight="1" thickBot="1" x14ac:dyDescent="0.3">
      <c r="A3" s="358" t="s">
        <v>698</v>
      </c>
      <c r="D3" s="462" t="s">
        <v>667</v>
      </c>
      <c r="E3" s="462"/>
      <c r="F3" s="462" t="str">
        <f>[4]!MESPROCESO</f>
        <v>Mayo</v>
      </c>
      <c r="G3" s="586">
        <f>MATCH(F3,D5:O5,0)</f>
        <v>5</v>
      </c>
      <c r="H3" s="22"/>
      <c r="O3"/>
      <c r="P3" s="358" t="s">
        <v>666</v>
      </c>
      <c r="AF3" s="360" t="s">
        <v>3</v>
      </c>
    </row>
    <row r="4" spans="1:56" s="347" customFormat="1" ht="26.25" thickTop="1" x14ac:dyDescent="0.2">
      <c r="A4" s="361"/>
      <c r="B4" s="362" t="str">
        <f>caratula!B26</f>
        <v>PRESUPUESTO  2014</v>
      </c>
      <c r="C4" s="363"/>
      <c r="D4" s="364" t="s">
        <v>17</v>
      </c>
      <c r="E4" s="364" t="s">
        <v>17</v>
      </c>
      <c r="F4" s="364" t="s">
        <v>17</v>
      </c>
      <c r="G4" s="364" t="s">
        <v>17</v>
      </c>
      <c r="H4" s="364" t="s">
        <v>17</v>
      </c>
      <c r="I4" s="364" t="s">
        <v>17</v>
      </c>
      <c r="J4" s="364" t="s">
        <v>17</v>
      </c>
      <c r="K4" s="364" t="s">
        <v>17</v>
      </c>
      <c r="L4" s="364" t="s">
        <v>17</v>
      </c>
      <c r="M4" s="364" t="s">
        <v>17</v>
      </c>
      <c r="N4" s="364" t="s">
        <v>17</v>
      </c>
      <c r="O4" s="9" t="s">
        <v>17</v>
      </c>
      <c r="P4" s="365"/>
      <c r="Q4" s="3"/>
      <c r="R4" s="3"/>
      <c r="S4" s="3"/>
      <c r="T4" s="3"/>
      <c r="U4" s="3" t="s">
        <v>668</v>
      </c>
      <c r="V4" s="3"/>
      <c r="W4" s="3"/>
      <c r="X4" s="3"/>
      <c r="Y4" s="3" t="s">
        <v>1</v>
      </c>
      <c r="Z4" s="3"/>
      <c r="AA4" s="3"/>
      <c r="AB4" s="364"/>
      <c r="AC4" s="3" t="s">
        <v>669</v>
      </c>
      <c r="AD4" s="9"/>
      <c r="AF4" s="366"/>
      <c r="AH4" s="588"/>
      <c r="AK4" s="580" t="s">
        <v>743</v>
      </c>
      <c r="AL4" s="580" t="s">
        <v>220</v>
      </c>
      <c r="AM4" s="580" t="s">
        <v>744</v>
      </c>
      <c r="AN4" s="580" t="s">
        <v>745</v>
      </c>
      <c r="AO4" s="580" t="s">
        <v>746</v>
      </c>
      <c r="AP4" s="580" t="s">
        <v>747</v>
      </c>
      <c r="AQ4" s="580" t="s">
        <v>748</v>
      </c>
      <c r="AR4" s="580" t="s">
        <v>749</v>
      </c>
      <c r="AS4" s="580" t="s">
        <v>750</v>
      </c>
      <c r="AT4" s="580" t="s">
        <v>751</v>
      </c>
      <c r="AU4" s="580" t="s">
        <v>752</v>
      </c>
      <c r="AV4" s="581" t="s">
        <v>753</v>
      </c>
      <c r="AW4" s="580" t="s">
        <v>754</v>
      </c>
      <c r="AX4" s="580" t="s">
        <v>755</v>
      </c>
      <c r="AY4" s="580" t="s">
        <v>756</v>
      </c>
      <c r="AZ4" s="580" t="s">
        <v>757</v>
      </c>
      <c r="BA4" s="580" t="s">
        <v>758</v>
      </c>
      <c r="BB4" s="580" t="s">
        <v>759</v>
      </c>
      <c r="BC4" s="580" t="s">
        <v>760</v>
      </c>
      <c r="BD4" s="580" t="s">
        <v>761</v>
      </c>
    </row>
    <row r="5" spans="1:56" s="347" customFormat="1" ht="13.5" thickBot="1" x14ac:dyDescent="0.25">
      <c r="A5" s="367" t="s">
        <v>2</v>
      </c>
      <c r="B5" s="368" t="s">
        <v>20</v>
      </c>
      <c r="C5" s="369" t="s">
        <v>4</v>
      </c>
      <c r="D5" s="370" t="s">
        <v>22</v>
      </c>
      <c r="E5" s="370" t="s">
        <v>23</v>
      </c>
      <c r="F5" s="370" t="s">
        <v>24</v>
      </c>
      <c r="G5" s="370" t="s">
        <v>25</v>
      </c>
      <c r="H5" s="370" t="s">
        <v>26</v>
      </c>
      <c r="I5" s="370" t="s">
        <v>27</v>
      </c>
      <c r="J5" s="370" t="s">
        <v>28</v>
      </c>
      <c r="K5" s="370" t="s">
        <v>29</v>
      </c>
      <c r="L5" s="370" t="s">
        <v>30</v>
      </c>
      <c r="M5" s="370" t="s">
        <v>31</v>
      </c>
      <c r="N5" s="370" t="s">
        <v>32</v>
      </c>
      <c r="O5" s="564" t="s">
        <v>33</v>
      </c>
      <c r="P5" s="371" t="s">
        <v>2</v>
      </c>
      <c r="Q5" s="4" t="s">
        <v>670</v>
      </c>
      <c r="R5" s="4" t="s">
        <v>4</v>
      </c>
      <c r="S5" s="4" t="s">
        <v>671</v>
      </c>
      <c r="T5" s="4" t="s">
        <v>4</v>
      </c>
      <c r="U5" s="4" t="s">
        <v>672</v>
      </c>
      <c r="V5" s="4" t="s">
        <v>4</v>
      </c>
      <c r="W5" s="4" t="s">
        <v>673</v>
      </c>
      <c r="X5" s="4" t="s">
        <v>4</v>
      </c>
      <c r="Y5" s="4" t="s">
        <v>674</v>
      </c>
      <c r="Z5" s="4" t="s">
        <v>4</v>
      </c>
      <c r="AA5" s="4" t="s">
        <v>675</v>
      </c>
      <c r="AB5" s="4" t="s">
        <v>4</v>
      </c>
      <c r="AC5" s="372" t="s">
        <v>676</v>
      </c>
      <c r="AD5" s="2" t="s">
        <v>4</v>
      </c>
      <c r="AF5" s="366"/>
      <c r="AH5" s="588"/>
      <c r="AK5" s="582" t="s">
        <v>762</v>
      </c>
      <c r="AL5" s="583" t="s">
        <v>763</v>
      </c>
      <c r="AM5" s="582" t="s">
        <v>764</v>
      </c>
      <c r="AN5" s="582" t="s">
        <v>765</v>
      </c>
      <c r="AO5" s="582">
        <v>2013</v>
      </c>
      <c r="AP5" s="582" t="s">
        <v>766</v>
      </c>
      <c r="AQ5" s="582">
        <v>12000</v>
      </c>
      <c r="AR5" s="582">
        <v>1000</v>
      </c>
      <c r="AS5" s="582">
        <v>1000</v>
      </c>
      <c r="AT5" s="582">
        <v>1000</v>
      </c>
      <c r="AU5" s="582">
        <v>1000</v>
      </c>
      <c r="AV5" s="584">
        <v>1000</v>
      </c>
      <c r="AW5" s="582">
        <v>1000</v>
      </c>
      <c r="AX5" s="582">
        <v>1000</v>
      </c>
      <c r="AY5" s="582">
        <v>1000</v>
      </c>
      <c r="AZ5" s="582">
        <v>1000</v>
      </c>
      <c r="BA5" s="582">
        <v>1000</v>
      </c>
      <c r="BB5" s="582">
        <v>1000</v>
      </c>
      <c r="BC5" s="582">
        <v>1000</v>
      </c>
      <c r="BD5" s="582" t="s">
        <v>767</v>
      </c>
    </row>
    <row r="6" spans="1:56" x14ac:dyDescent="0.2">
      <c r="A6" s="1" t="s">
        <v>17</v>
      </c>
      <c r="B6" s="373"/>
      <c r="C6" s="374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56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  <c r="AC6" s="5"/>
      <c r="AD6" s="376"/>
    </row>
    <row r="7" spans="1:56" ht="13.5" thickBot="1" x14ac:dyDescent="0.25">
      <c r="A7" s="377" t="s">
        <v>706</v>
      </c>
      <c r="B7" s="378">
        <f>SUM(D7:O7)</f>
        <v>3073313.2793847332</v>
      </c>
      <c r="C7" s="379"/>
      <c r="D7" s="380">
        <f>'Gtos Transp 2014'!D8</f>
        <v>241045.3166115972</v>
      </c>
      <c r="E7" s="380">
        <f>'Gtos Transp 2014'!E8</f>
        <v>235355.42231744813</v>
      </c>
      <c r="F7" s="380">
        <f>'Gtos Transp 2014'!F8</f>
        <v>243345.63133875901</v>
      </c>
      <c r="G7" s="380">
        <f>'Gtos Transp 2014'!G8</f>
        <v>256851.63185743525</v>
      </c>
      <c r="H7" s="380">
        <f>'Gtos Transp 2014'!H8</f>
        <v>247717.49865270226</v>
      </c>
      <c r="I7" s="380">
        <f>'Gtos Transp 2014'!I8</f>
        <v>248921.82545184722</v>
      </c>
      <c r="J7" s="380">
        <f>'Gtos Transp 2014'!J8</f>
        <v>268698.30556810007</v>
      </c>
      <c r="K7" s="380">
        <f>'Gtos Transp 2014'!K8</f>
        <v>263148.58863147703</v>
      </c>
      <c r="L7" s="380">
        <f>'Gtos Transp 2014'!L8</f>
        <v>232882.35273255102</v>
      </c>
      <c r="M7" s="380">
        <f>'Gtos Transp 2014'!M8</f>
        <v>300724.81424021372</v>
      </c>
      <c r="N7" s="380">
        <f>'Gtos Transp 2014'!N8</f>
        <v>267310.94599130109</v>
      </c>
      <c r="O7" s="566">
        <f>'Gtos Transp 2014'!O8</f>
        <v>267310.94599130109</v>
      </c>
      <c r="P7" s="381" t="s">
        <v>677</v>
      </c>
      <c r="Q7" s="382">
        <f>SUM(D7:F7)</f>
        <v>719746.37026780436</v>
      </c>
      <c r="R7" s="382"/>
      <c r="S7" s="382">
        <f>SUM(G7:I7)</f>
        <v>753490.95596198482</v>
      </c>
      <c r="T7" s="382"/>
      <c r="U7" s="382">
        <f>+Q7+S7</f>
        <v>1473237.3262297893</v>
      </c>
      <c r="V7" s="382"/>
      <c r="W7" s="382">
        <f>SUM(J7:L7)</f>
        <v>764729.24693212821</v>
      </c>
      <c r="X7" s="382"/>
      <c r="Y7" s="382">
        <f>+U7+W7</f>
        <v>2237966.5731619177</v>
      </c>
      <c r="Z7" s="382"/>
      <c r="AA7" s="382">
        <f>SUM(M7:O7)</f>
        <v>835346.7062228159</v>
      </c>
      <c r="AB7" s="383"/>
      <c r="AC7" s="382">
        <f>(+Q7+S7+W7+AA7)</f>
        <v>3073313.2793847336</v>
      </c>
      <c r="AD7" s="384"/>
      <c r="AE7" s="7" t="s">
        <v>17</v>
      </c>
      <c r="AF7" s="385">
        <f ca="1">SUM(D7:OFFSET(D7,0,$G$3-1))</f>
        <v>1224315.5007779419</v>
      </c>
      <c r="AH7" s="587">
        <f ca="1">SUM(D7:OFFSET(D7,0,$G$3-1))</f>
        <v>1224315.5007779419</v>
      </c>
      <c r="AK7" s="582" t="s">
        <v>762</v>
      </c>
      <c r="AL7" s="172" t="s">
        <v>776</v>
      </c>
    </row>
    <row r="8" spans="1:56" ht="13.5" thickBot="1" x14ac:dyDescent="0.25">
      <c r="A8" s="377" t="s">
        <v>707</v>
      </c>
      <c r="B8" s="378">
        <f>SUM(D8:O8)</f>
        <v>228180.08294043317</v>
      </c>
      <c r="C8" s="379"/>
      <c r="D8" s="380">
        <f>'Gtos Transp 2014'!D10</f>
        <v>17896.561572742881</v>
      </c>
      <c r="E8" s="380">
        <f>'Gtos Transp 2014'!E10</f>
        <v>17474.111781935626</v>
      </c>
      <c r="F8" s="380">
        <f>'Gtos Transp 2014'!F10</f>
        <v>18067.349890599613</v>
      </c>
      <c r="G8" s="380">
        <f>'Gtos Transp 2014'!G10</f>
        <v>19070.111418107168</v>
      </c>
      <c r="H8" s="380">
        <f>'Gtos Transp 2014'!H10</f>
        <v>18391.941936907322</v>
      </c>
      <c r="I8" s="380">
        <f>'Gtos Transp 2014'!I10</f>
        <v>18481.357939746867</v>
      </c>
      <c r="J8" s="380">
        <f>'Gtos Transp 2014'!J10</f>
        <v>19949.675180122638</v>
      </c>
      <c r="K8" s="380">
        <f>'Gtos Transp 2014'!K10</f>
        <v>19537.632945642697</v>
      </c>
      <c r="L8" s="380">
        <f>'Gtos Transp 2014'!L10</f>
        <v>17290.497170700077</v>
      </c>
      <c r="M8" s="380">
        <f>'Gtos Transp 2014'!M10</f>
        <v>22327.503517414174</v>
      </c>
      <c r="N8" s="380">
        <f>'Gtos Transp 2014'!N10</f>
        <v>19846.669793257046</v>
      </c>
      <c r="O8" s="566">
        <f>'Gtos Transp 2014'!O10</f>
        <v>19846.669793257046</v>
      </c>
      <c r="P8" s="381" t="s">
        <v>678</v>
      </c>
      <c r="Q8" s="382">
        <f>SUM(D9:F9)</f>
        <v>1569.5156572515793</v>
      </c>
      <c r="R8" s="382"/>
      <c r="S8" s="382">
        <f>SUM(G9:I9)</f>
        <v>1643.1008225019123</v>
      </c>
      <c r="T8" s="382"/>
      <c r="U8" s="382">
        <f>+Q8+S8</f>
        <v>3212.6164797534916</v>
      </c>
      <c r="V8" s="382"/>
      <c r="W8" s="382">
        <f>SUM(J9:L9)</f>
        <v>1667.6076131812817</v>
      </c>
      <c r="X8" s="382"/>
      <c r="Y8" s="382">
        <f>+U8+W8</f>
        <v>4880.2240929347736</v>
      </c>
      <c r="Z8" s="382"/>
      <c r="AA8" s="382">
        <f>SUM(M9:O9)</f>
        <v>1821.5996478904262</v>
      </c>
      <c r="AB8" s="383"/>
      <c r="AC8" s="382">
        <f>+Q8+S8+W8+AA8</f>
        <v>6701.8237408251998</v>
      </c>
      <c r="AD8" s="384"/>
      <c r="AE8" s="7" t="s">
        <v>17</v>
      </c>
      <c r="AF8" s="385">
        <f ca="1">SUM(D9:OFFSET(D9,0,$G$3-1))</f>
        <v>2669.8048469098949</v>
      </c>
      <c r="AH8" s="587">
        <f ca="1">SUM(D8:OFFSET(D8,0,$G$3-1))</f>
        <v>90900.07660029261</v>
      </c>
      <c r="AK8" s="582" t="s">
        <v>762</v>
      </c>
      <c r="AL8" s="172" t="s">
        <v>777</v>
      </c>
    </row>
    <row r="9" spans="1:56" ht="13.5" thickBot="1" x14ac:dyDescent="0.25">
      <c r="A9" s="377" t="s">
        <v>708</v>
      </c>
      <c r="B9" s="378">
        <f>SUM(D9:O9)</f>
        <v>6701.8237408251998</v>
      </c>
      <c r="C9" s="379"/>
      <c r="D9" s="380">
        <f>'Gtos Transp 2014'!D9</f>
        <v>525.63571579846723</v>
      </c>
      <c r="E9" s="380">
        <f>'Gtos Transp 2014'!E9</f>
        <v>513.22804199602683</v>
      </c>
      <c r="F9" s="380">
        <f>'Gtos Transp 2014'!F9</f>
        <v>530.65189945708505</v>
      </c>
      <c r="G9" s="380">
        <f>'Gtos Transp 2014'!G9</f>
        <v>560.10377327900233</v>
      </c>
      <c r="H9" s="380">
        <f>'Gtos Transp 2014'!H9</f>
        <v>540.1854163793131</v>
      </c>
      <c r="I9" s="380">
        <f>'Gtos Transp 2014'!I9</f>
        <v>542.81163284359673</v>
      </c>
      <c r="J9" s="380">
        <f>'Gtos Transp 2014'!J9</f>
        <v>585.93723440270446</v>
      </c>
      <c r="K9" s="380">
        <f>'Gtos Transp 2014'!K9</f>
        <v>573.83523849808728</v>
      </c>
      <c r="L9" s="380">
        <f>'Gtos Transp 2014'!L9</f>
        <v>507.83514028048995</v>
      </c>
      <c r="M9" s="380">
        <f>'Gtos Transp 2014'!M9</f>
        <v>655.77587324055344</v>
      </c>
      <c r="N9" s="380">
        <f>'Gtos Transp 2014'!N9</f>
        <v>582.9118873249364</v>
      </c>
      <c r="O9" s="566">
        <f>'Gtos Transp 2014'!O9</f>
        <v>582.9118873249364</v>
      </c>
      <c r="P9" s="381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3"/>
      <c r="AC9" s="382"/>
      <c r="AD9" s="384"/>
      <c r="AE9" s="7"/>
      <c r="AF9" s="385"/>
      <c r="AH9" s="587">
        <f ca="1">SUM(D9:OFFSET(D9,0,$G$3-1))</f>
        <v>2669.8048469098949</v>
      </c>
      <c r="AK9" s="582" t="s">
        <v>762</v>
      </c>
      <c r="AL9" s="172"/>
    </row>
    <row r="10" spans="1:56" x14ac:dyDescent="0.2">
      <c r="A10" s="377"/>
      <c r="B10" s="378"/>
      <c r="C10" s="379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0"/>
      <c r="O10" s="566"/>
      <c r="P10" s="381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3"/>
      <c r="AC10" s="382"/>
      <c r="AD10" s="384"/>
      <c r="AE10" s="7"/>
      <c r="AF10" s="385"/>
    </row>
    <row r="11" spans="1:56" ht="13.5" thickBot="1" x14ac:dyDescent="0.25">
      <c r="A11" s="377" t="s">
        <v>709</v>
      </c>
      <c r="B11" s="378">
        <f>SUM(D11:O11)</f>
        <v>619308.9560268434</v>
      </c>
      <c r="C11" s="379"/>
      <c r="D11" s="380">
        <f>'Presupuesto Otros'!D8</f>
        <v>51609.079668903629</v>
      </c>
      <c r="E11" s="380">
        <f>'Presupuesto Otros'!E8</f>
        <v>51609.079668903629</v>
      </c>
      <c r="F11" s="380">
        <f>'Presupuesto Otros'!F8</f>
        <v>51609.079668903629</v>
      </c>
      <c r="G11" s="380">
        <f>'Presupuesto Otros'!G8</f>
        <v>51609.079668903629</v>
      </c>
      <c r="H11" s="380">
        <f>'Presupuesto Otros'!H8</f>
        <v>51609.079668903629</v>
      </c>
      <c r="I11" s="380">
        <f>'Presupuesto Otros'!I8</f>
        <v>51609.079668903629</v>
      </c>
      <c r="J11" s="380">
        <f>'Presupuesto Otros'!J8</f>
        <v>51609.079668903629</v>
      </c>
      <c r="K11" s="380">
        <f>'Presupuesto Otros'!K8</f>
        <v>51609.079668903629</v>
      </c>
      <c r="L11" s="380">
        <f>'Presupuesto Otros'!L8</f>
        <v>51609.079668903629</v>
      </c>
      <c r="M11" s="380">
        <f>'Presupuesto Otros'!M8</f>
        <v>51609.079668903629</v>
      </c>
      <c r="N11" s="380">
        <f>'Presupuesto Otros'!N8</f>
        <v>51609.079668903629</v>
      </c>
      <c r="O11" s="566">
        <f>'Presupuesto Otros'!O8</f>
        <v>51609.079668903629</v>
      </c>
      <c r="P11" s="381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3"/>
      <c r="AC11" s="382"/>
      <c r="AD11" s="384"/>
      <c r="AE11" s="7"/>
      <c r="AF11" s="385"/>
      <c r="AH11" s="587">
        <f ca="1">SUM(D11:OFFSET(D11,0,$G$3-1))</f>
        <v>258045.39834451815</v>
      </c>
      <c r="AK11" s="582" t="s">
        <v>762</v>
      </c>
    </row>
    <row r="12" spans="1:56" ht="13.5" thickBot="1" x14ac:dyDescent="0.25">
      <c r="A12" s="377" t="s">
        <v>710</v>
      </c>
      <c r="B12" s="378">
        <f>SUM(D12:O12)</f>
        <v>25200</v>
      </c>
      <c r="C12" s="379"/>
      <c r="D12" s="380">
        <f>'Presupuesto Otros'!D10</f>
        <v>2100</v>
      </c>
      <c r="E12" s="380">
        <f>'Presupuesto Otros'!E10</f>
        <v>2100</v>
      </c>
      <c r="F12" s="380">
        <f>'Presupuesto Otros'!F10</f>
        <v>2100</v>
      </c>
      <c r="G12" s="380">
        <f>'Presupuesto Otros'!G10</f>
        <v>2100</v>
      </c>
      <c r="H12" s="380">
        <f>'Presupuesto Otros'!H10</f>
        <v>2100</v>
      </c>
      <c r="I12" s="380">
        <f>'Presupuesto Otros'!I10</f>
        <v>2100</v>
      </c>
      <c r="J12" s="380">
        <f>'Presupuesto Otros'!J10</f>
        <v>2100</v>
      </c>
      <c r="K12" s="380">
        <f>'Presupuesto Otros'!K10</f>
        <v>2100</v>
      </c>
      <c r="L12" s="380">
        <f>'Presupuesto Otros'!L10</f>
        <v>2100</v>
      </c>
      <c r="M12" s="380">
        <f>'Presupuesto Otros'!M10</f>
        <v>2100</v>
      </c>
      <c r="N12" s="380">
        <f>'Presupuesto Otros'!N10</f>
        <v>2100</v>
      </c>
      <c r="O12" s="566">
        <f>'Presupuesto Otros'!O10</f>
        <v>2100</v>
      </c>
      <c r="P12" s="381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3"/>
      <c r="AC12" s="382"/>
      <c r="AD12" s="384"/>
      <c r="AE12" s="7"/>
      <c r="AF12" s="385"/>
      <c r="AH12" s="587">
        <f ca="1">SUM(D12:OFFSET(D12,0,$G$3-1))</f>
        <v>10500</v>
      </c>
      <c r="AK12" s="582" t="s">
        <v>762</v>
      </c>
    </row>
    <row r="13" spans="1:56" ht="13.5" thickBot="1" x14ac:dyDescent="0.25">
      <c r="A13" s="377" t="s">
        <v>711</v>
      </c>
      <c r="B13" s="378">
        <f>SUM(D13:O13)</f>
        <v>840</v>
      </c>
      <c r="C13" s="379"/>
      <c r="D13" s="380">
        <f>'Presupuesto Otros'!D9</f>
        <v>70</v>
      </c>
      <c r="E13" s="380">
        <f>'Presupuesto Otros'!E9</f>
        <v>70</v>
      </c>
      <c r="F13" s="380">
        <f>'Presupuesto Otros'!F9</f>
        <v>70</v>
      </c>
      <c r="G13" s="380">
        <f>'Presupuesto Otros'!G9</f>
        <v>70</v>
      </c>
      <c r="H13" s="380">
        <f>'Presupuesto Otros'!H9</f>
        <v>70</v>
      </c>
      <c r="I13" s="380">
        <f>'Presupuesto Otros'!I9</f>
        <v>70</v>
      </c>
      <c r="J13" s="380">
        <f>'Presupuesto Otros'!J9</f>
        <v>70</v>
      </c>
      <c r="K13" s="380">
        <f>'Presupuesto Otros'!K9</f>
        <v>70</v>
      </c>
      <c r="L13" s="380">
        <f>'Presupuesto Otros'!L9</f>
        <v>70</v>
      </c>
      <c r="M13" s="380">
        <f>'Presupuesto Otros'!M9</f>
        <v>70</v>
      </c>
      <c r="N13" s="380">
        <f>'Presupuesto Otros'!N9</f>
        <v>70</v>
      </c>
      <c r="O13" s="566">
        <f>'Presupuesto Otros'!O9</f>
        <v>70</v>
      </c>
      <c r="P13" s="381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3"/>
      <c r="AC13" s="382"/>
      <c r="AD13" s="384"/>
      <c r="AE13" s="7"/>
      <c r="AF13" s="385"/>
      <c r="AH13" s="587">
        <f ca="1">SUM(D13:OFFSET(D13,0,$G$3-1))</f>
        <v>350</v>
      </c>
      <c r="AK13" s="582" t="s">
        <v>762</v>
      </c>
    </row>
    <row r="14" spans="1:56" x14ac:dyDescent="0.2">
      <c r="A14" s="377"/>
      <c r="B14" s="378"/>
      <c r="C14" s="379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380"/>
      <c r="O14" s="566"/>
      <c r="P14" s="381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3"/>
      <c r="AC14" s="382"/>
      <c r="AD14" s="384"/>
      <c r="AE14" s="7"/>
      <c r="AF14" s="385"/>
    </row>
    <row r="15" spans="1:56" x14ac:dyDescent="0.2">
      <c r="A15" s="386" t="s">
        <v>679</v>
      </c>
      <c r="B15" s="378" t="s">
        <v>17</v>
      </c>
      <c r="C15" s="379"/>
      <c r="D15" s="387"/>
      <c r="E15" s="387" t="s">
        <v>17</v>
      </c>
      <c r="F15" s="387" t="s">
        <v>17</v>
      </c>
      <c r="G15" s="380" t="s">
        <v>17</v>
      </c>
      <c r="H15" s="380" t="s">
        <v>17</v>
      </c>
      <c r="I15" s="380" t="s">
        <v>17</v>
      </c>
      <c r="J15" s="380" t="s">
        <v>17</v>
      </c>
      <c r="K15" s="380" t="s">
        <v>17</v>
      </c>
      <c r="L15" s="380" t="s">
        <v>17</v>
      </c>
      <c r="M15" s="380" t="s">
        <v>17</v>
      </c>
      <c r="N15" s="380" t="s">
        <v>17</v>
      </c>
      <c r="O15" s="566" t="s">
        <v>17</v>
      </c>
      <c r="P15" s="388" t="s">
        <v>679</v>
      </c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3"/>
      <c r="AC15" s="382"/>
      <c r="AD15" s="384"/>
      <c r="AF15" s="385"/>
    </row>
    <row r="16" spans="1:56" ht="13.5" thickBot="1" x14ac:dyDescent="0.25">
      <c r="A16" s="377" t="s">
        <v>680</v>
      </c>
      <c r="B16" s="378">
        <f>SUM(D16:O16)</f>
        <v>77758797.103893921</v>
      </c>
      <c r="C16" s="379">
        <f>(B16/$B$20)*100</f>
        <v>86.259712255401325</v>
      </c>
      <c r="D16" s="380">
        <f>'Vol e Ingresos 2014'!B28</f>
        <v>5828047.6634224709</v>
      </c>
      <c r="E16" s="380">
        <f>'Vol e Ingresos 2014'!C28</f>
        <v>5934711.3598075649</v>
      </c>
      <c r="F16" s="380">
        <f>'Vol e Ingresos 2014'!D28</f>
        <v>6136192.0980845485</v>
      </c>
      <c r="G16" s="380">
        <f>'Vol e Ingresos 2014'!E28</f>
        <v>6476758.7776813442</v>
      </c>
      <c r="H16" s="380">
        <f>'Vol e Ingresos 2014'!F28</f>
        <v>6246432.9005107395</v>
      </c>
      <c r="I16" s="380">
        <f>'Vol e Ingresos 2014'!G28</f>
        <v>6276801.1489472073</v>
      </c>
      <c r="J16" s="380">
        <f>'Vol e Ingresos 2014'!H28</f>
        <v>6861532.5959873181</v>
      </c>
      <c r="K16" s="380">
        <f>'Vol e Ingresos 2014'!I28</f>
        <v>6719813.9365464589</v>
      </c>
      <c r="L16" s="380">
        <f>'Vol e Ingresos 2014'!J28</f>
        <v>5946929.4044343317</v>
      </c>
      <c r="M16" s="380">
        <f>'Vol e Ingresos 2014'!K28</f>
        <v>7679367.7986498959</v>
      </c>
      <c r="N16" s="380">
        <f>'Vol e Ingresos 2014'!L28</f>
        <v>6826104.7099110195</v>
      </c>
      <c r="O16" s="566">
        <f>'Vol e Ingresos 2014'!M28</f>
        <v>6826104.7099110195</v>
      </c>
      <c r="P16" s="381" t="s">
        <v>680</v>
      </c>
      <c r="Q16" s="382">
        <f>SUM(D16:F16)</f>
        <v>17898951.121314585</v>
      </c>
      <c r="R16" s="389">
        <f>(Q16/$Q$20)*100</f>
        <v>85.251385370132951</v>
      </c>
      <c r="S16" s="382">
        <f>SUM(G16:I16)</f>
        <v>18999992.827139288</v>
      </c>
      <c r="T16" s="389">
        <f>(S16/$S$20)*100</f>
        <v>85.986289638812323</v>
      </c>
      <c r="U16" s="382">
        <f>+Q16+S16</f>
        <v>36898943.948453873</v>
      </c>
      <c r="V16" s="389">
        <f>(U16/$U$20)*100</f>
        <v>85.628226249719958</v>
      </c>
      <c r="W16" s="382">
        <f>SUM(J16:L16)</f>
        <v>19528275.936968107</v>
      </c>
      <c r="X16" s="389">
        <f>(W16/$W$20)*100</f>
        <v>86.313505778220332</v>
      </c>
      <c r="Y16" s="382">
        <f>+U16+W16</f>
        <v>56427219.885421976</v>
      </c>
      <c r="Z16" s="389">
        <f>(Y16/$Y$20)*100</f>
        <v>85.864152431154977</v>
      </c>
      <c r="AA16" s="382">
        <f>SUM(M16:O16)</f>
        <v>21331577.218471933</v>
      </c>
      <c r="AB16" s="390">
        <f>(AA16/$AA$20)*100</f>
        <v>87.323852483171223</v>
      </c>
      <c r="AC16" s="382">
        <f>+Q16+S16+W16+AA16</f>
        <v>77758797.103893906</v>
      </c>
      <c r="AD16" s="391">
        <f>(AC16/$AC$20)*100</f>
        <v>86.259712255401297</v>
      </c>
      <c r="AE16" s="7" t="s">
        <v>17</v>
      </c>
      <c r="AF16" s="385"/>
      <c r="AH16" s="587">
        <f ca="1">SUM(D16:OFFSET(D16,0,$G$3-1))</f>
        <v>30622142.799506668</v>
      </c>
      <c r="AK16" s="582" t="s">
        <v>762</v>
      </c>
      <c r="AL16" t="s">
        <v>780</v>
      </c>
      <c r="AM16" t="s">
        <v>782</v>
      </c>
      <c r="AN16" s="582" t="s">
        <v>769</v>
      </c>
      <c r="AO16" s="582">
        <v>2014</v>
      </c>
      <c r="AP16" s="582" t="s">
        <v>770</v>
      </c>
      <c r="AQ16" s="589">
        <f>SUM(AR16:BC16)</f>
        <v>77758798</v>
      </c>
      <c r="AR16" s="589">
        <f>ROUND(D16,0)</f>
        <v>5828048</v>
      </c>
      <c r="AS16" s="589">
        <f t="shared" ref="AS16:AS18" si="0">ROUND(E16,0)</f>
        <v>5934711</v>
      </c>
      <c r="AT16" s="589">
        <f t="shared" ref="AT16:AT18" si="1">ROUND(F16,0)</f>
        <v>6136192</v>
      </c>
      <c r="AU16" s="589">
        <f t="shared" ref="AU16:AU18" si="2">ROUND(G16,0)</f>
        <v>6476759</v>
      </c>
      <c r="AV16" s="589">
        <f t="shared" ref="AV16:AV18" si="3">ROUND(H16,0)</f>
        <v>6246433</v>
      </c>
      <c r="AW16" s="589">
        <f t="shared" ref="AW16:AW18" si="4">ROUND(I16,0)</f>
        <v>6276801</v>
      </c>
      <c r="AX16" s="589">
        <f t="shared" ref="AX16:AX18" si="5">ROUND(J16,0)</f>
        <v>6861533</v>
      </c>
      <c r="AY16" s="589">
        <f t="shared" ref="AY16:AY18" si="6">ROUND(K16,0)</f>
        <v>6719814</v>
      </c>
      <c r="AZ16" s="589">
        <f t="shared" ref="AZ16:AZ18" si="7">ROUND(L16,0)</f>
        <v>5946929</v>
      </c>
      <c r="BA16" s="589">
        <f t="shared" ref="BA16:BA18" si="8">ROUND(M16,0)</f>
        <v>7679368</v>
      </c>
      <c r="BB16" s="589">
        <f t="shared" ref="BB16:BB18" si="9">ROUND(N16,0)</f>
        <v>6826105</v>
      </c>
      <c r="BC16" s="589">
        <f t="shared" ref="BC16:BC18" si="10">ROUND(O16,0)</f>
        <v>6826105</v>
      </c>
      <c r="BD16" t="s">
        <v>767</v>
      </c>
    </row>
    <row r="17" spans="1:56" ht="13.5" thickBot="1" x14ac:dyDescent="0.25">
      <c r="A17" s="377" t="s">
        <v>681</v>
      </c>
      <c r="B17" s="378"/>
      <c r="C17" s="379">
        <f>(B17/$B$20)*100</f>
        <v>0</v>
      </c>
      <c r="D17" s="380"/>
      <c r="E17" s="380"/>
      <c r="F17" s="380"/>
      <c r="G17" s="380"/>
      <c r="H17" s="380"/>
      <c r="I17" s="380"/>
      <c r="J17" s="380"/>
      <c r="K17" s="380"/>
      <c r="L17" s="380"/>
      <c r="M17" s="380"/>
      <c r="N17" s="380"/>
      <c r="O17" s="566"/>
      <c r="P17" s="381" t="s">
        <v>681</v>
      </c>
      <c r="Q17" s="382">
        <f>SUM(D17:F17)</f>
        <v>0</v>
      </c>
      <c r="R17" s="389">
        <f>(Q17/$Q$20)*100</f>
        <v>0</v>
      </c>
      <c r="S17" s="382">
        <f>SUM(G17:I17)</f>
        <v>0</v>
      </c>
      <c r="T17" s="389">
        <f>(S17/$S$20)*100</f>
        <v>0</v>
      </c>
      <c r="U17" s="382">
        <f>+Q17+S17</f>
        <v>0</v>
      </c>
      <c r="V17" s="389">
        <f>(U17/$U$20)*100</f>
        <v>0</v>
      </c>
      <c r="W17" s="382">
        <f>SUM(J17:L17)</f>
        <v>0</v>
      </c>
      <c r="X17" s="389">
        <f>(W17/$W$20)*100</f>
        <v>0</v>
      </c>
      <c r="Y17" s="382">
        <f>+U17+W17</f>
        <v>0</v>
      </c>
      <c r="Z17" s="389">
        <f>(Y17/$Y$20)*100</f>
        <v>0</v>
      </c>
      <c r="AA17" s="382">
        <f>SUM(M17:O17)</f>
        <v>0</v>
      </c>
      <c r="AB17" s="390">
        <f>(AA17/$AA$20)*100</f>
        <v>0</v>
      </c>
      <c r="AC17" s="382">
        <f>+Q17+S17+W17+AA17</f>
        <v>0</v>
      </c>
      <c r="AD17" s="391">
        <f>(AC17/$AC$20)*100</f>
        <v>0</v>
      </c>
      <c r="AE17" s="7" t="s">
        <v>17</v>
      </c>
      <c r="AF17" s="385"/>
      <c r="AK17" s="582" t="s">
        <v>762</v>
      </c>
      <c r="AN17" s="582" t="s">
        <v>769</v>
      </c>
      <c r="AO17" s="582">
        <v>2014</v>
      </c>
      <c r="AP17" s="582" t="s">
        <v>770</v>
      </c>
      <c r="AQ17" s="589">
        <f t="shared" ref="AQ17:AQ18" si="11">SUM(AR17:BC17)</f>
        <v>0</v>
      </c>
      <c r="AR17" s="589">
        <f t="shared" ref="AR17:AR18" si="12">ROUND(D17,0)</f>
        <v>0</v>
      </c>
      <c r="AS17" s="589">
        <f t="shared" si="0"/>
        <v>0</v>
      </c>
      <c r="AT17" s="589">
        <f t="shared" si="1"/>
        <v>0</v>
      </c>
      <c r="AU17" s="589">
        <f t="shared" si="2"/>
        <v>0</v>
      </c>
      <c r="AV17" s="589">
        <f t="shared" si="3"/>
        <v>0</v>
      </c>
      <c r="AW17" s="589">
        <f t="shared" si="4"/>
        <v>0</v>
      </c>
      <c r="AX17" s="589">
        <f t="shared" si="5"/>
        <v>0</v>
      </c>
      <c r="AY17" s="589">
        <f t="shared" si="6"/>
        <v>0</v>
      </c>
      <c r="AZ17" s="589">
        <f t="shared" si="7"/>
        <v>0</v>
      </c>
      <c r="BA17" s="589">
        <f t="shared" si="8"/>
        <v>0</v>
      </c>
      <c r="BB17" s="589">
        <f t="shared" si="9"/>
        <v>0</v>
      </c>
      <c r="BC17" s="589">
        <f t="shared" si="10"/>
        <v>0</v>
      </c>
      <c r="BD17" t="s">
        <v>767</v>
      </c>
    </row>
    <row r="18" spans="1:56" ht="13.5" thickBot="1" x14ac:dyDescent="0.25">
      <c r="A18" s="377" t="s">
        <v>682</v>
      </c>
      <c r="B18" s="378">
        <f>SUM(D18:O18)</f>
        <v>12386179.120536871</v>
      </c>
      <c r="C18" s="379">
        <f>(B18/$B$20)*100</f>
        <v>13.740287744598698</v>
      </c>
      <c r="D18" s="380">
        <f>'Presupuesto Otros'!D14</f>
        <v>1032181.5933780726</v>
      </c>
      <c r="E18" s="380">
        <f>'Presupuesto Otros'!E14</f>
        <v>1032181.5933780726</v>
      </c>
      <c r="F18" s="380">
        <f>'Presupuesto Otros'!F14</f>
        <v>1032181.5933780726</v>
      </c>
      <c r="G18" s="380">
        <f>'Presupuesto Otros'!G14</f>
        <v>1032181.5933780726</v>
      </c>
      <c r="H18" s="380">
        <f>'Presupuesto Otros'!H14</f>
        <v>1032181.5933780726</v>
      </c>
      <c r="I18" s="380">
        <f>'Presupuesto Otros'!I14</f>
        <v>1032181.5933780726</v>
      </c>
      <c r="J18" s="380">
        <f>'Presupuesto Otros'!J14</f>
        <v>1032181.5933780726</v>
      </c>
      <c r="K18" s="380">
        <f>'Presupuesto Otros'!K14</f>
        <v>1032181.5933780726</v>
      </c>
      <c r="L18" s="380">
        <f>'Presupuesto Otros'!L14</f>
        <v>1032181.5933780726</v>
      </c>
      <c r="M18" s="380">
        <f>'Presupuesto Otros'!M14</f>
        <v>1032181.5933780726</v>
      </c>
      <c r="N18" s="380">
        <f>'Presupuesto Otros'!N14</f>
        <v>1032181.5933780726</v>
      </c>
      <c r="O18" s="566">
        <f>'Presupuesto Otros'!O14</f>
        <v>1032181.5933780726</v>
      </c>
      <c r="P18" s="381" t="s">
        <v>683</v>
      </c>
      <c r="Q18" s="382">
        <f>SUM(D18:F18)</f>
        <v>3096544.7801342178</v>
      </c>
      <c r="R18" s="389">
        <f>(Q18/$Q$20)*100</f>
        <v>14.748614629867065</v>
      </c>
      <c r="S18" s="382">
        <f>SUM(G18:I18)</f>
        <v>3096544.7801342178</v>
      </c>
      <c r="T18" s="389">
        <f>(S18/$S$20)*100</f>
        <v>14.01371036118767</v>
      </c>
      <c r="U18" s="382">
        <f>+Q18+S18</f>
        <v>6193089.5602684356</v>
      </c>
      <c r="V18" s="389">
        <f>(U18/$U$20)*100</f>
        <v>14.371773750280051</v>
      </c>
      <c r="W18" s="382">
        <f>SUM(J18:L18)</f>
        <v>3096544.7801342178</v>
      </c>
      <c r="X18" s="389">
        <f>(W18/$W$20)*100</f>
        <v>13.686494221779663</v>
      </c>
      <c r="Y18" s="382">
        <f>+U18+W18</f>
        <v>9289634.3404026534</v>
      </c>
      <c r="Z18" s="389">
        <f>(Y18/$Y$20)*100</f>
        <v>14.135847568845014</v>
      </c>
      <c r="AA18" s="382">
        <f>SUM(M18:O18)</f>
        <v>3096544.7801342178</v>
      </c>
      <c r="AB18" s="390">
        <f>(AA18/$AA$20)*100</f>
        <v>12.676147516828776</v>
      </c>
      <c r="AC18" s="382">
        <f>+Q18+S18+W18+AA18</f>
        <v>12386179.120536871</v>
      </c>
      <c r="AD18" s="391">
        <f>(AC18/$AC$20)*100</f>
        <v>13.740287744598694</v>
      </c>
      <c r="AE18" s="7" t="s">
        <v>17</v>
      </c>
      <c r="AF18" s="385"/>
      <c r="AH18" s="587">
        <f ca="1">SUM(D18:OFFSET(D18,0,$G$3-1))</f>
        <v>5160907.966890363</v>
      </c>
      <c r="AK18" s="582" t="s">
        <v>762</v>
      </c>
      <c r="AL18" s="172" t="s">
        <v>781</v>
      </c>
      <c r="AM18" t="s">
        <v>782</v>
      </c>
      <c r="AN18" s="582" t="s">
        <v>769</v>
      </c>
      <c r="AO18" s="582">
        <v>2014</v>
      </c>
      <c r="AP18" s="582" t="s">
        <v>770</v>
      </c>
      <c r="AQ18" s="589">
        <f t="shared" si="11"/>
        <v>12386184</v>
      </c>
      <c r="AR18" s="589">
        <f t="shared" si="12"/>
        <v>1032182</v>
      </c>
      <c r="AS18" s="589">
        <f t="shared" si="0"/>
        <v>1032182</v>
      </c>
      <c r="AT18" s="589">
        <f t="shared" si="1"/>
        <v>1032182</v>
      </c>
      <c r="AU18" s="589">
        <f t="shared" si="2"/>
        <v>1032182</v>
      </c>
      <c r="AV18" s="589">
        <f t="shared" si="3"/>
        <v>1032182</v>
      </c>
      <c r="AW18" s="589">
        <f t="shared" si="4"/>
        <v>1032182</v>
      </c>
      <c r="AX18" s="589">
        <f t="shared" si="5"/>
        <v>1032182</v>
      </c>
      <c r="AY18" s="589">
        <f t="shared" si="6"/>
        <v>1032182</v>
      </c>
      <c r="AZ18" s="589">
        <f t="shared" si="7"/>
        <v>1032182</v>
      </c>
      <c r="BA18" s="589">
        <f t="shared" si="8"/>
        <v>1032182</v>
      </c>
      <c r="BB18" s="589">
        <f t="shared" si="9"/>
        <v>1032182</v>
      </c>
      <c r="BC18" s="589">
        <f t="shared" si="10"/>
        <v>1032182</v>
      </c>
      <c r="BD18" t="s">
        <v>767</v>
      </c>
    </row>
    <row r="19" spans="1:56" x14ac:dyDescent="0.2">
      <c r="A19" s="386"/>
      <c r="B19" s="378" t="s">
        <v>17</v>
      </c>
      <c r="C19" s="379" t="s">
        <v>17</v>
      </c>
      <c r="D19" s="387"/>
      <c r="E19" s="387" t="s">
        <v>17</v>
      </c>
      <c r="F19" s="387" t="s">
        <v>17</v>
      </c>
      <c r="G19" s="387" t="s">
        <v>17</v>
      </c>
      <c r="H19" s="387" t="s">
        <v>17</v>
      </c>
      <c r="I19" s="387" t="s">
        <v>17</v>
      </c>
      <c r="J19" s="387" t="s">
        <v>17</v>
      </c>
      <c r="K19" s="387" t="s">
        <v>17</v>
      </c>
      <c r="L19" s="387" t="s">
        <v>17</v>
      </c>
      <c r="M19" s="387" t="s">
        <v>17</v>
      </c>
      <c r="N19" s="387" t="s">
        <v>17</v>
      </c>
      <c r="O19" s="567" t="s">
        <v>17</v>
      </c>
      <c r="P19" s="388"/>
      <c r="Q19" s="382"/>
      <c r="R19" s="389"/>
      <c r="S19" s="382"/>
      <c r="T19" s="389" t="s">
        <v>17</v>
      </c>
      <c r="U19" s="382"/>
      <c r="V19" s="389"/>
      <c r="W19" s="382"/>
      <c r="X19" s="389"/>
      <c r="Y19" s="382"/>
      <c r="Z19" s="389"/>
      <c r="AA19" s="382"/>
      <c r="AB19" s="390"/>
      <c r="AC19" s="382"/>
      <c r="AD19" s="391"/>
      <c r="AE19" t="s">
        <v>17</v>
      </c>
      <c r="AF19" s="385"/>
    </row>
    <row r="20" spans="1:56" x14ac:dyDescent="0.2">
      <c r="A20" s="386" t="s">
        <v>684</v>
      </c>
      <c r="B20" s="392">
        <f>SUM(D20:O20)</f>
        <v>90144976.22443077</v>
      </c>
      <c r="C20" s="393">
        <f>(B20/$B$20)*100</f>
        <v>100</v>
      </c>
      <c r="D20" s="394">
        <f t="shared" ref="D20:O20" si="13">SUM(D16:D18)</f>
        <v>6860229.2568005435</v>
      </c>
      <c r="E20" s="394">
        <f t="shared" si="13"/>
        <v>6966892.9531856375</v>
      </c>
      <c r="F20" s="394">
        <f t="shared" si="13"/>
        <v>7168373.6914626211</v>
      </c>
      <c r="G20" s="394">
        <f t="shared" si="13"/>
        <v>7508940.3710594168</v>
      </c>
      <c r="H20" s="394">
        <f t="shared" si="13"/>
        <v>7278614.4938888121</v>
      </c>
      <c r="I20" s="394">
        <f t="shared" si="13"/>
        <v>7308982.7423252799</v>
      </c>
      <c r="J20" s="394">
        <f t="shared" si="13"/>
        <v>7893714.1893653907</v>
      </c>
      <c r="K20" s="394">
        <f t="shared" si="13"/>
        <v>7751995.5299245315</v>
      </c>
      <c r="L20" s="394">
        <f t="shared" si="13"/>
        <v>6979110.9978124043</v>
      </c>
      <c r="M20" s="394">
        <f t="shared" si="13"/>
        <v>8711549.3920279685</v>
      </c>
      <c r="N20" s="394">
        <f t="shared" si="13"/>
        <v>7858286.3032890921</v>
      </c>
      <c r="O20" s="568">
        <f t="shared" si="13"/>
        <v>7858286.3032890921</v>
      </c>
      <c r="P20" s="388" t="s">
        <v>684</v>
      </c>
      <c r="Q20" s="395">
        <f>SUM(D20:F20)</f>
        <v>20995495.901448801</v>
      </c>
      <c r="R20" s="396">
        <f>SUM(R16:R18)</f>
        <v>100.00000000000001</v>
      </c>
      <c r="S20" s="397">
        <f>SUM(G20:I20)</f>
        <v>22096537.607273508</v>
      </c>
      <c r="T20" s="398">
        <f>SUM(T16:T19)</f>
        <v>100</v>
      </c>
      <c r="U20" s="397">
        <f>+Q20+S20</f>
        <v>43092033.508722305</v>
      </c>
      <c r="V20" s="396">
        <f>SUM(V16:V18)</f>
        <v>100.00000000000001</v>
      </c>
      <c r="W20" s="397">
        <f>SUM(J20:L20)</f>
        <v>22624820.717102326</v>
      </c>
      <c r="X20" s="396">
        <f>SUM(X16:X18)</f>
        <v>100</v>
      </c>
      <c r="Y20" s="397">
        <f>+U20+W20</f>
        <v>65716854.225824632</v>
      </c>
      <c r="Z20" s="396">
        <f>SUM(Z16:Z18)</f>
        <v>99.999999999999986</v>
      </c>
      <c r="AA20" s="397">
        <f>SUM(M20:O20)</f>
        <v>24428121.998606153</v>
      </c>
      <c r="AB20" s="398">
        <f>SUM(AB16:AB18)</f>
        <v>100</v>
      </c>
      <c r="AC20" s="397">
        <f>+Y20+AA20</f>
        <v>90144976.224430785</v>
      </c>
      <c r="AD20" s="399">
        <f>SUM(AD16:AD18)</f>
        <v>99.999999999999986</v>
      </c>
      <c r="AE20" s="7" t="s">
        <v>17</v>
      </c>
      <c r="AF20" s="385">
        <f ca="1">SUM(D20:OFFSET(D20,0,$G$3-1))</f>
        <v>35783050.766397029</v>
      </c>
      <c r="AH20" s="587">
        <f ca="1">SUM(D20:OFFSET(D20,0,$G$3-1))</f>
        <v>35783050.766397029</v>
      </c>
    </row>
    <row r="21" spans="1:56" x14ac:dyDescent="0.2">
      <c r="A21" s="400" t="s">
        <v>17</v>
      </c>
      <c r="B21" s="401" t="s">
        <v>17</v>
      </c>
      <c r="C21" s="374"/>
      <c r="D21" s="375"/>
      <c r="E21" s="375" t="s">
        <v>17</v>
      </c>
      <c r="F21" s="375" t="s">
        <v>17</v>
      </c>
      <c r="G21" s="375" t="s">
        <v>17</v>
      </c>
      <c r="H21" s="375" t="s">
        <v>17</v>
      </c>
      <c r="I21" s="375" t="s">
        <v>17</v>
      </c>
      <c r="J21" s="375" t="s">
        <v>17</v>
      </c>
      <c r="K21" s="375" t="s">
        <v>17</v>
      </c>
      <c r="L21" s="375" t="s">
        <v>17</v>
      </c>
      <c r="M21" s="375" t="s">
        <v>17</v>
      </c>
      <c r="N21" s="375" t="s">
        <v>17</v>
      </c>
      <c r="O21" s="565" t="s">
        <v>17</v>
      </c>
      <c r="P21" s="5"/>
      <c r="Q21" s="382"/>
      <c r="R21" s="389"/>
      <c r="S21" s="382"/>
      <c r="T21" s="389"/>
      <c r="U21" s="382"/>
      <c r="V21" s="389"/>
      <c r="W21" s="382"/>
      <c r="X21" s="389"/>
      <c r="Y21" s="382"/>
      <c r="Z21" s="389"/>
      <c r="AA21" s="382"/>
      <c r="AB21" s="390"/>
      <c r="AC21" s="382"/>
      <c r="AD21" s="391"/>
      <c r="AE21" t="s">
        <v>17</v>
      </c>
    </row>
    <row r="22" spans="1:56" x14ac:dyDescent="0.2">
      <c r="A22" s="402" t="s">
        <v>685</v>
      </c>
      <c r="B22" s="401"/>
      <c r="C22" s="374"/>
      <c r="D22" s="404"/>
      <c r="E22" s="403"/>
      <c r="F22" s="375" t="s">
        <v>17</v>
      </c>
      <c r="G22" s="375"/>
      <c r="H22" s="375" t="s">
        <v>17</v>
      </c>
      <c r="I22" s="375" t="s">
        <v>17</v>
      </c>
      <c r="J22" s="375" t="s">
        <v>17</v>
      </c>
      <c r="K22" s="375" t="s">
        <v>17</v>
      </c>
      <c r="L22" s="375" t="s">
        <v>17</v>
      </c>
      <c r="M22" s="375" t="s">
        <v>17</v>
      </c>
      <c r="N22" s="375" t="s">
        <v>17</v>
      </c>
      <c r="O22" s="565"/>
      <c r="P22" s="388" t="s">
        <v>685</v>
      </c>
      <c r="Q22" s="382"/>
      <c r="R22" s="389"/>
      <c r="S22" s="382"/>
      <c r="T22" s="389"/>
      <c r="U22" s="382"/>
      <c r="V22" s="389"/>
      <c r="W22" s="382"/>
      <c r="X22" s="389"/>
      <c r="Y22" s="382"/>
      <c r="Z22" s="389"/>
      <c r="AA22" s="382"/>
      <c r="AB22" s="390"/>
      <c r="AC22" s="382"/>
      <c r="AD22" s="391"/>
    </row>
    <row r="23" spans="1:56" x14ac:dyDescent="0.2">
      <c r="A23" s="402"/>
      <c r="B23" s="401" t="s">
        <v>17</v>
      </c>
      <c r="C23" s="374"/>
      <c r="D23" s="375" t="s">
        <v>17</v>
      </c>
      <c r="E23" s="375" t="s">
        <v>17</v>
      </c>
      <c r="F23" s="375" t="s">
        <v>17</v>
      </c>
      <c r="G23" s="404"/>
      <c r="H23" s="375" t="s">
        <v>17</v>
      </c>
      <c r="I23" s="375" t="s">
        <v>17</v>
      </c>
      <c r="J23" s="375" t="s">
        <v>17</v>
      </c>
      <c r="K23" s="375" t="s">
        <v>17</v>
      </c>
      <c r="L23" s="375" t="s">
        <v>17</v>
      </c>
      <c r="M23" s="375" t="s">
        <v>17</v>
      </c>
      <c r="N23" s="375" t="s">
        <v>17</v>
      </c>
      <c r="O23" s="565" t="s">
        <v>17</v>
      </c>
      <c r="P23" s="388"/>
      <c r="Q23" s="382"/>
      <c r="R23" s="389"/>
      <c r="S23" s="382"/>
      <c r="T23" s="389"/>
      <c r="U23" s="382"/>
      <c r="V23" s="389"/>
      <c r="W23" s="382"/>
      <c r="X23" s="389"/>
      <c r="Y23" s="382"/>
      <c r="Z23" s="389"/>
      <c r="AA23" s="382"/>
      <c r="AB23" s="390"/>
      <c r="AC23" s="382"/>
      <c r="AD23" s="391"/>
    </row>
    <row r="24" spans="1:56" x14ac:dyDescent="0.2">
      <c r="A24" s="405" t="s">
        <v>686</v>
      </c>
      <c r="B24" s="425">
        <f t="shared" ref="B24:B29" si="14">SUM(D24:O24)</f>
        <v>12548210.194522183</v>
      </c>
      <c r="C24" s="422">
        <f t="shared" ref="C24:C29" si="15">(B24/$B$20)*100</f>
        <v>13.920032729590329</v>
      </c>
      <c r="D24" s="426">
        <f t="shared" ref="D24:O24" si="16">+D25+D26</f>
        <v>996580.87896248931</v>
      </c>
      <c r="E24" s="426">
        <f t="shared" si="16"/>
        <v>1005151.3972146661</v>
      </c>
      <c r="F24" s="426">
        <f t="shared" si="16"/>
        <v>1032610.3947931535</v>
      </c>
      <c r="G24" s="426">
        <f t="shared" si="16"/>
        <v>1028400.1933559251</v>
      </c>
      <c r="H24" s="426">
        <f t="shared" si="16"/>
        <v>1055783.4894350958</v>
      </c>
      <c r="I24" s="426">
        <f t="shared" si="16"/>
        <v>1025887.7924814541</v>
      </c>
      <c r="J24" s="426">
        <f t="shared" si="16"/>
        <v>1062840.2071867208</v>
      </c>
      <c r="K24" s="426">
        <f t="shared" si="16"/>
        <v>1056811.2682613779</v>
      </c>
      <c r="L24" s="426">
        <f t="shared" si="16"/>
        <v>999849.14964723843</v>
      </c>
      <c r="M24" s="426">
        <f t="shared" si="16"/>
        <v>1148793.8606683067</v>
      </c>
      <c r="N24" s="426">
        <f t="shared" si="16"/>
        <v>1073302.5158966871</v>
      </c>
      <c r="O24" s="569">
        <f t="shared" si="16"/>
        <v>1062199.0466190677</v>
      </c>
      <c r="P24" s="408" t="s">
        <v>686</v>
      </c>
      <c r="Q24" s="395">
        <f t="shared" ref="Q24:Q29" si="17">SUM(D24:F24)</f>
        <v>3034342.6709703086</v>
      </c>
      <c r="R24" s="398">
        <f t="shared" ref="R24:R29" si="18">(Q24/$Q$20)*100</f>
        <v>14.452350567061018</v>
      </c>
      <c r="S24" s="397">
        <f t="shared" ref="S24:S29" si="19">SUM(G24:I24)</f>
        <v>3110071.4752724748</v>
      </c>
      <c r="T24" s="398">
        <f t="shared" ref="T24:T29" si="20">(S24/$S$20)*100</f>
        <v>14.074926717246116</v>
      </c>
      <c r="U24" s="397">
        <f t="shared" ref="U24:U29" si="21">+Q24+S24</f>
        <v>6144414.1462427834</v>
      </c>
      <c r="V24" s="398">
        <f t="shared" ref="V24:V29" si="22">(U24/$U$20)*100</f>
        <v>14.258816876207725</v>
      </c>
      <c r="W24" s="397">
        <f t="shared" ref="W24:W29" si="23">SUM(J24:L24)</f>
        <v>3119500.6250953376</v>
      </c>
      <c r="X24" s="398">
        <f t="shared" ref="X24:X29" si="24">(W24/$W$20)*100</f>
        <v>13.78795732395473</v>
      </c>
      <c r="Y24" s="397">
        <f t="shared" ref="Y24:Y29" si="25">+U24+W24</f>
        <v>9263914.7713381201</v>
      </c>
      <c r="Z24" s="398">
        <f t="shared" ref="Z24:Z29" si="26">(Y24/$Y$20)*100</f>
        <v>14.09671062388999</v>
      </c>
      <c r="AA24" s="397">
        <f t="shared" ref="AA24:AA29" si="27">SUM(M24:O24)</f>
        <v>3284295.4231840614</v>
      </c>
      <c r="AB24" s="398">
        <f t="shared" ref="AB24:AB29" si="28">(AA24/$AA$20)*100</f>
        <v>13.444731540850583</v>
      </c>
      <c r="AC24" s="397">
        <f t="shared" ref="AC24:AC29" si="29">+Q24+S24+W24+AA24</f>
        <v>12548210.194522182</v>
      </c>
      <c r="AD24" s="399">
        <f t="shared" ref="AD24:AD29" si="30">(AC24/$AC$20)*100</f>
        <v>13.920032729590323</v>
      </c>
      <c r="AE24" s="7" t="s">
        <v>17</v>
      </c>
      <c r="AF24" s="385">
        <f ca="1">SUM(D24:OFFSET(D24,0,$G$3-1))</f>
        <v>5118526.3537613302</v>
      </c>
      <c r="AH24" s="587">
        <f ca="1">SUM(D24:OFFSET(D24,0,$G$3-1))</f>
        <v>5118526.3537613302</v>
      </c>
    </row>
    <row r="25" spans="1:56" x14ac:dyDescent="0.2">
      <c r="A25" s="377" t="s">
        <v>687</v>
      </c>
      <c r="B25" s="427">
        <f>SUM(D25:O25)</f>
        <v>3440050.3686933597</v>
      </c>
      <c r="C25" s="435">
        <f t="shared" si="15"/>
        <v>3.8161309845251803</v>
      </c>
      <c r="D25" s="428">
        <f>'Gastos de Operación'!F85</f>
        <v>269223.35077986674</v>
      </c>
      <c r="E25" s="428">
        <f>'Gastos de Operación'!G85</f>
        <v>299971.00323060004</v>
      </c>
      <c r="F25" s="428">
        <f>'Gastos de Operación'!H85</f>
        <v>316122.51331165299</v>
      </c>
      <c r="G25" s="428">
        <f>'Gastos de Operación'!I85</f>
        <v>282633.10618764797</v>
      </c>
      <c r="H25" s="428">
        <f>'Gastos de Operación'!J85</f>
        <v>287625.33759725292</v>
      </c>
      <c r="I25" s="428">
        <f>'Gastos de Operación'!K85</f>
        <v>282640.83031868591</v>
      </c>
      <c r="J25" s="428">
        <f>'Gastos de Operación'!L85</f>
        <v>284329.65232494235</v>
      </c>
      <c r="K25" s="428">
        <f>'Gastos de Operación'!M85</f>
        <v>287849.67106377374</v>
      </c>
      <c r="L25" s="428">
        <f>'Gastos de Operación'!N85</f>
        <v>284091.81489653699</v>
      </c>
      <c r="M25" s="428">
        <f>'Gastos de Operación'!O85</f>
        <v>283274.5137434135</v>
      </c>
      <c r="N25" s="428">
        <f>'Gastos de Operación'!P85</f>
        <v>287928.56693326618</v>
      </c>
      <c r="O25" s="570">
        <f>'Gastos de Operación'!Q85</f>
        <v>274360.00830572046</v>
      </c>
      <c r="P25" s="381" t="s">
        <v>687</v>
      </c>
      <c r="Q25" s="382">
        <f t="shared" si="17"/>
        <v>885316.86732211965</v>
      </c>
      <c r="R25" s="389">
        <f t="shared" si="18"/>
        <v>4.2166990076239541</v>
      </c>
      <c r="S25" s="382">
        <f t="shared" si="19"/>
        <v>852899.27410358679</v>
      </c>
      <c r="T25" s="389">
        <f t="shared" si="20"/>
        <v>3.859877458008798</v>
      </c>
      <c r="U25" s="382">
        <f t="shared" si="21"/>
        <v>1738216.1414257064</v>
      </c>
      <c r="V25" s="389">
        <f t="shared" si="22"/>
        <v>4.0337296708772685</v>
      </c>
      <c r="W25" s="382">
        <f t="shared" si="23"/>
        <v>856271.13828525308</v>
      </c>
      <c r="X25" s="389">
        <f t="shared" si="24"/>
        <v>3.7846538056232606</v>
      </c>
      <c r="Y25" s="382">
        <f t="shared" si="25"/>
        <v>2594487.2797109596</v>
      </c>
      <c r="Z25" s="389">
        <f t="shared" si="26"/>
        <v>3.947978506085291</v>
      </c>
      <c r="AA25" s="382">
        <f t="shared" si="27"/>
        <v>845563.08898240025</v>
      </c>
      <c r="AB25" s="390">
        <f t="shared" si="28"/>
        <v>3.4614330525721435</v>
      </c>
      <c r="AC25" s="382">
        <f t="shared" si="29"/>
        <v>3440050.3686933601</v>
      </c>
      <c r="AD25" s="391">
        <f t="shared" si="30"/>
        <v>3.8161309845251803</v>
      </c>
      <c r="AE25" s="7" t="s">
        <v>17</v>
      </c>
      <c r="AF25" s="385">
        <f ca="1">SUM(D25:OFFSET(D25,0,$G$3-1))</f>
        <v>1455575.3111070204</v>
      </c>
      <c r="AH25" s="587">
        <f ca="1">SUM(D25:OFFSET(D25,0,$G$3-1))</f>
        <v>1455575.3111070204</v>
      </c>
    </row>
    <row r="26" spans="1:56" s="144" customFormat="1" x14ac:dyDescent="0.2">
      <c r="A26" s="377" t="s">
        <v>688</v>
      </c>
      <c r="B26" s="429">
        <f>SUM(D26:O26)</f>
        <v>9108159.8258288242</v>
      </c>
      <c r="C26" s="434">
        <f t="shared" si="15"/>
        <v>10.103901745065148</v>
      </c>
      <c r="D26" s="430">
        <f>'Gastos de Operación'!F54</f>
        <v>727357.52818262251</v>
      </c>
      <c r="E26" s="430">
        <f>'Gastos de Operación'!G54</f>
        <v>705180.39398406609</v>
      </c>
      <c r="F26" s="430">
        <f>'Gastos de Operación'!H54</f>
        <v>716487.88148150058</v>
      </c>
      <c r="G26" s="430">
        <f>'Gastos de Operación'!I54</f>
        <v>745767.08716827712</v>
      </c>
      <c r="H26" s="430">
        <f>'Gastos de Operación'!J54</f>
        <v>768158.15183784277</v>
      </c>
      <c r="I26" s="430">
        <f>'Gastos de Operación'!K54</f>
        <v>743246.96216276812</v>
      </c>
      <c r="J26" s="430">
        <f>'Gastos de Operación'!L54</f>
        <v>778510.55486177839</v>
      </c>
      <c r="K26" s="430">
        <f>'Gastos de Operación'!M54</f>
        <v>768961.59719760425</v>
      </c>
      <c r="L26" s="430">
        <f>'Gastos de Operación'!N54</f>
        <v>715757.33475070144</v>
      </c>
      <c r="M26" s="430">
        <f>'Gastos de Operación'!O54</f>
        <v>865519.34692489309</v>
      </c>
      <c r="N26" s="430">
        <f>'Gastos de Operación'!P54</f>
        <v>785373.94896342093</v>
      </c>
      <c r="O26" s="571">
        <f>'Gastos de Operación'!Q54</f>
        <v>787839.03831334726</v>
      </c>
      <c r="P26" s="409" t="s">
        <v>688</v>
      </c>
      <c r="Q26" s="410">
        <f t="shared" si="17"/>
        <v>2149025.8036481892</v>
      </c>
      <c r="R26" s="411">
        <f t="shared" si="18"/>
        <v>10.235651559437065</v>
      </c>
      <c r="S26" s="410">
        <f t="shared" si="19"/>
        <v>2257172.2011688878</v>
      </c>
      <c r="T26" s="411">
        <f t="shared" si="20"/>
        <v>10.215049259237317</v>
      </c>
      <c r="U26" s="410">
        <f t="shared" si="21"/>
        <v>4406198.004817077</v>
      </c>
      <c r="V26" s="411">
        <f t="shared" si="22"/>
        <v>10.225087205330455</v>
      </c>
      <c r="W26" s="410">
        <f t="shared" si="23"/>
        <v>2263229.4868100844</v>
      </c>
      <c r="X26" s="411">
        <f t="shared" si="24"/>
        <v>10.003303518331471</v>
      </c>
      <c r="Y26" s="410">
        <f t="shared" si="25"/>
        <v>6669427.4916271614</v>
      </c>
      <c r="Z26" s="411">
        <f t="shared" si="26"/>
        <v>10.148732117804702</v>
      </c>
      <c r="AA26" s="410">
        <f t="shared" si="27"/>
        <v>2438732.3342016614</v>
      </c>
      <c r="AB26" s="412">
        <f t="shared" si="28"/>
        <v>9.9832984882784412</v>
      </c>
      <c r="AC26" s="410">
        <f t="shared" si="29"/>
        <v>9108159.8258288223</v>
      </c>
      <c r="AD26" s="413">
        <f t="shared" si="30"/>
        <v>10.103901745065146</v>
      </c>
      <c r="AE26" s="414" t="s">
        <v>17</v>
      </c>
      <c r="AF26" s="415">
        <f ca="1">SUM(D26:OFFSET(D26,0,$G$3-1))</f>
        <v>3662951.0426543094</v>
      </c>
      <c r="AH26" s="587">
        <f ca="1">SUM(D26:OFFSET(D26,0,$G$3-1))</f>
        <v>3662951.0426543094</v>
      </c>
    </row>
    <row r="27" spans="1:56" s="144" customFormat="1" x14ac:dyDescent="0.2">
      <c r="A27" s="416" t="s">
        <v>689</v>
      </c>
      <c r="B27" s="431">
        <f t="shared" si="14"/>
        <v>52620119.16813343</v>
      </c>
      <c r="C27" s="422">
        <f t="shared" si="15"/>
        <v>58.372769478719455</v>
      </c>
      <c r="D27" s="432">
        <f t="shared" ref="D27:O27" si="31">+D28+D29</f>
        <v>3985968.5619745678</v>
      </c>
      <c r="E27" s="432">
        <f t="shared" si="31"/>
        <v>4145066.2407170045</v>
      </c>
      <c r="F27" s="432">
        <f t="shared" si="31"/>
        <v>4198493.2822548617</v>
      </c>
      <c r="G27" s="432">
        <f t="shared" si="31"/>
        <v>4322031.3112868285</v>
      </c>
      <c r="H27" s="432">
        <f t="shared" si="31"/>
        <v>4276642.84791057</v>
      </c>
      <c r="I27" s="432">
        <f t="shared" si="31"/>
        <v>4299273.298194156</v>
      </c>
      <c r="J27" s="432">
        <f t="shared" si="31"/>
        <v>4544364.5778089724</v>
      </c>
      <c r="K27" s="432">
        <f t="shared" si="31"/>
        <v>4519400.2389318002</v>
      </c>
      <c r="L27" s="432">
        <f t="shared" si="31"/>
        <v>4158065.9651310388</v>
      </c>
      <c r="M27" s="432">
        <f t="shared" si="31"/>
        <v>4988049.8618514324</v>
      </c>
      <c r="N27" s="432">
        <f t="shared" si="31"/>
        <v>4579997.7137103379</v>
      </c>
      <c r="O27" s="572">
        <f t="shared" si="31"/>
        <v>4602765.2683618572</v>
      </c>
      <c r="P27" s="417" t="s">
        <v>689</v>
      </c>
      <c r="Q27" s="418">
        <f t="shared" si="17"/>
        <v>12329528.084946435</v>
      </c>
      <c r="R27" s="419">
        <f t="shared" si="18"/>
        <v>58.724633811081503</v>
      </c>
      <c r="S27" s="420">
        <f t="shared" si="19"/>
        <v>12897947.457391553</v>
      </c>
      <c r="T27" s="419">
        <f t="shared" si="20"/>
        <v>58.370898131777629</v>
      </c>
      <c r="U27" s="420">
        <f t="shared" si="21"/>
        <v>25227475.542337988</v>
      </c>
      <c r="V27" s="419">
        <f t="shared" si="22"/>
        <v>58.543246832924858</v>
      </c>
      <c r="W27" s="420">
        <f t="shared" si="23"/>
        <v>13221830.781871812</v>
      </c>
      <c r="X27" s="419">
        <f t="shared" si="24"/>
        <v>58.439494160841235</v>
      </c>
      <c r="Y27" s="420">
        <f t="shared" si="25"/>
        <v>38449306.324209802</v>
      </c>
      <c r="Z27" s="419">
        <f t="shared" si="26"/>
        <v>58.507527143775619</v>
      </c>
      <c r="AA27" s="420">
        <f t="shared" si="27"/>
        <v>14170812.843923626</v>
      </c>
      <c r="AB27" s="419">
        <f t="shared" si="28"/>
        <v>58.010242640560747</v>
      </c>
      <c r="AC27" s="420">
        <f t="shared" si="29"/>
        <v>52620119.16813343</v>
      </c>
      <c r="AD27" s="421">
        <f t="shared" si="30"/>
        <v>58.372769478719441</v>
      </c>
      <c r="AE27" s="414" t="s">
        <v>17</v>
      </c>
      <c r="AF27" s="415">
        <f ca="1">SUM(D27:OFFSET(D27,0,$G$3-1))</f>
        <v>20928202.244143836</v>
      </c>
      <c r="AH27" s="587">
        <f ca="1">SUM(D27:OFFSET(D27,0,$G$3-1))</f>
        <v>20928202.244143836</v>
      </c>
    </row>
    <row r="28" spans="1:56" s="144" customFormat="1" x14ac:dyDescent="0.2">
      <c r="A28" s="377" t="s">
        <v>687</v>
      </c>
      <c r="B28" s="429">
        <f t="shared" si="14"/>
        <v>4883765.5996062793</v>
      </c>
      <c r="C28" s="434">
        <f t="shared" si="15"/>
        <v>5.417679169882236</v>
      </c>
      <c r="D28" s="430">
        <f>'Gastos de Operación'!F143</f>
        <v>364395.24071074172</v>
      </c>
      <c r="E28" s="430">
        <f>'Gastos de Operación'!G143</f>
        <v>547843.09550807334</v>
      </c>
      <c r="F28" s="430">
        <f>'Gastos de Operación'!H143</f>
        <v>448036.32931360899</v>
      </c>
      <c r="G28" s="430">
        <f>'Gastos de Operación'!I143</f>
        <v>394297.86250866408</v>
      </c>
      <c r="H28" s="430">
        <f>'Gastos de Operación'!J143</f>
        <v>391699.82535934768</v>
      </c>
      <c r="I28" s="430">
        <f>'Gastos de Operación'!K143</f>
        <v>392213.99253534904</v>
      </c>
      <c r="J28" s="430">
        <f>'Gastos de Operación'!L143</f>
        <v>393069.47168244008</v>
      </c>
      <c r="K28" s="430">
        <f>'Gastos de Operación'!M143</f>
        <v>423408.56343264348</v>
      </c>
      <c r="L28" s="430">
        <f>'Gastos de Operación'!N143</f>
        <v>394893.99414267461</v>
      </c>
      <c r="M28" s="430">
        <f>'Gastos de Operación'!O143</f>
        <v>395143.65726339805</v>
      </c>
      <c r="N28" s="430">
        <f>'Gastos de Operación'!P143</f>
        <v>369135.13940882531</v>
      </c>
      <c r="O28" s="571">
        <f>'Gastos de Operación'!Q143</f>
        <v>369628.42774051375</v>
      </c>
      <c r="P28" s="409" t="s">
        <v>687</v>
      </c>
      <c r="Q28" s="410">
        <f t="shared" si="17"/>
        <v>1360274.6655324241</v>
      </c>
      <c r="R28" s="411">
        <f t="shared" si="18"/>
        <v>6.4788880049199404</v>
      </c>
      <c r="S28" s="410">
        <f t="shared" si="19"/>
        <v>1178211.6804033609</v>
      </c>
      <c r="T28" s="411">
        <f t="shared" si="20"/>
        <v>5.3321099501830069</v>
      </c>
      <c r="U28" s="410">
        <f t="shared" si="21"/>
        <v>2538486.3459357852</v>
      </c>
      <c r="V28" s="411">
        <f t="shared" si="22"/>
        <v>5.8908483523340047</v>
      </c>
      <c r="W28" s="410">
        <f t="shared" si="23"/>
        <v>1211372.0292577581</v>
      </c>
      <c r="X28" s="411">
        <f t="shared" si="24"/>
        <v>5.3541729430901963</v>
      </c>
      <c r="Y28" s="410">
        <f t="shared" si="25"/>
        <v>3749858.3751935433</v>
      </c>
      <c r="Z28" s="411">
        <f t="shared" si="26"/>
        <v>5.7060831948951813</v>
      </c>
      <c r="AA28" s="410">
        <f t="shared" si="27"/>
        <v>1133907.2244127372</v>
      </c>
      <c r="AB28" s="412">
        <f t="shared" si="28"/>
        <v>4.6418108787791255</v>
      </c>
      <c r="AC28" s="410">
        <f t="shared" si="29"/>
        <v>4883765.5996062802</v>
      </c>
      <c r="AD28" s="413">
        <f t="shared" si="30"/>
        <v>5.417679169882236</v>
      </c>
      <c r="AE28" s="414" t="s">
        <v>17</v>
      </c>
      <c r="AF28" s="415">
        <f ca="1">SUM(D28:OFFSET(D28,0,$G$3-1))</f>
        <v>2146272.3534004358</v>
      </c>
      <c r="AH28" s="587">
        <f ca="1">SUM(D28:OFFSET(D28,0,$G$3-1))</f>
        <v>2146272.3534004358</v>
      </c>
    </row>
    <row r="29" spans="1:56" s="144" customFormat="1" x14ac:dyDescent="0.2">
      <c r="A29" s="377" t="s">
        <v>688</v>
      </c>
      <c r="B29" s="429">
        <f t="shared" si="14"/>
        <v>47736353.568527147</v>
      </c>
      <c r="C29" s="434">
        <f t="shared" si="15"/>
        <v>52.955090308837214</v>
      </c>
      <c r="D29" s="430">
        <f>'Gastos de Operación'!F108</f>
        <v>3621573.321263826</v>
      </c>
      <c r="E29" s="430">
        <f>'Gastos de Operación'!G108</f>
        <v>3597223.1452089311</v>
      </c>
      <c r="F29" s="430">
        <f>'Gastos de Operación'!H108</f>
        <v>3750456.9529412528</v>
      </c>
      <c r="G29" s="430">
        <f>'Gastos de Operación'!I108</f>
        <v>3927733.4487781646</v>
      </c>
      <c r="H29" s="430">
        <f>'Gastos de Operación'!J108</f>
        <v>3884943.0225512222</v>
      </c>
      <c r="I29" s="430">
        <f>'Gastos de Operación'!K108</f>
        <v>3907059.3056588066</v>
      </c>
      <c r="J29" s="430">
        <f>'Gastos de Operación'!L108</f>
        <v>4151295.106126532</v>
      </c>
      <c r="K29" s="430">
        <f>'Gastos de Operación'!M108</f>
        <v>4095991.675499157</v>
      </c>
      <c r="L29" s="430">
        <f>'Gastos de Operación'!N108</f>
        <v>3763171.9709883644</v>
      </c>
      <c r="M29" s="430">
        <f>'Gastos de Operación'!O108</f>
        <v>4592906.2045880342</v>
      </c>
      <c r="N29" s="430">
        <f>'Gastos de Operación'!P108</f>
        <v>4210862.5743015129</v>
      </c>
      <c r="O29" s="571">
        <f>'Gastos de Operación'!Q108</f>
        <v>4233136.8406213438</v>
      </c>
      <c r="P29" s="409" t="s">
        <v>688</v>
      </c>
      <c r="Q29" s="410">
        <f t="shared" si="17"/>
        <v>10969253.41941401</v>
      </c>
      <c r="R29" s="411">
        <f t="shared" si="18"/>
        <v>52.245745806161558</v>
      </c>
      <c r="S29" s="410">
        <f t="shared" si="19"/>
        <v>11719735.776988193</v>
      </c>
      <c r="T29" s="411">
        <f t="shared" si="20"/>
        <v>53.038788181594633</v>
      </c>
      <c r="U29" s="410">
        <f t="shared" si="21"/>
        <v>22688989.196402203</v>
      </c>
      <c r="V29" s="411">
        <f t="shared" si="22"/>
        <v>52.652398480590847</v>
      </c>
      <c r="W29" s="410">
        <f t="shared" si="23"/>
        <v>12010458.752614053</v>
      </c>
      <c r="X29" s="411">
        <f t="shared" si="24"/>
        <v>53.085321217751037</v>
      </c>
      <c r="Y29" s="410">
        <f t="shared" si="25"/>
        <v>34699447.949016258</v>
      </c>
      <c r="Z29" s="411">
        <f t="shared" si="26"/>
        <v>52.801443948880433</v>
      </c>
      <c r="AA29" s="410">
        <f t="shared" si="27"/>
        <v>13036905.619510893</v>
      </c>
      <c r="AB29" s="412">
        <f t="shared" si="28"/>
        <v>53.368431761781629</v>
      </c>
      <c r="AC29" s="410">
        <f t="shared" si="29"/>
        <v>47736353.568527147</v>
      </c>
      <c r="AD29" s="413">
        <f t="shared" si="30"/>
        <v>52.955090308837207</v>
      </c>
      <c r="AE29" s="414" t="s">
        <v>17</v>
      </c>
      <c r="AF29" s="415">
        <f ca="1">SUM(D29:OFFSET(D29,0,$G$3-1))</f>
        <v>18781929.890743397</v>
      </c>
      <c r="AH29" s="587">
        <f ca="1">SUM(D29:OFFSET(D29,0,$G$3-1))</f>
        <v>18781929.890743397</v>
      </c>
    </row>
    <row r="30" spans="1:56" x14ac:dyDescent="0.2">
      <c r="A30" s="1"/>
      <c r="B30" s="401" t="s">
        <v>17</v>
      </c>
      <c r="C30" s="374" t="s">
        <v>17</v>
      </c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565"/>
      <c r="P30" s="5"/>
      <c r="Q30" s="382"/>
      <c r="R30" s="389"/>
      <c r="S30" s="382"/>
      <c r="T30" s="389"/>
      <c r="U30" s="382"/>
      <c r="V30" s="389"/>
      <c r="W30" s="382"/>
      <c r="X30" s="389"/>
      <c r="Y30" s="382"/>
      <c r="Z30" s="389"/>
      <c r="AA30" s="382"/>
      <c r="AB30" s="390"/>
      <c r="AC30" s="382"/>
      <c r="AD30" s="391"/>
      <c r="AE30" t="s">
        <v>17</v>
      </c>
    </row>
    <row r="31" spans="1:56" x14ac:dyDescent="0.2">
      <c r="A31" s="402" t="s">
        <v>690</v>
      </c>
      <c r="B31" s="425">
        <f>SUM(D31:O31)</f>
        <v>65168329.362655617</v>
      </c>
      <c r="C31" s="422">
        <f>(B31/$B$20)*100</f>
        <v>72.29280220830978</v>
      </c>
      <c r="D31" s="426">
        <f>+D24+D27</f>
        <v>4982549.4409370571</v>
      </c>
      <c r="E31" s="426">
        <f t="shared" ref="E31:O31" si="32">+E24+E27</f>
        <v>5150217.637931671</v>
      </c>
      <c r="F31" s="426">
        <f t="shared" si="32"/>
        <v>5231103.6770480154</v>
      </c>
      <c r="G31" s="426">
        <f t="shared" si="32"/>
        <v>5350431.5046427539</v>
      </c>
      <c r="H31" s="426">
        <f t="shared" si="32"/>
        <v>5332426.3373456653</v>
      </c>
      <c r="I31" s="426">
        <f t="shared" si="32"/>
        <v>5325161.0906756101</v>
      </c>
      <c r="J31" s="426">
        <f t="shared" si="32"/>
        <v>5607204.7849956937</v>
      </c>
      <c r="K31" s="426">
        <f t="shared" si="32"/>
        <v>5576211.5071931779</v>
      </c>
      <c r="L31" s="426">
        <f t="shared" si="32"/>
        <v>5157915.1147782775</v>
      </c>
      <c r="M31" s="426">
        <f t="shared" si="32"/>
        <v>6136843.7225197386</v>
      </c>
      <c r="N31" s="426">
        <f t="shared" si="32"/>
        <v>5653300.2296070252</v>
      </c>
      <c r="O31" s="569">
        <f t="shared" si="32"/>
        <v>5664964.3149809251</v>
      </c>
      <c r="P31" s="388" t="s">
        <v>690</v>
      </c>
      <c r="Q31" s="397">
        <f>+Q24+Q27</f>
        <v>15363870.755916744</v>
      </c>
      <c r="R31" s="398">
        <f>(Q31/$Q$20)*100</f>
        <v>73.176984378142535</v>
      </c>
      <c r="S31" s="397">
        <f>+S24+S27</f>
        <v>16008018.932664027</v>
      </c>
      <c r="T31" s="398">
        <f>(S31/$S$20)*100</f>
        <v>72.445824849023737</v>
      </c>
      <c r="U31" s="397">
        <f>+U24+U27</f>
        <v>31371889.68858077</v>
      </c>
      <c r="V31" s="398">
        <f>(U31/$U$20)*100</f>
        <v>72.802063709132568</v>
      </c>
      <c r="W31" s="397">
        <f>+W24+W27</f>
        <v>16341331.40696715</v>
      </c>
      <c r="X31" s="398">
        <f>(W31/$W$20)*100</f>
        <v>72.227451484795964</v>
      </c>
      <c r="Y31" s="397">
        <f>+Y24+Y27</f>
        <v>47713221.095547922</v>
      </c>
      <c r="Z31" s="398">
        <f>(Y31/$Y$20)*100</f>
        <v>72.604237767665609</v>
      </c>
      <c r="AA31" s="397">
        <f>+AA24+AA27</f>
        <v>17455108.267107688</v>
      </c>
      <c r="AB31" s="398">
        <f>(AA31/$AA$20)*100</f>
        <v>71.45497418141133</v>
      </c>
      <c r="AC31" s="397">
        <f>+AC24+AC27</f>
        <v>65168329.36265561</v>
      </c>
      <c r="AD31" s="399">
        <f>(AC31/$AC$20)*100</f>
        <v>72.292802208309752</v>
      </c>
      <c r="AE31" s="7" t="s">
        <v>17</v>
      </c>
      <c r="AF31" s="385">
        <f ca="1">SUM(D31:OFFSET(D31,0,$G$3-1))</f>
        <v>26046728.597905166</v>
      </c>
      <c r="AH31" s="587">
        <f ca="1">SUM(D31:OFFSET(D31,0,$G$3-1))</f>
        <v>26046728.597905166</v>
      </c>
    </row>
    <row r="32" spans="1:56" x14ac:dyDescent="0.2">
      <c r="A32" s="1"/>
      <c r="B32" s="406"/>
      <c r="C32" s="423" t="s">
        <v>17</v>
      </c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573"/>
      <c r="P32" s="5"/>
      <c r="Q32" s="382"/>
      <c r="R32" s="389"/>
      <c r="S32" s="382"/>
      <c r="T32" s="389"/>
      <c r="U32" s="382"/>
      <c r="V32" s="389"/>
      <c r="W32" s="382"/>
      <c r="X32" s="389"/>
      <c r="Y32" s="382"/>
      <c r="Z32" s="389"/>
      <c r="AA32" s="382"/>
      <c r="AB32" s="390"/>
      <c r="AC32" s="382"/>
      <c r="AD32" s="391"/>
    </row>
    <row r="33" spans="1:34" x14ac:dyDescent="0.2">
      <c r="A33" s="402" t="s">
        <v>691</v>
      </c>
      <c r="B33" s="406">
        <f>+B20-B31</f>
        <v>24976646.861775152</v>
      </c>
      <c r="C33" s="422">
        <f>(B33/$B$20)*100</f>
        <v>27.707197791690213</v>
      </c>
      <c r="D33" s="433">
        <f t="shared" ref="D33:O33" si="33">+D20-D31</f>
        <v>1877679.8158634864</v>
      </c>
      <c r="E33" s="433">
        <f t="shared" si="33"/>
        <v>1816675.3152539665</v>
      </c>
      <c r="F33" s="433">
        <f t="shared" si="33"/>
        <v>1937270.0144146057</v>
      </c>
      <c r="G33" s="433">
        <f t="shared" si="33"/>
        <v>2158508.8664166629</v>
      </c>
      <c r="H33" s="433">
        <f t="shared" si="33"/>
        <v>1946188.1565431468</v>
      </c>
      <c r="I33" s="433">
        <f t="shared" si="33"/>
        <v>1983821.6516496697</v>
      </c>
      <c r="J33" s="433">
        <f t="shared" si="33"/>
        <v>2286509.404369697</v>
      </c>
      <c r="K33" s="433">
        <f t="shared" si="33"/>
        <v>2175784.0227313535</v>
      </c>
      <c r="L33" s="433">
        <f t="shared" si="33"/>
        <v>1821195.8830341268</v>
      </c>
      <c r="M33" s="433">
        <f t="shared" si="33"/>
        <v>2574705.6695082299</v>
      </c>
      <c r="N33" s="433">
        <f t="shared" si="33"/>
        <v>2204986.073682067</v>
      </c>
      <c r="O33" s="574">
        <f t="shared" si="33"/>
        <v>2193321.9883081671</v>
      </c>
      <c r="P33" s="388" t="s">
        <v>691</v>
      </c>
      <c r="Q33" s="397">
        <f t="shared" ref="Q33:AC33" si="34">Q20-Q31</f>
        <v>5631625.1455320567</v>
      </c>
      <c r="R33" s="398">
        <f>(Q33/$Q$20)*100</f>
        <v>26.823015621857472</v>
      </c>
      <c r="S33" s="397">
        <f t="shared" si="34"/>
        <v>6088518.6746094804</v>
      </c>
      <c r="T33" s="398">
        <f>(S33/$S$20)*100</f>
        <v>27.554175150976256</v>
      </c>
      <c r="U33" s="397">
        <f t="shared" si="34"/>
        <v>11720143.820141535</v>
      </c>
      <c r="V33" s="398">
        <f>(U33/$U$20)*100</f>
        <v>27.197936290867425</v>
      </c>
      <c r="W33" s="397">
        <f t="shared" si="34"/>
        <v>6283489.3101351764</v>
      </c>
      <c r="X33" s="398">
        <f>(W33/$W$20)*100</f>
        <v>27.772548515204033</v>
      </c>
      <c r="Y33" s="397">
        <f t="shared" si="34"/>
        <v>18003633.13027671</v>
      </c>
      <c r="Z33" s="398">
        <f>(Y33/$Y$20)*100</f>
        <v>27.395762232334388</v>
      </c>
      <c r="AA33" s="397">
        <f t="shared" si="34"/>
        <v>6973013.7314984649</v>
      </c>
      <c r="AB33" s="398">
        <f>(AA33/$AA$20)*100</f>
        <v>28.54502581858867</v>
      </c>
      <c r="AC33" s="397">
        <f t="shared" si="34"/>
        <v>24976646.861775175</v>
      </c>
      <c r="AD33" s="399">
        <f>(AC33/$AC$20)*100</f>
        <v>27.707197791690234</v>
      </c>
      <c r="AE33" s="7" t="s">
        <v>17</v>
      </c>
      <c r="AF33" s="385">
        <f ca="1">SUM(D33:OFFSET(D33,0,$G$3-1))</f>
        <v>9736322.1684918683</v>
      </c>
      <c r="AH33" s="587">
        <f ca="1">SUM(D33:OFFSET(D33,0,$G$3-1))</f>
        <v>9736322.1684918683</v>
      </c>
    </row>
    <row r="34" spans="1:34" x14ac:dyDescent="0.2">
      <c r="A34" s="471"/>
      <c r="B34" s="473" t="s">
        <v>17</v>
      </c>
      <c r="C34" s="424" t="s">
        <v>17</v>
      </c>
      <c r="D34" s="375" t="s">
        <v>17</v>
      </c>
      <c r="E34" s="375" t="s">
        <v>17</v>
      </c>
      <c r="F34" s="375" t="s">
        <v>17</v>
      </c>
      <c r="G34" s="375" t="s">
        <v>17</v>
      </c>
      <c r="H34" s="375" t="s">
        <v>17</v>
      </c>
      <c r="I34" s="375" t="s">
        <v>17</v>
      </c>
      <c r="J34" s="375" t="s">
        <v>17</v>
      </c>
      <c r="K34" s="375" t="s">
        <v>17</v>
      </c>
      <c r="L34" s="375" t="s">
        <v>17</v>
      </c>
      <c r="M34" s="375" t="s">
        <v>17</v>
      </c>
      <c r="N34" s="375" t="s">
        <v>17</v>
      </c>
      <c r="O34" s="375" t="s">
        <v>17</v>
      </c>
      <c r="P34" s="5"/>
      <c r="Q34" s="382"/>
      <c r="R34" s="389"/>
      <c r="S34" s="382"/>
      <c r="T34" s="389"/>
      <c r="U34" s="382"/>
      <c r="V34" s="389"/>
      <c r="W34" s="382"/>
      <c r="X34" s="389"/>
      <c r="Y34" s="382"/>
      <c r="Z34" s="389"/>
      <c r="AA34" s="382"/>
      <c r="AB34" s="390"/>
      <c r="AC34" s="382"/>
      <c r="AD34" s="391"/>
    </row>
    <row r="35" spans="1:34" x14ac:dyDescent="0.2">
      <c r="A35" s="472"/>
      <c r="B35" s="474" t="s">
        <v>17</v>
      </c>
      <c r="C35" s="374"/>
      <c r="D35" s="375" t="s">
        <v>17</v>
      </c>
      <c r="E35" s="375" t="s">
        <v>17</v>
      </c>
      <c r="F35" s="375" t="s">
        <v>17</v>
      </c>
      <c r="G35" s="375" t="s">
        <v>17</v>
      </c>
      <c r="H35" s="375" t="s">
        <v>17</v>
      </c>
      <c r="I35" s="375" t="s">
        <v>17</v>
      </c>
      <c r="J35" s="375" t="s">
        <v>17</v>
      </c>
      <c r="K35" s="375" t="s">
        <v>17</v>
      </c>
      <c r="L35" s="375" t="s">
        <v>17</v>
      </c>
      <c r="M35" s="375" t="s">
        <v>17</v>
      </c>
      <c r="N35" s="375" t="s">
        <v>17</v>
      </c>
      <c r="O35" s="375" t="s">
        <v>17</v>
      </c>
      <c r="P35" s="388"/>
      <c r="Q35" s="382"/>
      <c r="R35" s="389"/>
      <c r="S35" s="382"/>
      <c r="T35" s="389"/>
      <c r="U35" s="382"/>
      <c r="V35" s="389"/>
      <c r="W35" s="382"/>
      <c r="X35" s="389"/>
      <c r="Y35" s="382"/>
      <c r="Z35" s="389"/>
      <c r="AA35" s="382"/>
      <c r="AB35" s="390"/>
      <c r="AC35" s="382"/>
      <c r="AD35" s="391"/>
    </row>
    <row r="37" spans="1:34" x14ac:dyDescent="0.2"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3"/>
      <c r="O37" s="475"/>
    </row>
  </sheetData>
  <printOptions horizontalCentered="1"/>
  <pageMargins left="0.78740157480314965" right="0.19685039370078741" top="0.39370078740157483" bottom="1" header="0.78740157480314965" footer="0.78740157480314965"/>
  <pageSetup scale="55" pageOrder="overThenDown" orientation="landscape" horizontalDpi="4294967292" r:id="rId1"/>
  <headerFooter alignWithMargins="0">
    <oddHeader>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52"/>
  <sheetViews>
    <sheetView zoomScale="80" zoomScaleNormal="80" workbookViewId="0">
      <pane xSplit="5" ySplit="16" topLeftCell="F109" activePane="bottomRight" state="frozen"/>
      <selection activeCell="F11" sqref="F11:Q16"/>
      <selection pane="topRight" activeCell="F11" sqref="F11:Q16"/>
      <selection pane="bottomLeft" activeCell="F11" sqref="F11:Q16"/>
      <selection pane="bottomRight" activeCell="D143" sqref="D143"/>
    </sheetView>
  </sheetViews>
  <sheetFormatPr baseColWidth="10" defaultRowHeight="12.75" x14ac:dyDescent="0.2"/>
  <cols>
    <col min="1" max="1" width="2.42578125" customWidth="1"/>
    <col min="2" max="2" width="51.42578125" customWidth="1"/>
    <col min="3" max="3" width="14.42578125" customWidth="1"/>
    <col min="4" max="4" width="35.42578125" customWidth="1"/>
    <col min="5" max="5" width="11.42578125" hidden="1" customWidth="1"/>
    <col min="6" max="6" width="13.140625" customWidth="1"/>
    <col min="7" max="7" width="15.5703125" customWidth="1"/>
    <col min="8" max="17" width="13.140625" customWidth="1"/>
    <col min="18" max="18" width="14.28515625" customWidth="1"/>
  </cols>
  <sheetData>
    <row r="1" spans="1:18" x14ac:dyDescent="0.2">
      <c r="A1" s="489"/>
    </row>
    <row r="2" spans="1:18" ht="25.5" x14ac:dyDescent="0.35">
      <c r="B2" s="490" t="s">
        <v>719</v>
      </c>
    </row>
    <row r="3" spans="1:18" x14ac:dyDescent="0.2">
      <c r="B3" s="491"/>
    </row>
    <row r="4" spans="1:18" ht="15.75" x14ac:dyDescent="0.25">
      <c r="B4" s="109" t="str">
        <f>caratula!B26</f>
        <v>PRESUPUESTO  2014</v>
      </c>
    </row>
    <row r="5" spans="1:18" ht="15.75" x14ac:dyDescent="0.25">
      <c r="B5" s="109" t="s">
        <v>717</v>
      </c>
    </row>
    <row r="6" spans="1:18" ht="15.75" x14ac:dyDescent="0.25">
      <c r="B6" s="109" t="s">
        <v>718</v>
      </c>
    </row>
    <row r="7" spans="1:18" ht="16.5" thickBot="1" x14ac:dyDescent="0.3">
      <c r="B7" s="109" t="s">
        <v>738</v>
      </c>
    </row>
    <row r="8" spans="1:18" ht="13.5" thickTop="1" x14ac:dyDescent="0.2">
      <c r="B8" s="492"/>
      <c r="C8" s="493"/>
      <c r="D8" s="493"/>
      <c r="E8" s="493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5"/>
    </row>
    <row r="9" spans="1:18" ht="18" x14ac:dyDescent="0.25">
      <c r="B9" s="496" t="s">
        <v>2</v>
      </c>
      <c r="C9" s="497" t="s">
        <v>734</v>
      </c>
      <c r="D9" s="497" t="s">
        <v>735</v>
      </c>
      <c r="E9" s="497"/>
      <c r="F9" s="498" t="s">
        <v>5</v>
      </c>
      <c r="G9" s="498" t="s">
        <v>6</v>
      </c>
      <c r="H9" s="498" t="s">
        <v>7</v>
      </c>
      <c r="I9" s="498" t="s">
        <v>8</v>
      </c>
      <c r="J9" s="498" t="s">
        <v>9</v>
      </c>
      <c r="K9" s="498" t="s">
        <v>10</v>
      </c>
      <c r="L9" s="498" t="s">
        <v>11</v>
      </c>
      <c r="M9" s="498" t="s">
        <v>12</v>
      </c>
      <c r="N9" s="498" t="s">
        <v>13</v>
      </c>
      <c r="O9" s="498" t="s">
        <v>14</v>
      </c>
      <c r="P9" s="498" t="s">
        <v>15</v>
      </c>
      <c r="Q9" s="498" t="s">
        <v>16</v>
      </c>
      <c r="R9" s="499" t="s">
        <v>20</v>
      </c>
    </row>
    <row r="10" spans="1:18" x14ac:dyDescent="0.2">
      <c r="B10" s="500" t="s">
        <v>17</v>
      </c>
      <c r="C10" s="501"/>
      <c r="D10" s="501"/>
      <c r="E10" s="502"/>
      <c r="F10" s="503"/>
      <c r="G10" s="503"/>
      <c r="H10" s="503"/>
      <c r="I10" s="503"/>
      <c r="J10" s="503"/>
      <c r="K10" s="503"/>
      <c r="L10" s="503"/>
      <c r="M10" s="503"/>
      <c r="N10" s="503"/>
      <c r="O10" s="503"/>
      <c r="P10" s="503"/>
      <c r="Q10" s="503"/>
      <c r="R10" s="504"/>
    </row>
    <row r="11" spans="1:18" hidden="1" x14ac:dyDescent="0.2">
      <c r="B11" s="505" t="s">
        <v>694</v>
      </c>
      <c r="C11" s="506"/>
      <c r="D11" s="506"/>
      <c r="E11" s="507"/>
      <c r="F11" s="508">
        <v>39.999999999999993</v>
      </c>
      <c r="G11" s="508">
        <v>40</v>
      </c>
      <c r="H11" s="508">
        <v>41</v>
      </c>
      <c r="I11" s="508">
        <v>42.999999999999993</v>
      </c>
      <c r="J11" s="508">
        <v>42.999999999999993</v>
      </c>
      <c r="K11" s="508">
        <v>46.000190036106858</v>
      </c>
      <c r="L11" s="508">
        <v>46.000071994711661</v>
      </c>
      <c r="M11" s="508">
        <v>46.000257091438854</v>
      </c>
      <c r="N11" s="508">
        <v>46.000052320618089</v>
      </c>
      <c r="O11" s="508">
        <v>44.999999999999993</v>
      </c>
      <c r="P11" s="508">
        <v>44.000724735387308</v>
      </c>
      <c r="Q11" s="508">
        <v>0</v>
      </c>
      <c r="R11" s="509"/>
    </row>
    <row r="12" spans="1:18" ht="15" hidden="1" x14ac:dyDescent="0.2">
      <c r="B12" s="510" t="s">
        <v>720</v>
      </c>
      <c r="C12" s="511"/>
      <c r="D12" s="511"/>
      <c r="E12" s="512"/>
      <c r="F12" s="513">
        <v>520991.81399999995</v>
      </c>
      <c r="G12" s="513">
        <v>569080.5</v>
      </c>
      <c r="H12" s="513">
        <v>581376</v>
      </c>
      <c r="I12" s="513">
        <v>608852.5</v>
      </c>
      <c r="J12" s="513">
        <v>634866.96</v>
      </c>
      <c r="K12" s="513">
        <v>726134.87142857153</v>
      </c>
      <c r="L12" s="513">
        <v>703269.57142857136</v>
      </c>
      <c r="M12" s="513">
        <v>671247.35714285716</v>
      </c>
      <c r="N12" s="513">
        <v>701833.42857142852</v>
      </c>
      <c r="O12" s="513">
        <v>611385.59999999998</v>
      </c>
      <c r="P12" s="513">
        <v>654827.54285714275</v>
      </c>
      <c r="Q12" s="513">
        <v>7563553.8254285706</v>
      </c>
      <c r="R12" s="514">
        <f>SUM(F12:Q12)</f>
        <v>14547419.970857142</v>
      </c>
    </row>
    <row r="13" spans="1:18" ht="15" hidden="1" x14ac:dyDescent="0.2">
      <c r="B13" s="510" t="s">
        <v>721</v>
      </c>
      <c r="C13" s="511"/>
      <c r="D13" s="511"/>
      <c r="E13" s="512"/>
      <c r="F13" s="513">
        <v>22253.63781</v>
      </c>
      <c r="G13" s="513">
        <v>24278.112499999999</v>
      </c>
      <c r="H13" s="513">
        <v>24975.583500000001</v>
      </c>
      <c r="I13" s="513">
        <v>26176.490249999999</v>
      </c>
      <c r="J13" s="513">
        <v>27261.480999999996</v>
      </c>
      <c r="K13" s="513">
        <v>31693.063200000004</v>
      </c>
      <c r="L13" s="513">
        <v>30763.127999999997</v>
      </c>
      <c r="M13" s="513">
        <v>29704.277500000004</v>
      </c>
      <c r="N13" s="513">
        <v>30329.897199999996</v>
      </c>
      <c r="O13" s="513">
        <v>26265.825599999996</v>
      </c>
      <c r="P13" s="513">
        <v>28306.067199999998</v>
      </c>
      <c r="Q13" s="513">
        <v>326527.29535999999</v>
      </c>
      <c r="R13" s="514">
        <f>SUM(F13:Q13)</f>
        <v>628534.85911999992</v>
      </c>
    </row>
    <row r="14" spans="1:18" ht="15" hidden="1" x14ac:dyDescent="0.2">
      <c r="B14" s="515" t="s">
        <v>142</v>
      </c>
      <c r="C14" s="511"/>
      <c r="D14" s="511"/>
      <c r="E14" s="512"/>
      <c r="F14" s="513">
        <v>2438</v>
      </c>
      <c r="G14" s="513">
        <v>2650</v>
      </c>
      <c r="H14" s="513">
        <v>2650</v>
      </c>
      <c r="I14" s="513">
        <v>2650</v>
      </c>
      <c r="J14" s="513">
        <v>2756</v>
      </c>
      <c r="K14" s="513">
        <v>2862</v>
      </c>
      <c r="L14" s="513">
        <v>2756</v>
      </c>
      <c r="M14" s="513">
        <v>2650</v>
      </c>
      <c r="N14" s="513">
        <v>2862</v>
      </c>
      <c r="O14" s="513">
        <v>2544</v>
      </c>
      <c r="P14" s="513">
        <v>2756</v>
      </c>
      <c r="Q14" s="513">
        <v>2694.166666666667</v>
      </c>
      <c r="R14" s="514">
        <f>SUM(F14:Q14)</f>
        <v>32268.166666666668</v>
      </c>
    </row>
    <row r="15" spans="1:18" ht="15" hidden="1" x14ac:dyDescent="0.2">
      <c r="B15" s="515" t="s">
        <v>722</v>
      </c>
      <c r="C15" s="511"/>
      <c r="D15" s="511"/>
      <c r="E15" s="512"/>
      <c r="F15" s="513" t="e">
        <v>#REF!</v>
      </c>
      <c r="G15" s="513" t="e">
        <v>#REF!</v>
      </c>
      <c r="H15" s="513" t="e">
        <v>#REF!</v>
      </c>
      <c r="I15" s="513" t="e">
        <v>#REF!</v>
      </c>
      <c r="J15" s="513" t="e">
        <v>#REF!</v>
      </c>
      <c r="K15" s="513" t="e">
        <v>#REF!</v>
      </c>
      <c r="L15" s="513" t="e">
        <v>#REF!</v>
      </c>
      <c r="M15" s="513" t="e">
        <v>#REF!</v>
      </c>
      <c r="N15" s="513" t="e">
        <v>#REF!</v>
      </c>
      <c r="O15" s="513" t="e">
        <v>#REF!</v>
      </c>
      <c r="P15" s="513" t="e">
        <v>#REF!</v>
      </c>
      <c r="Q15" s="513" t="e">
        <v>#REF!</v>
      </c>
      <c r="R15" s="514" t="e">
        <f>SUM(F15:Q15)</f>
        <v>#REF!</v>
      </c>
    </row>
    <row r="16" spans="1:18" ht="15" hidden="1" x14ac:dyDescent="0.2">
      <c r="B16" s="515" t="s">
        <v>723</v>
      </c>
      <c r="C16" s="511"/>
      <c r="D16" s="511"/>
      <c r="E16" s="512"/>
      <c r="F16" s="513">
        <v>11</v>
      </c>
      <c r="G16" s="513">
        <v>11</v>
      </c>
      <c r="H16" s="513">
        <v>11</v>
      </c>
      <c r="I16" s="513">
        <v>11</v>
      </c>
      <c r="J16" s="513">
        <v>11</v>
      </c>
      <c r="K16" s="513">
        <v>11</v>
      </c>
      <c r="L16" s="513">
        <v>11</v>
      </c>
      <c r="M16" s="513">
        <v>11</v>
      </c>
      <c r="N16" s="513">
        <v>11</v>
      </c>
      <c r="O16" s="513">
        <v>11</v>
      </c>
      <c r="P16" s="513">
        <v>11</v>
      </c>
      <c r="Q16" s="513">
        <v>11</v>
      </c>
      <c r="R16" s="514">
        <f>SUM(F16:Q16)</f>
        <v>132</v>
      </c>
    </row>
    <row r="17" spans="2:18" ht="15.75" x14ac:dyDescent="0.25">
      <c r="B17" s="516" t="s">
        <v>724</v>
      </c>
      <c r="C17" s="511"/>
      <c r="D17" s="517"/>
      <c r="E17" s="517"/>
      <c r="F17" s="512"/>
      <c r="G17" s="512"/>
      <c r="H17" s="512"/>
      <c r="I17" s="512"/>
      <c r="J17" s="512"/>
      <c r="K17" s="512"/>
      <c r="L17" s="512"/>
      <c r="M17" s="512"/>
      <c r="N17" s="512"/>
      <c r="O17" s="512"/>
      <c r="P17" s="512"/>
      <c r="Q17" s="512"/>
      <c r="R17" s="518"/>
    </row>
    <row r="18" spans="2:18" ht="15.75" x14ac:dyDescent="0.25">
      <c r="B18" s="516"/>
      <c r="C18" s="517"/>
      <c r="D18" s="517"/>
      <c r="E18" s="519"/>
      <c r="F18" s="512"/>
      <c r="G18" s="512"/>
      <c r="H18" s="512"/>
      <c r="I18" s="512"/>
      <c r="J18" s="512"/>
      <c r="K18" s="512"/>
      <c r="L18" s="512"/>
      <c r="M18" s="512"/>
      <c r="N18" s="512"/>
      <c r="O18" s="512"/>
      <c r="P18" s="512"/>
      <c r="Q18" s="512"/>
      <c r="R18" s="518"/>
    </row>
    <row r="19" spans="2:18" ht="15.75" x14ac:dyDescent="0.25">
      <c r="B19" s="516" t="s">
        <v>725</v>
      </c>
      <c r="C19" s="517"/>
      <c r="D19" s="517"/>
      <c r="E19" s="517"/>
      <c r="F19" s="512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8"/>
    </row>
    <row r="20" spans="2:18" ht="15.75" x14ac:dyDescent="0.25">
      <c r="B20" s="36"/>
      <c r="C20" s="553"/>
      <c r="D20" s="517"/>
      <c r="E20" s="517"/>
      <c r="F20" s="512"/>
      <c r="G20" s="512"/>
      <c r="H20" s="512"/>
      <c r="I20" s="512"/>
      <c r="J20" s="512"/>
      <c r="K20" s="512"/>
      <c r="L20" s="512"/>
      <c r="M20" s="512"/>
      <c r="N20" s="512"/>
      <c r="O20" s="512"/>
      <c r="P20" s="512"/>
      <c r="Q20" s="512"/>
      <c r="R20" s="518"/>
    </row>
    <row r="21" spans="2:18" ht="15.75" x14ac:dyDescent="0.25">
      <c r="B21" s="560" t="s">
        <v>277</v>
      </c>
      <c r="C21" s="554" t="s">
        <v>290</v>
      </c>
      <c r="D21" s="551" t="str">
        <f>VLOOKUP(C21,'Cat. cuentas'!$A$1:$B$195,2,FALSE)</f>
        <v>TALACHAS</v>
      </c>
      <c r="E21" s="517"/>
      <c r="F21" s="512">
        <f>'Gtos Mtto 2014'!D34+'Gtos Mtto 2014 (Otros)'!D34</f>
        <v>3269.0689616968584</v>
      </c>
      <c r="G21" s="512">
        <f>'Gtos Mtto 2014'!E34+'Gtos Mtto 2014 (Otros)'!E34</f>
        <v>3265.8122338234525</v>
      </c>
      <c r="H21" s="512">
        <f>'Gtos Mtto 2014'!F34+'Gtos Mtto 2014 (Otros)'!F34</f>
        <v>3277.2614504760304</v>
      </c>
      <c r="I21" s="512">
        <f>'Gtos Mtto 2014'!G34+'Gtos Mtto 2014 (Otros)'!G34</f>
        <v>3296.9656345808116</v>
      </c>
      <c r="J21" s="512">
        <f>'Gtos Mtto 2014'!H34+'Gtos Mtto 2014 (Otros)'!H34</f>
        <v>3288.1348179755787</v>
      </c>
      <c r="K21" s="512">
        <f>'Gtos Mtto 2014'!I34+'Gtos Mtto 2014 (Otros)'!I34</f>
        <v>3292.493869271299</v>
      </c>
      <c r="L21" s="512">
        <f>'Gtos Mtto 2014'!J34+'Gtos Mtto 2014 (Otros)'!J34</f>
        <v>3322.7978205896784</v>
      </c>
      <c r="M21" s="512">
        <f>'Gtos Mtto 2014'!K34+'Gtos Mtto 2014 (Otros)'!K34</f>
        <v>3317.6404060039276</v>
      </c>
      <c r="N21" s="512">
        <f>'Gtos Mtto 2014'!L34+'Gtos Mtto 2014 (Otros)'!L34</f>
        <v>3282.3496497142291</v>
      </c>
      <c r="O21" s="512">
        <f>'Gtos Mtto 2014'!M34+'Gtos Mtto 2014 (Otros)'!M34</f>
        <v>3385.8305398454227</v>
      </c>
      <c r="P21" s="512">
        <f>'Gtos Mtto 2014'!N34+'Gtos Mtto 2014 (Otros)'!N34</f>
        <v>3332.9029772003382</v>
      </c>
      <c r="Q21" s="512">
        <f>'Gtos Mtto 2014'!O34+'Gtos Mtto 2014 (Otros)'!O34</f>
        <v>3335.9472466556408</v>
      </c>
      <c r="R21" s="522">
        <f>SUM(F21:Q21)</f>
        <v>39667.205607833275</v>
      </c>
    </row>
    <row r="22" spans="2:18" ht="15.75" x14ac:dyDescent="0.25">
      <c r="B22" s="560" t="s">
        <v>311</v>
      </c>
      <c r="C22" s="555" t="s">
        <v>312</v>
      </c>
      <c r="D22" s="551" t="str">
        <f>VLOOKUP(C22,'Cat. cuentas'!$A$1:$B$195,2,FALSE)</f>
        <v>REPARACION TALLERES EXTERNOS</v>
      </c>
      <c r="E22" s="517"/>
      <c r="F22" s="512">
        <f>'Gtos Mtto 2014'!D35+'Gtos Mtto 2014 (Otros)'!D35</f>
        <v>101890.88432721922</v>
      </c>
      <c r="G22" s="512">
        <f>'Gtos Mtto 2014'!E35+'Gtos Mtto 2014 (Otros)'!E35</f>
        <v>100241.8108452435</v>
      </c>
      <c r="H22" s="512">
        <f>'Gtos Mtto 2014'!F35+'Gtos Mtto 2014 (Otros)'!F35</f>
        <v>103374.10179988034</v>
      </c>
      <c r="I22" s="512">
        <f>'Gtos Mtto 2014'!G35+'Gtos Mtto 2014 (Otros)'!G35</f>
        <v>108464.4012319262</v>
      </c>
      <c r="J22" s="512">
        <f>'Gtos Mtto 2014'!H35+'Gtos Mtto 2014 (Otros)'!H35</f>
        <v>105598.78078695184</v>
      </c>
      <c r="K22" s="512">
        <f>'Gtos Mtto 2014'!I35+'Gtos Mtto 2014 (Otros)'!I35</f>
        <v>106371.2711855158</v>
      </c>
      <c r="L22" s="512">
        <f>'Gtos Mtto 2014'!J35+'Gtos Mtto 2014 (Otros)'!J35</f>
        <v>113741.54184738893</v>
      </c>
      <c r="M22" s="512">
        <f>'Gtos Mtto 2014'!K35+'Gtos Mtto 2014 (Otros)'!K35</f>
        <v>112134.90498406554</v>
      </c>
      <c r="N22" s="512">
        <f>'Gtos Mtto 2014'!L35+'Gtos Mtto 2014 (Otros)'!L35</f>
        <v>101681.38540375518</v>
      </c>
      <c r="O22" s="512">
        <f>'Gtos Mtto 2014'!M35+'Gtos Mtto 2014 (Otros)'!M35</f>
        <v>126336.80828036877</v>
      </c>
      <c r="P22" s="512">
        <f>'Gtos Mtto 2014'!N35+'Gtos Mtto 2014 (Otros)'!N35</f>
        <v>114724.44432933739</v>
      </c>
      <c r="Q22" s="512">
        <f>'Gtos Mtto 2014'!O35+'Gtos Mtto 2014 (Otros)'!O35</f>
        <v>115093.33321785615</v>
      </c>
      <c r="R22" s="522">
        <f t="shared" ref="R22:R50" si="0">SUM(F22:Q22)</f>
        <v>1309653.668239509</v>
      </c>
    </row>
    <row r="23" spans="2:18" ht="15.75" x14ac:dyDescent="0.25">
      <c r="B23" s="560" t="s">
        <v>313</v>
      </c>
      <c r="C23" s="555" t="s">
        <v>315</v>
      </c>
      <c r="D23" s="551" t="str">
        <f>VLOOKUP(C23,'Cat. cuentas'!$A$1:$B$195,2,FALSE)</f>
        <v>MTTO PREVENTIVO TRACTOR</v>
      </c>
      <c r="E23" s="517"/>
      <c r="F23" s="512">
        <f>'Gtos Mtto 2014'!D36+'Gtos Mtto 2014 (Otros)'!D36</f>
        <v>124988.57683895464</v>
      </c>
      <c r="G23" s="512">
        <f>'Gtos Mtto 2014'!E36+'Gtos Mtto 2014 (Otros)'!E36</f>
        <v>122965.67411339705</v>
      </c>
      <c r="H23" s="512">
        <f>'Gtos Mtto 2014'!F36+'Gtos Mtto 2014 (Otros)'!F36</f>
        <v>126808.02557840443</v>
      </c>
      <c r="I23" s="512">
        <f>'Gtos Mtto 2014'!G36+'Gtos Mtto 2014 (Otros)'!G36</f>
        <v>133052.24738388334</v>
      </c>
      <c r="J23" s="512">
        <f>'Gtos Mtto 2014'!H36+'Gtos Mtto 2014 (Otros)'!H36</f>
        <v>129537.0180918526</v>
      </c>
      <c r="K23" s="512">
        <f>'Gtos Mtto 2014'!I36+'Gtos Mtto 2014 (Otros)'!I36</f>
        <v>130484.62470235357</v>
      </c>
      <c r="L23" s="512">
        <f>'Gtos Mtto 2014'!J36+'Gtos Mtto 2014 (Otros)'!J36</f>
        <v>139525.66548856389</v>
      </c>
      <c r="M23" s="512">
        <f>'Gtos Mtto 2014'!K36+'Gtos Mtto 2014 (Otros)'!K36</f>
        <v>137554.81935870898</v>
      </c>
      <c r="N23" s="512">
        <f>'Gtos Mtto 2014'!L36+'Gtos Mtto 2014 (Otros)'!L36</f>
        <v>124731.58650595316</v>
      </c>
      <c r="O23" s="512">
        <f>'Gtos Mtto 2014'!M36+'Gtos Mtto 2014 (Otros)'!M36</f>
        <v>154976.15879579546</v>
      </c>
      <c r="P23" s="512">
        <f>'Gtos Mtto 2014'!N36+'Gtos Mtto 2014 (Otros)'!N36</f>
        <v>140731.38259663881</v>
      </c>
      <c r="Q23" s="512">
        <f>'Gtos Mtto 2014'!O36+'Gtos Mtto 2014 (Otros)'!O36</f>
        <v>141183.8950808724</v>
      </c>
      <c r="R23" s="522">
        <f t="shared" si="0"/>
        <v>1606539.6745353783</v>
      </c>
    </row>
    <row r="24" spans="2:18" ht="15.75" x14ac:dyDescent="0.25">
      <c r="B24" s="560" t="s">
        <v>316</v>
      </c>
      <c r="C24" s="555" t="s">
        <v>317</v>
      </c>
      <c r="D24" s="551" t="str">
        <f>VLOOKUP(C24,'Cat. cuentas'!$A$1:$B$195,2,FALSE)</f>
        <v>MTTO PREVENTIVO TOLVA</v>
      </c>
      <c r="E24" s="517"/>
      <c r="F24" s="512">
        <f>'Gtos Mtto 2014'!D37+'Gtos Mtto 2014 (Otros)'!D37</f>
        <v>7586.6713041479088</v>
      </c>
      <c r="G24" s="512">
        <f>'Gtos Mtto 2014'!E37+'Gtos Mtto 2014 (Otros)'!E37</f>
        <v>7463.8832986580583</v>
      </c>
      <c r="H24" s="512">
        <f>'Gtos Mtto 2014'!F37+'Gtos Mtto 2014 (Otros)'!F37</f>
        <v>7697.1098729359801</v>
      </c>
      <c r="I24" s="512">
        <f>'Gtos Mtto 2014'!G37+'Gtos Mtto 2014 (Otros)'!G37</f>
        <v>8076.1273766667427</v>
      </c>
      <c r="J24" s="512">
        <f>'Gtos Mtto 2014'!H37+'Gtos Mtto 2014 (Otros)'!H37</f>
        <v>7862.7567641529931</v>
      </c>
      <c r="K24" s="512">
        <f>'Gtos Mtto 2014'!I37+'Gtos Mtto 2014 (Otros)'!I37</f>
        <v>7920.2754595516271</v>
      </c>
      <c r="L24" s="512">
        <f>'Gtos Mtto 2014'!J37+'Gtos Mtto 2014 (Otros)'!J37</f>
        <v>8469.0568476360058</v>
      </c>
      <c r="M24" s="512">
        <f>'Gtos Mtto 2014'!K37+'Gtos Mtto 2014 (Otros)'!K37</f>
        <v>8349.428621149942</v>
      </c>
      <c r="N24" s="512">
        <f>'Gtos Mtto 2014'!L37+'Gtos Mtto 2014 (Otros)'!L37</f>
        <v>7571.0722691469928</v>
      </c>
      <c r="O24" s="512">
        <f>'Gtos Mtto 2014'!M37+'Gtos Mtto 2014 (Otros)'!M37</f>
        <v>9406.88506500931</v>
      </c>
      <c r="P24" s="512">
        <f>'Gtos Mtto 2014'!N37+'Gtos Mtto 2014 (Otros)'!N37</f>
        <v>8542.242570812441</v>
      </c>
      <c r="Q24" s="512">
        <f>'Gtos Mtto 2014'!O37+'Gtos Mtto 2014 (Otros)'!O37</f>
        <v>8569.7095887250216</v>
      </c>
      <c r="R24" s="522">
        <f t="shared" si="0"/>
        <v>97515.21903859303</v>
      </c>
    </row>
    <row r="25" spans="2:18" ht="15.75" x14ac:dyDescent="0.25">
      <c r="B25" s="560"/>
      <c r="C25" s="555" t="s">
        <v>318</v>
      </c>
      <c r="D25" s="551" t="str">
        <f>VLOOKUP(C25,'Cat. cuentas'!$A$1:$B$195,2,FALSE)</f>
        <v>MTTO. CUIDADO DE LA IMAGEN</v>
      </c>
      <c r="E25" s="517"/>
      <c r="F25" s="512">
        <f>'Gtos Mtto 2014'!D38+'Gtos Mtto 2014 (Otros)'!D38</f>
        <v>24074.001913504355</v>
      </c>
      <c r="G25" s="512">
        <f>'Gtos Mtto 2014'!E38+'Gtos Mtto 2014 (Otros)'!E38</f>
        <v>23684.371394319758</v>
      </c>
      <c r="H25" s="512">
        <f>'Gtos Mtto 2014'!F38+'Gtos Mtto 2014 (Otros)'!F38</f>
        <v>24424.445238348955</v>
      </c>
      <c r="I25" s="512">
        <f>'Gtos Mtto 2014'!G38+'Gtos Mtto 2014 (Otros)'!G38</f>
        <v>25627.142408724241</v>
      </c>
      <c r="J25" s="512">
        <f>'Gtos Mtto 2014'!H38+'Gtos Mtto 2014 (Otros)'!H38</f>
        <v>24950.075441142129</v>
      </c>
      <c r="K25" s="512">
        <f>'Gtos Mtto 2014'!I38+'Gtos Mtto 2014 (Otros)'!I38</f>
        <v>25132.593587451163</v>
      </c>
      <c r="L25" s="512">
        <f>'Gtos Mtto 2014'!J38+'Gtos Mtto 2014 (Otros)'!J38</f>
        <v>26873.984990505061</v>
      </c>
      <c r="M25" s="512">
        <f>'Gtos Mtto 2014'!K38+'Gtos Mtto 2014 (Otros)'!K38</f>
        <v>26494.381072280736</v>
      </c>
      <c r="N25" s="512">
        <f>'Gtos Mtto 2014'!L38+'Gtos Mtto 2014 (Otros)'!L38</f>
        <v>24024.503103893931</v>
      </c>
      <c r="O25" s="512">
        <f>'Gtos Mtto 2014'!M38+'Gtos Mtto 2014 (Otros)'!M38</f>
        <v>29849.898588770418</v>
      </c>
      <c r="P25" s="512">
        <f>'Gtos Mtto 2014'!N38+'Gtos Mtto 2014 (Otros)'!N38</f>
        <v>27106.217700893794</v>
      </c>
      <c r="Q25" s="512">
        <f>'Gtos Mtto 2014'!O38+'Gtos Mtto 2014 (Otros)'!O38</f>
        <v>27193.375957166769</v>
      </c>
      <c r="R25" s="522">
        <f t="shared" si="0"/>
        <v>309434.99139700131</v>
      </c>
    </row>
    <row r="26" spans="2:18" ht="15.75" x14ac:dyDescent="0.25">
      <c r="B26" s="560"/>
      <c r="C26" s="555" t="s">
        <v>319</v>
      </c>
      <c r="D26" s="551" t="str">
        <f>VLOOKUP(C26,'Cat. cuentas'!$A$1:$B$195,2,FALSE)</f>
        <v>MTTO PREVENTIVO DOLLY</v>
      </c>
      <c r="E26" s="517"/>
      <c r="F26" s="512">
        <f>'Gtos Mtto 2014'!D39+'Gtos Mtto 2014 (Otros)'!D39</f>
        <v>39580.527472563816</v>
      </c>
      <c r="G26" s="512">
        <f>'Gtos Mtto 2014'!E39+'Gtos Mtto 2014 (Otros)'!E39</f>
        <v>38939.928476013745</v>
      </c>
      <c r="H26" s="512">
        <f>'Gtos Mtto 2014'!F39+'Gtos Mtto 2014 (Otros)'!F39</f>
        <v>40156.698052612133</v>
      </c>
      <c r="I26" s="512">
        <f>'Gtos Mtto 2014'!G39+'Gtos Mtto 2014 (Otros)'!G39</f>
        <v>42134.075497552461</v>
      </c>
      <c r="J26" s="512">
        <f>'Gtos Mtto 2014'!H39+'Gtos Mtto 2014 (Otros)'!H39</f>
        <v>41020.896732865382</v>
      </c>
      <c r="K26" s="512">
        <f>'Gtos Mtto 2014'!I39+'Gtos Mtto 2014 (Otros)'!I39</f>
        <v>41320.978311747931</v>
      </c>
      <c r="L26" s="512">
        <f>'Gtos Mtto 2014'!J39+'Gtos Mtto 2014 (Otros)'!J39</f>
        <v>44184.033258603195</v>
      </c>
      <c r="M26" s="512">
        <f>'Gtos Mtto 2014'!K39+'Gtos Mtto 2014 (Otros)'!K39</f>
        <v>43559.919188663596</v>
      </c>
      <c r="N26" s="512">
        <f>'Gtos Mtto 2014'!L39+'Gtos Mtto 2014 (Otros)'!L39</f>
        <v>39499.145531967326</v>
      </c>
      <c r="O26" s="512">
        <f>'Gtos Mtto 2014'!M39+'Gtos Mtto 2014 (Otros)'!M39</f>
        <v>49076.789783061409</v>
      </c>
      <c r="P26" s="512">
        <f>'Gtos Mtto 2014'!N39+'Gtos Mtto 2014 (Otros)'!N39</f>
        <v>44565.851504136059</v>
      </c>
      <c r="Q26" s="512">
        <f>'Gtos Mtto 2014'!O39+'Gtos Mtto 2014 (Otros)'!O39</f>
        <v>44709.150062027176</v>
      </c>
      <c r="R26" s="522">
        <f t="shared" si="0"/>
        <v>508747.99387181422</v>
      </c>
    </row>
    <row r="27" spans="2:18" ht="15.75" x14ac:dyDescent="0.25">
      <c r="B27" s="560"/>
      <c r="C27" s="555" t="s">
        <v>486</v>
      </c>
      <c r="D27" s="551" t="str">
        <f>VLOOKUP(C27,'Cat. cuentas'!$A$1:$B$195,2,FALSE)</f>
        <v>MTTO PREVENTIVO CAJA SECA</v>
      </c>
      <c r="E27" s="517"/>
      <c r="F27" s="512">
        <f>'Gtos Mtto 2014'!D40+'Gtos Mtto 2014 (Otros)'!D40</f>
        <v>4385.3483412351488</v>
      </c>
      <c r="G27" s="512">
        <f>'Gtos Mtto 2014'!E40+'Gtos Mtto 2014 (Otros)'!E40</f>
        <v>4418.6759963228642</v>
      </c>
      <c r="H27" s="512">
        <f>'Gtos Mtto 2014'!F40+'Gtos Mtto 2014 (Otros)'!F40</f>
        <v>4407.127932906702</v>
      </c>
      <c r="I27" s="512">
        <f>'Gtos Mtto 2014'!G40+'Gtos Mtto 2014 (Otros)'!G40</f>
        <v>4380.9909538463016</v>
      </c>
      <c r="J27" s="512">
        <f>'Gtos Mtto 2014'!H40+'Gtos Mtto 2014 (Otros)'!H40</f>
        <v>4422.5187264344549</v>
      </c>
      <c r="K27" s="512">
        <f>'Gtos Mtto 2014'!I40+'Gtos Mtto 2014 (Otros)'!I40</f>
        <v>4433.317494760513</v>
      </c>
      <c r="L27" s="512">
        <f>'Gtos Mtto 2014'!J40+'Gtos Mtto 2014 (Otros)'!J40</f>
        <v>4391.5885688905255</v>
      </c>
      <c r="M27" s="512">
        <f>'Gtos Mtto 2014'!K40+'Gtos Mtto 2014 (Otros)'!K40</f>
        <v>4420.8648356742551</v>
      </c>
      <c r="N27" s="512">
        <f>'Gtos Mtto 2014'!L40+'Gtos Mtto 2014 (Otros)'!L40</f>
        <v>4529.7302220064121</v>
      </c>
      <c r="O27" s="512">
        <f>'Gtos Mtto 2014'!M40+'Gtos Mtto 2014 (Otros)'!M40</f>
        <v>4358.4101586474562</v>
      </c>
      <c r="P27" s="512">
        <f>'Gtos Mtto 2014'!N40+'Gtos Mtto 2014 (Otros)'!N40</f>
        <v>4452.5282395379954</v>
      </c>
      <c r="Q27" s="512">
        <f>'Gtos Mtto 2014'!O40+'Gtos Mtto 2014 (Otros)'!O40</f>
        <v>4466.8450505976034</v>
      </c>
      <c r="R27" s="522">
        <f t="shared" si="0"/>
        <v>53067.946520860234</v>
      </c>
    </row>
    <row r="28" spans="2:18" ht="15.75" x14ac:dyDescent="0.25">
      <c r="B28" s="560"/>
      <c r="C28" s="555" t="s">
        <v>488</v>
      </c>
      <c r="D28" s="551" t="str">
        <f>VLOOKUP(C28,'Cat. cuentas'!$A$1:$B$195,2,FALSE)</f>
        <v>MTTO PREVENTIVO PLANA</v>
      </c>
      <c r="E28" s="517"/>
      <c r="F28" s="512">
        <f>'Gtos Mtto 2014'!D41+'Gtos Mtto 2014 (Otros)'!D41</f>
        <v>11876.985090845194</v>
      </c>
      <c r="G28" s="512">
        <f>'Gtos Mtto 2014'!E41+'Gtos Mtto 2014 (Otros)'!E41</f>
        <v>11967.247490041093</v>
      </c>
      <c r="H28" s="512">
        <f>'Gtos Mtto 2014'!F41+'Gtos Mtto 2014 (Otros)'!F41</f>
        <v>11935.971484955651</v>
      </c>
      <c r="I28" s="512">
        <f>'Gtos Mtto 2014'!G41+'Gtos Mtto 2014 (Otros)'!G41</f>
        <v>11865.183833333733</v>
      </c>
      <c r="J28" s="512">
        <f>'Gtos Mtto 2014'!H41+'Gtos Mtto 2014 (Otros)'!H41</f>
        <v>11977.654884093316</v>
      </c>
      <c r="K28" s="512">
        <f>'Gtos Mtto 2014'!I41+'Gtos Mtto 2014 (Otros)'!I41</f>
        <v>12006.901548309725</v>
      </c>
      <c r="L28" s="512">
        <f>'Gtos Mtto 2014'!J41+'Gtos Mtto 2014 (Otros)'!J41</f>
        <v>11893.885707411842</v>
      </c>
      <c r="M28" s="512">
        <f>'Gtos Mtto 2014'!K41+'Gtos Mtto 2014 (Otros)'!K41</f>
        <v>11973.175596617775</v>
      </c>
      <c r="N28" s="512">
        <f>'Gtos Mtto 2014'!L41+'Gtos Mtto 2014 (Otros)'!L41</f>
        <v>12268.019351267365</v>
      </c>
      <c r="O28" s="512">
        <f>'Gtos Mtto 2014'!M41+'Gtos Mtto 2014 (Otros)'!M41</f>
        <v>11804.027513003528</v>
      </c>
      <c r="P28" s="512">
        <f>'Gtos Mtto 2014'!N41+'Gtos Mtto 2014 (Otros)'!N41</f>
        <v>12058.930648748737</v>
      </c>
      <c r="Q28" s="512">
        <f>'Gtos Mtto 2014'!O41+'Gtos Mtto 2014 (Otros)'!O41</f>
        <v>12097.705345368508</v>
      </c>
      <c r="R28" s="522">
        <f t="shared" si="0"/>
        <v>143725.68849399648</v>
      </c>
    </row>
    <row r="29" spans="2:18" ht="15.75" x14ac:dyDescent="0.25">
      <c r="B29" s="560"/>
      <c r="C29" s="555" t="s">
        <v>484</v>
      </c>
      <c r="D29" s="551" t="str">
        <f>VLOOKUP(C29,'Cat. cuentas'!$A$1:$B$195,2,FALSE)</f>
        <v>MTTO PREVENTIVO CAJA VOLTEO</v>
      </c>
      <c r="E29" s="517"/>
      <c r="F29" s="512">
        <f>'Gtos Mtto 2014'!D42+'Gtos Mtto 2014 (Otros)'!D42</f>
        <v>22535.817864680626</v>
      </c>
      <c r="G29" s="512">
        <f>'Gtos Mtto 2014'!E42+'Gtos Mtto 2014 (Otros)'!E42</f>
        <v>22707.08498110361</v>
      </c>
      <c r="H29" s="512">
        <f>'Gtos Mtto 2014'!F42+'Gtos Mtto 2014 (Otros)'!F42</f>
        <v>22647.740766326107</v>
      </c>
      <c r="I29" s="512">
        <f>'Gtos Mtto 2014'!G42+'Gtos Mtto 2014 (Otros)'!G42</f>
        <v>22513.425735043493</v>
      </c>
      <c r="J29" s="512">
        <f>'Gtos Mtto 2014'!H42+'Gtos Mtto 2014 (Otros)'!H42</f>
        <v>22726.832344177059</v>
      </c>
      <c r="K29" s="512">
        <f>'Gtos Mtto 2014'!I42+'Gtos Mtto 2014 (Otros)'!I42</f>
        <v>22782.326014741528</v>
      </c>
      <c r="L29" s="512">
        <f>'Gtos Mtto 2014'!J42+'Gtos Mtto 2014 (Otros)'!J42</f>
        <v>22567.88570124298</v>
      </c>
      <c r="M29" s="512">
        <f>'Gtos Mtto 2014'!K42+'Gtos Mtto 2014 (Otros)'!K42</f>
        <v>22718.333183326031</v>
      </c>
      <c r="N29" s="512">
        <f>'Gtos Mtto 2014'!L42+'Gtos Mtto 2014 (Otros)'!L42</f>
        <v>23277.78030753295</v>
      </c>
      <c r="O29" s="512">
        <f>'Gtos Mtto 2014'!M42+'Gtos Mtto 2014 (Otros)'!M42</f>
        <v>22397.385537493872</v>
      </c>
      <c r="P29" s="512">
        <f>'Gtos Mtto 2014'!N42+'Gtos Mtto 2014 (Otros)'!N42</f>
        <v>22881.047897625809</v>
      </c>
      <c r="Q29" s="512">
        <f>'Gtos Mtto 2014'!O42+'Gtos Mtto 2014 (Otros)'!O42</f>
        <v>22954.62039890435</v>
      </c>
      <c r="R29" s="522">
        <f t="shared" si="0"/>
        <v>272710.28073219844</v>
      </c>
    </row>
    <row r="30" spans="2:18" ht="15.75" x14ac:dyDescent="0.25">
      <c r="B30" s="560"/>
      <c r="C30" s="555"/>
      <c r="D30" s="551"/>
      <c r="E30" s="517"/>
      <c r="F30" s="512"/>
      <c r="G30" s="512"/>
      <c r="H30" s="512"/>
      <c r="I30" s="512"/>
      <c r="J30" s="512"/>
      <c r="K30" s="512"/>
      <c r="L30" s="512"/>
      <c r="M30" s="512"/>
      <c r="N30" s="512"/>
      <c r="O30" s="512"/>
      <c r="P30" s="512"/>
      <c r="Q30" s="512"/>
      <c r="R30" s="522"/>
    </row>
    <row r="31" spans="2:18" ht="15.75" x14ac:dyDescent="0.25">
      <c r="B31" s="560" t="s">
        <v>320</v>
      </c>
      <c r="C31" s="555" t="s">
        <v>322</v>
      </c>
      <c r="D31" s="551" t="str">
        <f>VLOOKUP(C31,'Cat. cuentas'!$A$1:$B$195,2,FALSE)</f>
        <v>MTTO CORRECTIVO TRACTOR</v>
      </c>
      <c r="E31" s="517"/>
      <c r="F31" s="512">
        <f>'Gtos Mtto 2014'!D43+'Gtos Mtto 2014 (Otros)'!D43</f>
        <v>175554.9833258868</v>
      </c>
      <c r="G31" s="512">
        <f>'Gtos Mtto 2014'!E43+'Gtos Mtto 2014 (Otros)'!E43</f>
        <v>172713.67843837914</v>
      </c>
      <c r="H31" s="512">
        <f>'Gtos Mtto 2014'!F43+'Gtos Mtto 2014 (Otros)'!F43</f>
        <v>178110.5232095673</v>
      </c>
      <c r="I31" s="512">
        <f>'Gtos Mtto 2014'!G43+'Gtos Mtto 2014 (Otros)'!G43</f>
        <v>186880.95873789908</v>
      </c>
      <c r="J31" s="512">
        <f>'Gtos Mtto 2014'!H43+'Gtos Mtto 2014 (Otros)'!H43</f>
        <v>181943.57937606933</v>
      </c>
      <c r="K31" s="512">
        <f>'Gtos Mtto 2014'!I43+'Gtos Mtto 2014 (Otros)'!I43</f>
        <v>183274.55750953784</v>
      </c>
      <c r="L31" s="512">
        <f>'Gtos Mtto 2014'!J43+'Gtos Mtto 2014 (Otros)'!J43</f>
        <v>195973.31610502847</v>
      </c>
      <c r="M31" s="512">
        <f>'Gtos Mtto 2014'!K43+'Gtos Mtto 2014 (Otros)'!K43</f>
        <v>193205.12825766724</v>
      </c>
      <c r="N31" s="512">
        <f>'Gtos Mtto 2014'!L43+'Gtos Mtto 2014 (Otros)'!L43</f>
        <v>175194.0228704116</v>
      </c>
      <c r="O31" s="512">
        <f>'Gtos Mtto 2014'!M43+'Gtos Mtto 2014 (Otros)'!M43</f>
        <v>217674.58804144431</v>
      </c>
      <c r="P31" s="512">
        <f>'Gtos Mtto 2014'!N43+'Gtos Mtto 2014 (Otros)'!N43</f>
        <v>197666.82804153574</v>
      </c>
      <c r="Q31" s="512">
        <f>'Gtos Mtto 2014'!O43+'Gtos Mtto 2014 (Otros)'!O43</f>
        <v>198302.41269761787</v>
      </c>
      <c r="R31" s="522">
        <f t="shared" si="0"/>
        <v>2256494.5766110448</v>
      </c>
    </row>
    <row r="32" spans="2:18" ht="15.75" x14ac:dyDescent="0.25">
      <c r="B32" s="560"/>
      <c r="C32" s="555" t="s">
        <v>323</v>
      </c>
      <c r="D32" s="551" t="str">
        <f>VLOOKUP(C32,'Cat. cuentas'!$A$1:$B$195,2,FALSE)</f>
        <v>AUXILIO CARRETERA TRACTOR</v>
      </c>
      <c r="E32" s="517"/>
      <c r="F32" s="512">
        <f>'Gtos Mtto 2014'!D44+'Gtos Mtto 2014 (Otros)'!D44</f>
        <v>5872.0367336738509</v>
      </c>
      <c r="G32" s="512">
        <f>'Gtos Mtto 2014'!E44+'Gtos Mtto 2014 (Otros)'!E44</f>
        <v>5776.9995757707857</v>
      </c>
      <c r="H32" s="512">
        <f>'Gtos Mtto 2014'!F44+'Gtos Mtto 2014 (Otros)'!F44</f>
        <v>5957.5155038405974</v>
      </c>
      <c r="I32" s="512">
        <f>'Gtos Mtto 2014'!G44+'Gtos Mtto 2014 (Otros)'!G44</f>
        <v>6250.8727108933927</v>
      </c>
      <c r="J32" s="512">
        <f>'Gtos Mtto 2014'!H44+'Gtos Mtto 2014 (Otros)'!H44</f>
        <v>6085.725174597439</v>
      </c>
      <c r="K32" s="512">
        <f>'Gtos Mtto 2014'!I44+'Gtos Mtto 2014 (Otros)'!I44</f>
        <v>6130.2442895970735</v>
      </c>
      <c r="L32" s="512">
        <f>'Gtos Mtto 2014'!J44+'Gtos Mtto 2014 (Otros)'!J44</f>
        <v>6554.9976946676416</v>
      </c>
      <c r="M32" s="512">
        <f>'Gtos Mtto 2014'!K44+'Gtos Mtto 2014 (Otros)'!K44</f>
        <v>6462.4061861985247</v>
      </c>
      <c r="N32" s="512">
        <f>'Gtos Mtto 2014'!L44+'Gtos Mtto 2014 (Otros)'!L44</f>
        <v>5859.9631769237167</v>
      </c>
      <c r="O32" s="512">
        <f>'Gtos Mtto 2014'!M44+'Gtos Mtto 2014 (Otros)'!M44</f>
        <v>7280.870942831305</v>
      </c>
      <c r="P32" s="512">
        <f>'Gtos Mtto 2014'!N44+'Gtos Mtto 2014 (Otros)'!N44</f>
        <v>6611.6429924067888</v>
      </c>
      <c r="Q32" s="512">
        <f>'Gtos Mtto 2014'!O44+'Gtos Mtto 2014 (Otros)'!O44</f>
        <v>6632.9022946331788</v>
      </c>
      <c r="R32" s="522">
        <f t="shared" si="0"/>
        <v>75476.177276034301</v>
      </c>
    </row>
    <row r="33" spans="2:18" ht="15.75" x14ac:dyDescent="0.25">
      <c r="B33" s="560"/>
      <c r="C33" s="556" t="s">
        <v>532</v>
      </c>
      <c r="D33" s="551" t="str">
        <f>VLOOKUP(C33,'Cat. cuentas'!$A$1:$B$195,2,FALSE)</f>
        <v>AUXILIO CARR COMPR./SOPLADOR</v>
      </c>
      <c r="E33" s="517"/>
      <c r="F33" s="512">
        <f>'Gtos Mtto 2014'!D45+'Gtos Mtto 2014 (Otros)'!D45</f>
        <v>609.07615850488173</v>
      </c>
      <c r="G33" s="512">
        <f>'Gtos Mtto 2014'!E45+'Gtos Mtto 2014 (Otros)'!E45</f>
        <v>613.70499948928682</v>
      </c>
      <c r="H33" s="512">
        <f>'Gtos Mtto 2014'!F45+'Gtos Mtto 2014 (Otros)'!F45</f>
        <v>612.10110179259755</v>
      </c>
      <c r="I33" s="512">
        <f>'Gtos Mtto 2014'!G45+'Gtos Mtto 2014 (Otros)'!G45</f>
        <v>608.47096581198628</v>
      </c>
      <c r="J33" s="512">
        <f>'Gtos Mtto 2014'!H45+'Gtos Mtto 2014 (Otros)'!H45</f>
        <v>614.23871200478538</v>
      </c>
      <c r="K33" s="512">
        <f>'Gtos Mtto 2014'!I45+'Gtos Mtto 2014 (Otros)'!I45</f>
        <v>615.73854093896023</v>
      </c>
      <c r="L33" s="512">
        <f>'Gtos Mtto 2014'!J45+'Gtos Mtto 2014 (Otros)'!J45</f>
        <v>609.94285679035079</v>
      </c>
      <c r="M33" s="512">
        <f>'Gtos Mtto 2014'!K45+'Gtos Mtto 2014 (Otros)'!K45</f>
        <v>614.00900495475753</v>
      </c>
      <c r="N33" s="512">
        <f>'Gtos Mtto 2014'!L45+'Gtos Mtto 2014 (Otros)'!L45</f>
        <v>629.12919750089054</v>
      </c>
      <c r="O33" s="512">
        <f>'Gtos Mtto 2014'!M45+'Gtos Mtto 2014 (Otros)'!M45</f>
        <v>605.33474425659119</v>
      </c>
      <c r="P33" s="512">
        <f>'Gtos Mtto 2014'!N45+'Gtos Mtto 2014 (Otros)'!N45</f>
        <v>618.40669993583265</v>
      </c>
      <c r="Q33" s="512">
        <f>'Gtos Mtto 2014'!O45+'Gtos Mtto 2014 (Otros)'!O45</f>
        <v>620.39514591633372</v>
      </c>
      <c r="R33" s="522">
        <f t="shared" si="0"/>
        <v>7370.5481278972557</v>
      </c>
    </row>
    <row r="34" spans="2:18" ht="15.75" x14ac:dyDescent="0.25">
      <c r="B34" s="560" t="s">
        <v>324</v>
      </c>
      <c r="C34" s="555" t="s">
        <v>325</v>
      </c>
      <c r="D34" s="551" t="str">
        <f>VLOOKUP(C34,'Cat. cuentas'!$A$1:$B$195,2,FALSE)</f>
        <v>MTTO CORRECTIVO TOLVA</v>
      </c>
      <c r="E34" s="517"/>
      <c r="F34" s="512">
        <f>'Gtos Mtto 2014'!D46+'Gtos Mtto 2014 (Otros)'!D46</f>
        <v>79013.546423766194</v>
      </c>
      <c r="G34" s="512">
        <f>'Gtos Mtto 2014'!E46+'Gtos Mtto 2014 (Otros)'!E46</f>
        <v>77734.735811956823</v>
      </c>
      <c r="H34" s="512">
        <f>'Gtos Mtto 2014'!F46+'Gtos Mtto 2014 (Otros)'!F46</f>
        <v>80163.740314087991</v>
      </c>
      <c r="I34" s="512">
        <f>'Gtos Mtto 2014'!G46+'Gtos Mtto 2014 (Otros)'!G46</f>
        <v>84111.125923120155</v>
      </c>
      <c r="J34" s="512">
        <f>'Gtos Mtto 2014'!H46+'Gtos Mtto 2014 (Otros)'!H46</f>
        <v>81888.916983066927</v>
      </c>
      <c r="K34" s="512">
        <f>'Gtos Mtto 2014'!I46+'Gtos Mtto 2014 (Otros)'!I46</f>
        <v>82487.961798232398</v>
      </c>
      <c r="L34" s="512">
        <f>'Gtos Mtto 2014'!J46+'Gtos Mtto 2014 (Otros)'!J46</f>
        <v>88203.401672396561</v>
      </c>
      <c r="M34" s="512">
        <f>'Gtos Mtto 2014'!K46+'Gtos Mtto 2014 (Otros)'!K46</f>
        <v>86957.499477862119</v>
      </c>
      <c r="N34" s="512">
        <f>'Gtos Mtto 2014'!L46+'Gtos Mtto 2014 (Otros)'!L46</f>
        <v>78851.08583640201</v>
      </c>
      <c r="O34" s="512">
        <f>'Gtos Mtto 2014'!M46+'Gtos Mtto 2014 (Otros)'!M46</f>
        <v>97970.68041958964</v>
      </c>
      <c r="P34" s="512">
        <f>'Gtos Mtto 2014'!N46+'Gtos Mtto 2014 (Otros)'!N46</f>
        <v>88965.615205042501</v>
      </c>
      <c r="Q34" s="512">
        <f>'Gtos Mtto 2014'!O46+'Gtos Mtto 2014 (Otros)'!O46</f>
        <v>89251.678276441351</v>
      </c>
      <c r="R34" s="522">
        <f t="shared" si="0"/>
        <v>1015599.9881419647</v>
      </c>
    </row>
    <row r="35" spans="2:18" ht="15.75" x14ac:dyDescent="0.25">
      <c r="B35" s="560"/>
      <c r="C35" s="555"/>
      <c r="D35" s="551"/>
      <c r="E35" s="517"/>
      <c r="F35" s="512"/>
      <c r="G35" s="512"/>
      <c r="H35" s="512"/>
      <c r="I35" s="512"/>
      <c r="J35" s="512"/>
      <c r="K35" s="512"/>
      <c r="L35" s="512"/>
      <c r="M35" s="512"/>
      <c r="N35" s="512"/>
      <c r="O35" s="512"/>
      <c r="P35" s="512"/>
      <c r="Q35" s="512"/>
      <c r="R35" s="522"/>
    </row>
    <row r="36" spans="2:18" ht="15.75" x14ac:dyDescent="0.25">
      <c r="B36" s="560"/>
      <c r="C36" s="555" t="s">
        <v>326</v>
      </c>
      <c r="D36" s="551" t="str">
        <f>VLOOKUP(C36,'Cat. cuentas'!$A$1:$B$195,2,FALSE)</f>
        <v>MTTO CORRECTIVO CAJA VOLTEO</v>
      </c>
      <c r="E36" s="517"/>
      <c r="F36" s="512">
        <f>'Gtos Mtto 2014'!D47+'Gtos Mtto 2014 (Otros)'!D47</f>
        <v>13156.045023705447</v>
      </c>
      <c r="G36" s="512">
        <f>'Gtos Mtto 2014'!E47+'Gtos Mtto 2014 (Otros)'!E47</f>
        <v>13256.027988968595</v>
      </c>
      <c r="H36" s="512">
        <f>'Gtos Mtto 2014'!F47+'Gtos Mtto 2014 (Otros)'!F47</f>
        <v>13221.383798720106</v>
      </c>
      <c r="I36" s="512">
        <f>'Gtos Mtto 2014'!G47+'Gtos Mtto 2014 (Otros)'!G47</f>
        <v>13142.972861538905</v>
      </c>
      <c r="J36" s="512">
        <f>'Gtos Mtto 2014'!H47+'Gtos Mtto 2014 (Otros)'!H47</f>
        <v>13267.556179303363</v>
      </c>
      <c r="K36" s="512">
        <f>'Gtos Mtto 2014'!I47+'Gtos Mtto 2014 (Otros)'!I47</f>
        <v>13299.952484281541</v>
      </c>
      <c r="L36" s="512">
        <f>'Gtos Mtto 2014'!J47+'Gtos Mtto 2014 (Otros)'!J47</f>
        <v>13174.765706671578</v>
      </c>
      <c r="M36" s="512">
        <f>'Gtos Mtto 2014'!K47+'Gtos Mtto 2014 (Otros)'!K47</f>
        <v>13262.594507022766</v>
      </c>
      <c r="N36" s="512">
        <f>'Gtos Mtto 2014'!L47+'Gtos Mtto 2014 (Otros)'!L47</f>
        <v>13589.190666019236</v>
      </c>
      <c r="O36" s="512">
        <f>'Gtos Mtto 2014'!M47+'Gtos Mtto 2014 (Otros)'!M47</f>
        <v>13075.23047594237</v>
      </c>
      <c r="P36" s="512">
        <f>'Gtos Mtto 2014'!N47+'Gtos Mtto 2014 (Otros)'!N47</f>
        <v>13357.584718613987</v>
      </c>
      <c r="Q36" s="512">
        <f>'Gtos Mtto 2014'!O47+'Gtos Mtto 2014 (Otros)'!O47</f>
        <v>13400.53515179281</v>
      </c>
      <c r="R36" s="522">
        <f t="shared" si="0"/>
        <v>159203.83956258069</v>
      </c>
    </row>
    <row r="37" spans="2:18" ht="15.75" x14ac:dyDescent="0.25">
      <c r="B37" s="560"/>
      <c r="C37" s="555" t="s">
        <v>327</v>
      </c>
      <c r="D37" s="551" t="str">
        <f>VLOOKUP(C37,'Cat. cuentas'!$A$1:$B$195,2,FALSE)</f>
        <v>MTTO CORRECTIVO PLANA</v>
      </c>
      <c r="E37" s="517"/>
      <c r="F37" s="512">
        <f>'Gtos Mtto 2014'!D48+'Gtos Mtto 2014 (Otros)'!D48</f>
        <v>31634.834857712849</v>
      </c>
      <c r="G37" s="512">
        <f>'Gtos Mtto 2014'!E48+'Gtos Mtto 2014 (Otros)'!E48</f>
        <v>31122.834519164418</v>
      </c>
      <c r="H37" s="512">
        <f>'Gtos Mtto 2014'!F48+'Gtos Mtto 2014 (Otros)'!F48</f>
        <v>32095.340624401681</v>
      </c>
      <c r="I37" s="512">
        <f>'Gtos Mtto 2014'!G48+'Gtos Mtto 2014 (Otros)'!G48</f>
        <v>33675.764456939381</v>
      </c>
      <c r="J37" s="512">
        <f>'Gtos Mtto 2014'!H48+'Gtos Mtto 2014 (Otros)'!H48</f>
        <v>32786.053565329901</v>
      </c>
      <c r="K37" s="512">
        <f>'Gtos Mtto 2014'!I48+'Gtos Mtto 2014 (Otros)'!I48</f>
        <v>33025.894512330204</v>
      </c>
      <c r="L37" s="512">
        <f>'Gtos Mtto 2014'!J48+'Gtos Mtto 2014 (Otros)'!J48</f>
        <v>35314.198287339423</v>
      </c>
      <c r="M37" s="512">
        <f>'Gtos Mtto 2014'!K48+'Gtos Mtto 2014 (Otros)'!K48</f>
        <v>34815.37356731516</v>
      </c>
      <c r="N37" s="512">
        <f>'Gtos Mtto 2014'!L48+'Gtos Mtto 2014 (Otros)'!L48</f>
        <v>31569.79013962629</v>
      </c>
      <c r="O37" s="512">
        <f>'Gtos Mtto 2014'!M48+'Gtos Mtto 2014 (Otros)'!M48</f>
        <v>39224.74608783357</v>
      </c>
      <c r="P37" s="512">
        <f>'Gtos Mtto 2014'!N48+'Gtos Mtto 2014 (Otros)'!N48</f>
        <v>35619.367468105564</v>
      </c>
      <c r="Q37" s="512">
        <f>'Gtos Mtto 2014'!O48+'Gtos Mtto 2014 (Otros)'!O48</f>
        <v>35733.899196298829</v>
      </c>
      <c r="R37" s="522">
        <f t="shared" si="0"/>
        <v>406618.09728239733</v>
      </c>
    </row>
    <row r="38" spans="2:18" ht="15.75" x14ac:dyDescent="0.25">
      <c r="B38" s="560"/>
      <c r="C38" s="555" t="s">
        <v>328</v>
      </c>
      <c r="D38" s="551" t="str">
        <f>VLOOKUP(C38,'Cat. cuentas'!$A$1:$B$195,2,FALSE)</f>
        <v>MTTO CORRECTIVO DOLLY</v>
      </c>
      <c r="E38" s="521"/>
      <c r="F38" s="512">
        <f>'Gtos Mtto 2014'!D49+'Gtos Mtto 2014 (Otros)'!D49</f>
        <v>39580.527472563816</v>
      </c>
      <c r="G38" s="512">
        <f>'Gtos Mtto 2014'!E49+'Gtos Mtto 2014 (Otros)'!E49</f>
        <v>38939.928476013745</v>
      </c>
      <c r="H38" s="512">
        <f>'Gtos Mtto 2014'!F49+'Gtos Mtto 2014 (Otros)'!F49</f>
        <v>40156.698052612133</v>
      </c>
      <c r="I38" s="512">
        <f>'Gtos Mtto 2014'!G49+'Gtos Mtto 2014 (Otros)'!G49</f>
        <v>42134.075497552461</v>
      </c>
      <c r="J38" s="512">
        <f>'Gtos Mtto 2014'!H49+'Gtos Mtto 2014 (Otros)'!H49</f>
        <v>41020.896732865382</v>
      </c>
      <c r="K38" s="512">
        <f>'Gtos Mtto 2014'!I49+'Gtos Mtto 2014 (Otros)'!I49</f>
        <v>41320.978311747931</v>
      </c>
      <c r="L38" s="512">
        <f>'Gtos Mtto 2014'!J49+'Gtos Mtto 2014 (Otros)'!J49</f>
        <v>44184.033258603195</v>
      </c>
      <c r="M38" s="512">
        <f>'Gtos Mtto 2014'!K49+'Gtos Mtto 2014 (Otros)'!K49</f>
        <v>43559.919188663596</v>
      </c>
      <c r="N38" s="512">
        <f>'Gtos Mtto 2014'!L49+'Gtos Mtto 2014 (Otros)'!L49</f>
        <v>39499.145531967326</v>
      </c>
      <c r="O38" s="512">
        <f>'Gtos Mtto 2014'!M49+'Gtos Mtto 2014 (Otros)'!M49</f>
        <v>49076.789783061409</v>
      </c>
      <c r="P38" s="512">
        <f>'Gtos Mtto 2014'!N49+'Gtos Mtto 2014 (Otros)'!N49</f>
        <v>44565.851504136059</v>
      </c>
      <c r="Q38" s="512">
        <f>'Gtos Mtto 2014'!O49+'Gtos Mtto 2014 (Otros)'!O49</f>
        <v>44709.150062027176</v>
      </c>
      <c r="R38" s="522">
        <f t="shared" si="0"/>
        <v>508747.99387181422</v>
      </c>
    </row>
    <row r="39" spans="2:18" ht="15.75" x14ac:dyDescent="0.25">
      <c r="B39" s="560"/>
      <c r="C39" s="556" t="s">
        <v>522</v>
      </c>
      <c r="D39" s="551" t="str">
        <f>VLOOKUP(C39,'Cat. cuentas'!$A$1:$B$195,2,FALSE)</f>
        <v>AUXILIO CARRETERA TOLVA</v>
      </c>
      <c r="E39" s="521"/>
      <c r="F39" s="512">
        <f>'Gtos Mtto 2014'!D50+'Gtos Mtto 2014 (Otros)'!D50</f>
        <v>354.2568527910426</v>
      </c>
      <c r="G39" s="512">
        <f>'Gtos Mtto 2014'!E50+'Gtos Mtto 2014 (Otros)'!E50</f>
        <v>348.5233116052604</v>
      </c>
      <c r="H39" s="512">
        <f>'Gtos Mtto 2014'!F50+'Gtos Mtto 2014 (Otros)'!F50</f>
        <v>359.41374152882383</v>
      </c>
      <c r="I39" s="512">
        <f>'Gtos Mtto 2014'!G50+'Gtos Mtto 2014 (Otros)'!G50</f>
        <v>377.11182579286304</v>
      </c>
      <c r="J39" s="512">
        <f>'Gtos Mtto 2014'!H50+'Gtos Mtto 2014 (Otros)'!H50</f>
        <v>367.14856277052922</v>
      </c>
      <c r="K39" s="512">
        <f>'Gtos Mtto 2014'!I50+'Gtos Mtto 2014 (Otros)'!I50</f>
        <v>369.83437729862487</v>
      </c>
      <c r="L39" s="512">
        <f>'Gtos Mtto 2014'!J50+'Gtos Mtto 2014 (Otros)'!J50</f>
        <v>395.45952429909943</v>
      </c>
      <c r="M39" s="512">
        <f>'Gtos Mtto 2014'!K50+'Gtos Mtto 2014 (Otros)'!K50</f>
        <v>389.87352784282007</v>
      </c>
      <c r="N39" s="512">
        <f>'Gtos Mtto 2014'!L50+'Gtos Mtto 2014 (Otros)'!L50</f>
        <v>353.52846153426299</v>
      </c>
      <c r="O39" s="512">
        <f>'Gtos Mtto 2014'!M50+'Gtos Mtto 2014 (Otros)'!M50</f>
        <v>439.25107126695826</v>
      </c>
      <c r="P39" s="512">
        <f>'Gtos Mtto 2014'!N50+'Gtos Mtto 2014 (Otros)'!N50</f>
        <v>398.87690498192205</v>
      </c>
      <c r="Q39" s="512">
        <f>'Gtos Mtto 2014'!O50+'Gtos Mtto 2014 (Otros)'!O50</f>
        <v>400.15946737736238</v>
      </c>
      <c r="R39" s="522">
        <f>SUM(F39:Q39)</f>
        <v>4553.4376290895698</v>
      </c>
    </row>
    <row r="40" spans="2:18" ht="15.75" x14ac:dyDescent="0.25">
      <c r="B40" s="560"/>
      <c r="C40" s="556" t="s">
        <v>524</v>
      </c>
      <c r="D40" s="551" t="str">
        <f>VLOOKUP(C40,'Cat. cuentas'!$A$1:$B$195,2,FALSE)</f>
        <v>AUXILIO CARRETERA CAJA VOLTEO</v>
      </c>
      <c r="E40" s="521"/>
      <c r="F40" s="512">
        <f>'Gtos Mtto 2014'!D51+'Gtos Mtto 2014 (Otros)'!D51</f>
        <v>1254.5710782675437</v>
      </c>
      <c r="G40" s="512">
        <f>'Gtos Mtto 2014'!E51+'Gtos Mtto 2014 (Otros)'!E51</f>
        <v>1234.2662206732123</v>
      </c>
      <c r="H40" s="512">
        <f>'Gtos Mtto 2014'!F51+'Gtos Mtto 2014 (Otros)'!F51</f>
        <v>1272.8337693440667</v>
      </c>
      <c r="I40" s="512">
        <f>'Gtos Mtto 2014'!G51+'Gtos Mtto 2014 (Otros)'!G51</f>
        <v>1335.5100577022827</v>
      </c>
      <c r="J40" s="512">
        <f>'Gtos Mtto 2014'!H51+'Gtos Mtto 2014 (Otros)'!H51</f>
        <v>1300.2259932317911</v>
      </c>
      <c r="K40" s="512">
        <f>'Gtos Mtto 2014'!I51+'Gtos Mtto 2014 (Otros)'!I51</f>
        <v>1309.7375812278801</v>
      </c>
      <c r="L40" s="512">
        <f>'Gtos Mtto 2014'!J51+'Gtos Mtto 2014 (Otros)'!J51</f>
        <v>1400.4869006831409</v>
      </c>
      <c r="M40" s="512">
        <f>'Gtos Mtto 2014'!K51+'Gtos Mtto 2014 (Otros)'!K51</f>
        <v>1380.704560434421</v>
      </c>
      <c r="N40" s="512">
        <f>'Gtos Mtto 2014'!L51+'Gtos Mtto 2014 (Otros)'!L51</f>
        <v>1251.9915414224013</v>
      </c>
      <c r="O40" s="512">
        <f>'Gtos Mtto 2014'!M51+'Gtos Mtto 2014 (Otros)'!M51</f>
        <v>1555.5710094748954</v>
      </c>
      <c r="P40" s="512">
        <f>'Gtos Mtto 2014'!N51+'Gtos Mtto 2014 (Otros)'!N51</f>
        <v>1412.5892691604797</v>
      </c>
      <c r="Q40" s="512">
        <f>'Gtos Mtto 2014'!O51+'Gtos Mtto 2014 (Otros)'!O51</f>
        <v>1417.1313568426679</v>
      </c>
      <c r="R40" s="522">
        <f t="shared" si="0"/>
        <v>16125.619338464785</v>
      </c>
    </row>
    <row r="41" spans="2:18" ht="15.75" x14ac:dyDescent="0.25">
      <c r="B41" s="560"/>
      <c r="C41" s="556" t="s">
        <v>526</v>
      </c>
      <c r="D41" s="551" t="str">
        <f>VLOOKUP(C41,'Cat. cuentas'!$A$1:$B$195,2,FALSE)</f>
        <v>AUXILIO CARRETERA CAJA SECA</v>
      </c>
      <c r="E41" s="521"/>
      <c r="F41" s="512">
        <f>'Gtos Mtto 2014'!D52+'Gtos Mtto 2014 (Otros)'!D52</f>
        <v>121.81523170097637</v>
      </c>
      <c r="G41" s="512">
        <f>'Gtos Mtto 2014'!E52+'Gtos Mtto 2014 (Otros)'!E52</f>
        <v>122.74099989785735</v>
      </c>
      <c r="H41" s="512">
        <f>'Gtos Mtto 2014'!F52+'Gtos Mtto 2014 (Otros)'!F52</f>
        <v>122.4202203585195</v>
      </c>
      <c r="I41" s="512">
        <f>'Gtos Mtto 2014'!G52+'Gtos Mtto 2014 (Otros)'!G52</f>
        <v>121.69419316239727</v>
      </c>
      <c r="J41" s="512">
        <f>'Gtos Mtto 2014'!H52+'Gtos Mtto 2014 (Otros)'!H52</f>
        <v>122.84774240095706</v>
      </c>
      <c r="K41" s="512">
        <f>'Gtos Mtto 2014'!I52+'Gtos Mtto 2014 (Otros)'!I52</f>
        <v>123.14770818779203</v>
      </c>
      <c r="L41" s="512">
        <f>'Gtos Mtto 2014'!J52+'Gtos Mtto 2014 (Otros)'!J52</f>
        <v>121.98857135807016</v>
      </c>
      <c r="M41" s="512">
        <f>'Gtos Mtto 2014'!K52+'Gtos Mtto 2014 (Otros)'!K52</f>
        <v>122.80180099095152</v>
      </c>
      <c r="N41" s="512">
        <f>'Gtos Mtto 2014'!L52+'Gtos Mtto 2014 (Otros)'!L52</f>
        <v>125.82583950017811</v>
      </c>
      <c r="O41" s="512">
        <f>'Gtos Mtto 2014'!M52+'Gtos Mtto 2014 (Otros)'!M52</f>
        <v>121.06694885131823</v>
      </c>
      <c r="P41" s="512">
        <f>'Gtos Mtto 2014'!N52+'Gtos Mtto 2014 (Otros)'!N52</f>
        <v>123.68133998716652</v>
      </c>
      <c r="Q41" s="512">
        <f>'Gtos Mtto 2014'!O52+'Gtos Mtto 2014 (Otros)'!O52</f>
        <v>124.07902918326675</v>
      </c>
      <c r="R41" s="522">
        <f t="shared" si="0"/>
        <v>1474.1096255794509</v>
      </c>
    </row>
    <row r="42" spans="2:18" ht="15.75" x14ac:dyDescent="0.25">
      <c r="B42" s="560"/>
      <c r="C42" s="556" t="s">
        <v>528</v>
      </c>
      <c r="D42" s="551" t="str">
        <f>VLOOKUP(C42,'Cat. cuentas'!$A$1:$B$195,2,FALSE)</f>
        <v>AUXILIO CARRETERA PLANA</v>
      </c>
      <c r="E42" s="521"/>
      <c r="F42" s="512">
        <f>'Gtos Mtto 2014'!D53+'Gtos Mtto 2014 (Otros)'!D53</f>
        <v>365.44569510292905</v>
      </c>
      <c r="G42" s="512">
        <f>'Gtos Mtto 2014'!E53+'Gtos Mtto 2014 (Otros)'!E53</f>
        <v>368.22299969357209</v>
      </c>
      <c r="H42" s="512">
        <f>'Gtos Mtto 2014'!F53+'Gtos Mtto 2014 (Otros)'!F53</f>
        <v>367.26066107555852</v>
      </c>
      <c r="I42" s="512">
        <f>'Gtos Mtto 2014'!G53+'Gtos Mtto 2014 (Otros)'!G53</f>
        <v>365.08257948719177</v>
      </c>
      <c r="J42" s="512">
        <f>'Gtos Mtto 2014'!H53+'Gtos Mtto 2014 (Otros)'!H53</f>
        <v>368.54322720287121</v>
      </c>
      <c r="K42" s="512">
        <f>'Gtos Mtto 2014'!I53+'Gtos Mtto 2014 (Otros)'!I53</f>
        <v>369.4431245633761</v>
      </c>
      <c r="L42" s="512">
        <f>'Gtos Mtto 2014'!J53+'Gtos Mtto 2014 (Otros)'!J53</f>
        <v>365.96571407421044</v>
      </c>
      <c r="M42" s="512">
        <f>'Gtos Mtto 2014'!K53+'Gtos Mtto 2014 (Otros)'!K53</f>
        <v>368.40540297285463</v>
      </c>
      <c r="N42" s="512">
        <f>'Gtos Mtto 2014'!L53+'Gtos Mtto 2014 (Otros)'!L53</f>
        <v>377.4775185005343</v>
      </c>
      <c r="O42" s="512">
        <f>'Gtos Mtto 2014'!M53+'Gtos Mtto 2014 (Otros)'!M53</f>
        <v>363.2008465539547</v>
      </c>
      <c r="P42" s="512">
        <f>'Gtos Mtto 2014'!N53+'Gtos Mtto 2014 (Otros)'!N53</f>
        <v>371.0440199614996</v>
      </c>
      <c r="Q42" s="512">
        <f>'Gtos Mtto 2014'!O53+'Gtos Mtto 2014 (Otros)'!O53</f>
        <v>372.23708754980026</v>
      </c>
      <c r="R42" s="522">
        <f t="shared" si="0"/>
        <v>4422.3288767383519</v>
      </c>
    </row>
    <row r="43" spans="2:18" ht="15.75" x14ac:dyDescent="0.25">
      <c r="B43" s="560"/>
      <c r="C43" s="556" t="s">
        <v>530</v>
      </c>
      <c r="D43" s="551" t="str">
        <f>VLOOKUP(C43,'Cat. cuentas'!$A$1:$B$195,2,FALSE)</f>
        <v>AUXILIO CARRETERA DOLLY</v>
      </c>
      <c r="E43" s="521"/>
      <c r="F43" s="512">
        <f>'Gtos Mtto 2014'!D54+'Gtos Mtto 2014 (Otros)'!D54</f>
        <v>159.68533522884167</v>
      </c>
      <c r="G43" s="512">
        <f>'Gtos Mtto 2014'!E54+'Gtos Mtto 2014 (Otros)'!E54</f>
        <v>157.10087584834793</v>
      </c>
      <c r="H43" s="512">
        <f>'Gtos Mtto 2014'!F54+'Gtos Mtto 2014 (Otros)'!F54</f>
        <v>162.00986191150881</v>
      </c>
      <c r="I43" s="512">
        <f>'Gtos Mtto 2014'!G54+'Gtos Mtto 2014 (Otros)'!G54</f>
        <v>169.987476166097</v>
      </c>
      <c r="J43" s="512">
        <f>'Gtos Mtto 2014'!H54+'Gtos Mtto 2014 (Otros)'!H54</f>
        <v>165.49642120651109</v>
      </c>
      <c r="K43" s="512">
        <f>'Gtos Mtto 2014'!I54+'Gtos Mtto 2014 (Otros)'!I54</f>
        <v>166.7070828772803</v>
      </c>
      <c r="L43" s="512">
        <f>'Gtos Mtto 2014'!J54+'Gtos Mtto 2014 (Otros)'!J54</f>
        <v>178.25791148319229</v>
      </c>
      <c r="M43" s="512">
        <f>'Gtos Mtto 2014'!K54+'Gtos Mtto 2014 (Otros)'!K54</f>
        <v>175.73995957998878</v>
      </c>
      <c r="N43" s="512">
        <f>'Gtos Mtto 2014'!L54+'Gtos Mtto 2014 (Otros)'!L54</f>
        <v>159.35700452443831</v>
      </c>
      <c r="O43" s="512">
        <f>'Gtos Mtto 2014'!M54+'Gtos Mtto 2014 (Otros)'!M54</f>
        <v>197.99745301261709</v>
      </c>
      <c r="P43" s="512">
        <f>'Gtos Mtto 2014'!N54+'Gtos Mtto 2014 (Otros)'!N54</f>
        <v>179.7983349799905</v>
      </c>
      <c r="Q43" s="512">
        <f>'Gtos Mtto 2014'!O54+'Gtos Mtto 2014 (Otros)'!O54</f>
        <v>180.37646467445995</v>
      </c>
      <c r="R43" s="522">
        <f t="shared" si="0"/>
        <v>2052.5141814932736</v>
      </c>
    </row>
    <row r="44" spans="2:18" ht="15.75" x14ac:dyDescent="0.25">
      <c r="B44" s="560"/>
      <c r="C44" s="555"/>
      <c r="D44" s="551"/>
      <c r="E44" s="521"/>
      <c r="F44" s="512">
        <f>'Gtos Mtto 2014'!D55+'Gtos Mtto 2014 (Otros)'!D55</f>
        <v>0</v>
      </c>
      <c r="G44" s="512">
        <f>'Gtos Mtto 2014'!E55+'Gtos Mtto 2014 (Otros)'!E55</f>
        <v>0</v>
      </c>
      <c r="H44" s="512">
        <f>'Gtos Mtto 2014'!F55+'Gtos Mtto 2014 (Otros)'!F55</f>
        <v>0</v>
      </c>
      <c r="I44" s="512">
        <f>'Gtos Mtto 2014'!G55+'Gtos Mtto 2014 (Otros)'!G55</f>
        <v>0</v>
      </c>
      <c r="J44" s="512">
        <f>'Gtos Mtto 2014'!H55+'Gtos Mtto 2014 (Otros)'!H55</f>
        <v>0</v>
      </c>
      <c r="K44" s="512">
        <f>'Gtos Mtto 2014'!I55+'Gtos Mtto 2014 (Otros)'!I55</f>
        <v>0</v>
      </c>
      <c r="L44" s="512">
        <f>'Gtos Mtto 2014'!J55+'Gtos Mtto 2014 (Otros)'!J55</f>
        <v>0</v>
      </c>
      <c r="M44" s="512">
        <f>'Gtos Mtto 2014'!K55+'Gtos Mtto 2014 (Otros)'!K55</f>
        <v>0</v>
      </c>
      <c r="N44" s="512">
        <f>'Gtos Mtto 2014'!L55+'Gtos Mtto 2014 (Otros)'!L55</f>
        <v>0</v>
      </c>
      <c r="O44" s="512">
        <f>'Gtos Mtto 2014'!M55+'Gtos Mtto 2014 (Otros)'!M55</f>
        <v>0</v>
      </c>
      <c r="P44" s="512">
        <f>'Gtos Mtto 2014'!N55+'Gtos Mtto 2014 (Otros)'!N55</f>
        <v>0</v>
      </c>
      <c r="Q44" s="512">
        <f>'Gtos Mtto 2014'!O55+'Gtos Mtto 2014 (Otros)'!O55</f>
        <v>0</v>
      </c>
      <c r="R44" s="522">
        <f t="shared" si="0"/>
        <v>0</v>
      </c>
    </row>
    <row r="45" spans="2:18" ht="15.75" x14ac:dyDescent="0.25">
      <c r="B45" s="560" t="s">
        <v>329</v>
      </c>
      <c r="C45" s="556" t="s">
        <v>308</v>
      </c>
      <c r="D45" s="551" t="str">
        <f>VLOOKUP(C45,'Cat. cuentas'!$A$1:$B$195,2,FALSE)</f>
        <v>MANTENIMIENTO DE EDIFICIOS</v>
      </c>
      <c r="E45" s="521"/>
      <c r="F45" s="512">
        <f>'Gtos Mtto 2014'!D56+'Gtos Mtto 2014 (Otros)'!D56</f>
        <v>17847.347900375604</v>
      </c>
      <c r="G45" s="512">
        <f>'Gtos Mtto 2014'!E56+'Gtos Mtto 2014 (Otros)'!E56</f>
        <v>6949.9042988521887</v>
      </c>
      <c r="H45" s="512">
        <f>'Gtos Mtto 2014'!F56+'Gtos Mtto 2014 (Otros)'!F56</f>
        <v>6908.8639212233775</v>
      </c>
      <c r="I45" s="512">
        <f>'Gtos Mtto 2014'!G56+'Gtos Mtto 2014 (Otros)'!G56</f>
        <v>6845.2983653848451</v>
      </c>
      <c r="J45" s="512">
        <f>'Gtos Mtto 2014'!H56+'Gtos Mtto 2014 (Otros)'!H56</f>
        <v>28637.621261337863</v>
      </c>
      <c r="K45" s="512">
        <f>'Gtos Mtto 2014'!I56+'Gtos Mtto 2014 (Otros)'!I56</f>
        <v>6881.7836928472025</v>
      </c>
      <c r="L45" s="512">
        <f>'Gtos Mtto 2014'!J56+'Gtos Mtto 2014 (Otros)'!J56</f>
        <v>6794.803160335503</v>
      </c>
      <c r="M45" s="512">
        <f>'Gtos Mtto 2014'!K56+'Gtos Mtto 2014 (Otros)'!K56</f>
        <v>6817.8921978742574</v>
      </c>
      <c r="N45" s="512">
        <f>'Gtos Mtto 2014'!L56+'Gtos Mtto 2014 (Otros)'!L56</f>
        <v>6963.1775257380123</v>
      </c>
      <c r="O45" s="512">
        <f>'Gtos Mtto 2014'!M56+'Gtos Mtto 2014 (Otros)'!M56</f>
        <v>6678.2091140565853</v>
      </c>
      <c r="P45" s="512">
        <f>'Gtos Mtto 2014'!N56+'Gtos Mtto 2014 (Otros)'!N56</f>
        <v>6800.4852533136582</v>
      </c>
      <c r="Q45" s="512">
        <f>'Gtos Mtto 2014'!O56+'Gtos Mtto 2014 (Otros)'!O56</f>
        <v>6800.4852533136582</v>
      </c>
      <c r="R45" s="522">
        <f t="shared" si="0"/>
        <v>114925.87194465274</v>
      </c>
    </row>
    <row r="46" spans="2:18" ht="15.75" x14ac:dyDescent="0.25">
      <c r="B46" s="560" t="s">
        <v>330</v>
      </c>
      <c r="C46" s="556" t="s">
        <v>406</v>
      </c>
      <c r="D46" s="551" t="str">
        <f>VLOOKUP(C46,'Cat. cuentas'!$A$1:$B$195,2,FALSE)</f>
        <v>MTTO. DE EQUIPO DE OFICINA</v>
      </c>
      <c r="E46" s="521"/>
      <c r="F46" s="512">
        <f>'Gtos Mtto 2014'!D57+'Gtos Mtto 2014 (Otros)'!D57</f>
        <v>1578.3368891488631</v>
      </c>
      <c r="G46" s="512">
        <f>'Gtos Mtto 2014'!E57+'Gtos Mtto 2014 (Otros)'!E57</f>
        <v>0</v>
      </c>
      <c r="H46" s="512">
        <f>'Gtos Mtto 2014'!F57+'Gtos Mtto 2014 (Otros)'!F57</f>
        <v>0</v>
      </c>
      <c r="I46" s="512">
        <f>'Gtos Mtto 2014'!G57+'Gtos Mtto 2014 (Otros)'!G57</f>
        <v>0</v>
      </c>
      <c r="J46" s="512">
        <f>'Gtos Mtto 2014'!H57+'Gtos Mtto 2014 (Otros)'!H57</f>
        <v>0</v>
      </c>
      <c r="K46" s="512">
        <f>'Gtos Mtto 2014'!I57+'Gtos Mtto 2014 (Otros)'!I57</f>
        <v>0</v>
      </c>
      <c r="L46" s="512">
        <f>'Gtos Mtto 2014'!J57+'Gtos Mtto 2014 (Otros)'!J57</f>
        <v>0</v>
      </c>
      <c r="M46" s="512">
        <f>'Gtos Mtto 2014'!K57+'Gtos Mtto 2014 (Otros)'!K57</f>
        <v>0</v>
      </c>
      <c r="N46" s="512">
        <f>'Gtos Mtto 2014'!L57+'Gtos Mtto 2014 (Otros)'!L57</f>
        <v>0</v>
      </c>
      <c r="O46" s="512">
        <f>'Gtos Mtto 2014'!M57+'Gtos Mtto 2014 (Otros)'!M57</f>
        <v>0</v>
      </c>
      <c r="P46" s="512">
        <f>'Gtos Mtto 2014'!N57+'Gtos Mtto 2014 (Otros)'!N57</f>
        <v>0</v>
      </c>
      <c r="Q46" s="512">
        <f>'Gtos Mtto 2014'!O57+'Gtos Mtto 2014 (Otros)'!O57</f>
        <v>0</v>
      </c>
      <c r="R46" s="522">
        <f t="shared" si="0"/>
        <v>1578.3368891488631</v>
      </c>
    </row>
    <row r="47" spans="2:18" ht="15.75" x14ac:dyDescent="0.25">
      <c r="B47" s="560"/>
      <c r="C47" s="556" t="s">
        <v>413</v>
      </c>
      <c r="D47" s="551" t="str">
        <f>VLOOKUP(C47,'Cat. cuentas'!$A$1:$B$195,2,FALSE)</f>
        <v>MTTO. EQUIPO RADIOCOMUNICACION</v>
      </c>
      <c r="E47" s="521"/>
      <c r="F47" s="512">
        <f>'Gtos Mtto 2014'!D58+'Gtos Mtto 2014 (Otros)'!D58</f>
        <v>0</v>
      </c>
      <c r="G47" s="512">
        <f>'Gtos Mtto 2014'!E58+'Gtos Mtto 2014 (Otros)'!E58</f>
        <v>0</v>
      </c>
      <c r="H47" s="512">
        <f>'Gtos Mtto 2014'!F58+'Gtos Mtto 2014 (Otros)'!F58</f>
        <v>1818.1220845324679</v>
      </c>
      <c r="I47" s="512">
        <f>'Gtos Mtto 2014'!G58+'Gtos Mtto 2014 (Otros)'!G58</f>
        <v>0</v>
      </c>
      <c r="J47" s="512">
        <f>'Gtos Mtto 2014'!H58+'Gtos Mtto 2014 (Otros)'!H58</f>
        <v>0</v>
      </c>
      <c r="K47" s="512">
        <f>'Gtos Mtto 2014'!I58+'Gtos Mtto 2014 (Otros)'!I58</f>
        <v>0</v>
      </c>
      <c r="L47" s="512">
        <f>'Gtos Mtto 2014'!J58+'Gtos Mtto 2014 (Otros)'!J58</f>
        <v>0</v>
      </c>
      <c r="M47" s="512">
        <f>'Gtos Mtto 2014'!K58+'Gtos Mtto 2014 (Otros)'!K58</f>
        <v>0</v>
      </c>
      <c r="N47" s="512">
        <f>'Gtos Mtto 2014'!L58+'Gtos Mtto 2014 (Otros)'!L58</f>
        <v>0</v>
      </c>
      <c r="O47" s="512">
        <f>'Gtos Mtto 2014'!M58+'Gtos Mtto 2014 (Otros)'!M58</f>
        <v>0</v>
      </c>
      <c r="P47" s="512">
        <f>'Gtos Mtto 2014'!N58+'Gtos Mtto 2014 (Otros)'!N58</f>
        <v>0</v>
      </c>
      <c r="Q47" s="512">
        <f>'Gtos Mtto 2014'!O58+'Gtos Mtto 2014 (Otros)'!O58</f>
        <v>0</v>
      </c>
      <c r="R47" s="522">
        <f t="shared" si="0"/>
        <v>1818.1220845324679</v>
      </c>
    </row>
    <row r="48" spans="2:18" ht="15.75" x14ac:dyDescent="0.25">
      <c r="B48" s="560"/>
      <c r="C48" s="557" t="s">
        <v>417</v>
      </c>
      <c r="D48" s="551" t="str">
        <f>VLOOKUP(C48,'Cat. cuentas'!$A$1:$B$195,2,FALSE)</f>
        <v>MTTO. DE MAQUINARIA Y EQUIPO</v>
      </c>
      <c r="E48" s="521"/>
      <c r="F48" s="512">
        <f>'Gtos Mtto 2014'!D59+'Gtos Mtto 2014 (Otros)'!D59</f>
        <v>0</v>
      </c>
      <c r="G48" s="512">
        <f>'Gtos Mtto 2014'!E59+'Gtos Mtto 2014 (Otros)'!E59</f>
        <v>0</v>
      </c>
      <c r="H48" s="512">
        <f>'Gtos Mtto 2014'!F59+'Gtos Mtto 2014 (Otros)'!F59</f>
        <v>0</v>
      </c>
      <c r="I48" s="512">
        <f>'Gtos Mtto 2014'!G59+'Gtos Mtto 2014 (Otros)'!G59</f>
        <v>0</v>
      </c>
      <c r="J48" s="512">
        <f>'Gtos Mtto 2014'!H59+'Gtos Mtto 2014 (Otros)'!H59</f>
        <v>8095.8676139647123</v>
      </c>
      <c r="K48" s="512">
        <f>'Gtos Mtto 2014'!I59+'Gtos Mtto 2014 (Otros)'!I59</f>
        <v>0</v>
      </c>
      <c r="L48" s="512">
        <f>'Gtos Mtto 2014'!J59+'Gtos Mtto 2014 (Otros)'!J59</f>
        <v>0</v>
      </c>
      <c r="M48" s="512">
        <f>'Gtos Mtto 2014'!K59+'Gtos Mtto 2014 (Otros)'!K59</f>
        <v>0</v>
      </c>
      <c r="N48" s="512">
        <f>'Gtos Mtto 2014'!L59+'Gtos Mtto 2014 (Otros)'!L59</f>
        <v>0</v>
      </c>
      <c r="O48" s="512">
        <f>'Gtos Mtto 2014'!M59+'Gtos Mtto 2014 (Otros)'!M59</f>
        <v>0</v>
      </c>
      <c r="P48" s="512">
        <f>'Gtos Mtto 2014'!N59+'Gtos Mtto 2014 (Otros)'!N59</f>
        <v>0</v>
      </c>
      <c r="Q48" s="512">
        <f>'Gtos Mtto 2014'!O59+'Gtos Mtto 2014 (Otros)'!O59</f>
        <v>0</v>
      </c>
      <c r="R48" s="522">
        <f t="shared" si="0"/>
        <v>8095.8676139647123</v>
      </c>
    </row>
    <row r="49" spans="2:19" ht="15.75" x14ac:dyDescent="0.25">
      <c r="B49" s="560" t="s">
        <v>331</v>
      </c>
      <c r="C49" s="555" t="s">
        <v>314</v>
      </c>
      <c r="D49" s="551" t="str">
        <f>VLOOKUP(C49,'Cat. cuentas'!$A$1:$B$195,2,FALSE)</f>
        <v>LAVADO LOCAL</v>
      </c>
      <c r="E49" s="521"/>
      <c r="F49" s="512">
        <f>'Gtos Mtto 2014'!D60+'Gtos Mtto 2014 (Otros)'!D60</f>
        <v>10354.29469458299</v>
      </c>
      <c r="G49" s="512">
        <f>'Gtos Mtto 2014'!E60+'Gtos Mtto 2014 (Otros)'!E60</f>
        <v>10432.984991317875</v>
      </c>
      <c r="H49" s="512">
        <f>'Gtos Mtto 2014'!F60+'Gtos Mtto 2014 (Otros)'!F60</f>
        <v>734.52132215111703</v>
      </c>
      <c r="I49" s="512">
        <f>'Gtos Mtto 2014'!G60+'Gtos Mtto 2014 (Otros)'!G60</f>
        <v>730.16515897438353</v>
      </c>
      <c r="J49" s="512">
        <f>'Gtos Mtto 2014'!H60+'Gtos Mtto 2014 (Otros)'!H60</f>
        <v>10442.05810408135</v>
      </c>
      <c r="K49" s="512">
        <f>'Gtos Mtto 2014'!I60+'Gtos Mtto 2014 (Otros)'!I60</f>
        <v>10467.555195962323</v>
      </c>
      <c r="L49" s="512">
        <f>'Gtos Mtto 2014'!J60+'Gtos Mtto 2014 (Otros)'!J60</f>
        <v>731.93142814842088</v>
      </c>
      <c r="M49" s="512">
        <f>'Gtos Mtto 2014'!K60+'Gtos Mtto 2014 (Otros)'!K60</f>
        <v>736.81080594570926</v>
      </c>
      <c r="N49" s="512">
        <f>'Gtos Mtto 2014'!L60+'Gtos Mtto 2014 (Otros)'!L60</f>
        <v>10695.196357515139</v>
      </c>
      <c r="O49" s="512">
        <f>'Gtos Mtto 2014'!M60+'Gtos Mtto 2014 (Otros)'!M60</f>
        <v>10290.690652362049</v>
      </c>
      <c r="P49" s="512">
        <f>'Gtos Mtto 2014'!N60+'Gtos Mtto 2014 (Otros)'!N60</f>
        <v>742.0880399229992</v>
      </c>
      <c r="Q49" s="512">
        <f>'Gtos Mtto 2014'!O60+'Gtos Mtto 2014 (Otros)'!O60</f>
        <v>744.47417509960053</v>
      </c>
      <c r="R49" s="522">
        <f t="shared" si="0"/>
        <v>67102.770926063953</v>
      </c>
    </row>
    <row r="50" spans="2:19" ht="15.75" x14ac:dyDescent="0.25">
      <c r="B50" s="560" t="s">
        <v>332</v>
      </c>
      <c r="C50" s="556" t="s">
        <v>540</v>
      </c>
      <c r="D50" s="551" t="str">
        <f>VLOOKUP(C50,'Cat. cuentas'!$A$1:$B$195,2,FALSE)</f>
        <v>SANDBLASTEO</v>
      </c>
      <c r="E50" s="521"/>
      <c r="F50" s="512">
        <f>'Gtos Mtto 2014'!D61+'Gtos Mtto 2014 (Otros)'!D61</f>
        <v>9712.8423947622341</v>
      </c>
      <c r="G50" s="512">
        <f>'Gtos Mtto 2014'!E61+'Gtos Mtto 2014 (Otros)'!E61</f>
        <v>9754.2516475118427</v>
      </c>
      <c r="H50" s="512">
        <f>'Gtos Mtto 2014'!F61+'Gtos Mtto 2014 (Otros)'!F61</f>
        <v>9696.6511175064952</v>
      </c>
      <c r="I50" s="512">
        <f>'Gtos Mtto 2014'!G61+'Gtos Mtto 2014 (Otros)'!G61</f>
        <v>9607.4363022945199</v>
      </c>
      <c r="J50" s="512">
        <f>'Gtos Mtto 2014'!H61+'Gtos Mtto 2014 (Otros)'!H61</f>
        <v>9666.7075987638364</v>
      </c>
      <c r="K50" s="512">
        <f>'Gtos Mtto 2014'!I61+'Gtos Mtto 2014 (Otros)'!I61</f>
        <v>9658.6437794346693</v>
      </c>
      <c r="L50" s="512">
        <f>'Gtos Mtto 2014'!J61+'Gtos Mtto 2014 (Otros)'!J61</f>
        <v>9536.5658390673725</v>
      </c>
      <c r="M50" s="512">
        <f>'Gtos Mtto 2014'!K61+'Gtos Mtto 2014 (Otros)'!K61</f>
        <v>9568.9715057884314</v>
      </c>
      <c r="N50" s="512">
        <f>'Gtos Mtto 2014'!L61+'Gtos Mtto 2014 (Otros)'!L61</f>
        <v>9772.8807378779111</v>
      </c>
      <c r="O50" s="512">
        <f>'Gtos Mtto 2014'!M61+'Gtos Mtto 2014 (Otros)'!M61</f>
        <v>9372.9250723601199</v>
      </c>
      <c r="P50" s="512">
        <f>'Gtos Mtto 2014'!N61+'Gtos Mtto 2014 (Otros)'!N61</f>
        <v>9544.5407064051342</v>
      </c>
      <c r="Q50" s="512">
        <f>'Gtos Mtto 2014'!O61+'Gtos Mtto 2014 (Otros)'!O61</f>
        <v>9544.5407064051342</v>
      </c>
      <c r="R50" s="522">
        <f t="shared" si="0"/>
        <v>115436.95740817771</v>
      </c>
    </row>
    <row r="51" spans="2:19" ht="15.75" x14ac:dyDescent="0.25">
      <c r="B51" s="552"/>
      <c r="C51" s="558"/>
      <c r="D51" s="89"/>
      <c r="E51" s="521"/>
      <c r="F51" s="513"/>
      <c r="G51" s="513"/>
      <c r="H51" s="513"/>
      <c r="I51" s="513"/>
      <c r="J51" s="513"/>
      <c r="K51" s="513"/>
      <c r="L51" s="513"/>
      <c r="M51" s="513"/>
      <c r="N51" s="513"/>
      <c r="O51" s="513"/>
      <c r="P51" s="513"/>
      <c r="Q51" s="513"/>
      <c r="R51" s="522">
        <f t="shared" ref="R51" si="1">SUM(F51:Q51)</f>
        <v>0</v>
      </c>
    </row>
    <row r="52" spans="2:19" ht="15.75" x14ac:dyDescent="0.25">
      <c r="B52" s="552"/>
      <c r="C52" s="512"/>
      <c r="D52" s="89"/>
      <c r="E52" s="521"/>
      <c r="F52" s="513"/>
      <c r="G52" s="513"/>
      <c r="H52" s="513"/>
      <c r="I52" s="513"/>
      <c r="J52" s="513"/>
      <c r="K52" s="513"/>
      <c r="L52" s="513"/>
      <c r="M52" s="513"/>
      <c r="N52" s="513"/>
      <c r="O52" s="513"/>
      <c r="P52" s="513"/>
      <c r="Q52" s="513"/>
      <c r="R52" s="522"/>
    </row>
    <row r="53" spans="2:19" ht="15.75" x14ac:dyDescent="0.25">
      <c r="B53" s="520"/>
      <c r="C53" s="512"/>
      <c r="D53" s="512"/>
      <c r="E53" s="512"/>
      <c r="F53" s="513"/>
      <c r="G53" s="513"/>
      <c r="H53" s="513"/>
      <c r="I53" s="513"/>
      <c r="J53" s="513"/>
      <c r="K53" s="513"/>
      <c r="L53" s="513"/>
      <c r="M53" s="513"/>
      <c r="N53" s="513"/>
      <c r="O53" s="513"/>
      <c r="P53" s="513"/>
      <c r="Q53" s="513"/>
      <c r="R53" s="522"/>
    </row>
    <row r="54" spans="2:19" ht="15.75" x14ac:dyDescent="0.25">
      <c r="B54" s="516" t="s">
        <v>726</v>
      </c>
      <c r="C54" s="517"/>
      <c r="D54" s="517"/>
      <c r="E54" s="523">
        <f>+SUM(E38:E53)</f>
        <v>0</v>
      </c>
      <c r="F54" s="100">
        <f>SUM(F21:F51)</f>
        <v>727357.52818262251</v>
      </c>
      <c r="G54" s="100">
        <f t="shared" ref="G54:Q54" si="2">SUM(G21:G51)</f>
        <v>705180.39398406609</v>
      </c>
      <c r="H54" s="100">
        <f t="shared" si="2"/>
        <v>716487.88148150058</v>
      </c>
      <c r="I54" s="100">
        <f t="shared" si="2"/>
        <v>745767.08716827712</v>
      </c>
      <c r="J54" s="100">
        <f t="shared" si="2"/>
        <v>768158.15183784277</v>
      </c>
      <c r="K54" s="100">
        <f t="shared" si="2"/>
        <v>743246.96216276812</v>
      </c>
      <c r="L54" s="100">
        <f t="shared" si="2"/>
        <v>778510.55486177839</v>
      </c>
      <c r="M54" s="100">
        <f t="shared" si="2"/>
        <v>768961.59719760425</v>
      </c>
      <c r="N54" s="100">
        <f t="shared" si="2"/>
        <v>715757.33475070144</v>
      </c>
      <c r="O54" s="100">
        <f t="shared" si="2"/>
        <v>865519.34692489309</v>
      </c>
      <c r="P54" s="100">
        <f t="shared" si="2"/>
        <v>785373.94896342093</v>
      </c>
      <c r="Q54" s="100">
        <f t="shared" si="2"/>
        <v>787839.03831334726</v>
      </c>
      <c r="R54" s="101">
        <f>SUM(R21:R51)</f>
        <v>9108159.8258288205</v>
      </c>
      <c r="S54" s="563">
        <f>R54-Edo.Res.detalle!B26</f>
        <v>0</v>
      </c>
    </row>
    <row r="55" spans="2:19" ht="15" x14ac:dyDescent="0.2">
      <c r="B55" s="520"/>
      <c r="C55" s="512"/>
      <c r="D55" s="512"/>
      <c r="E55" s="512"/>
      <c r="F55" s="512"/>
      <c r="G55" s="512"/>
      <c r="H55" s="512"/>
      <c r="I55" s="512"/>
      <c r="J55" s="512"/>
      <c r="K55" s="512"/>
      <c r="L55" s="512"/>
      <c r="M55" s="512"/>
      <c r="N55" s="512"/>
      <c r="O55" s="512"/>
      <c r="P55" s="512"/>
      <c r="Q55" s="512"/>
      <c r="R55" s="518"/>
    </row>
    <row r="56" spans="2:19" ht="15.75" x14ac:dyDescent="0.25">
      <c r="B56" s="516" t="s">
        <v>727</v>
      </c>
      <c r="C56" s="517"/>
      <c r="D56" s="517"/>
      <c r="E56" s="517"/>
      <c r="F56" s="512"/>
      <c r="G56" s="512"/>
      <c r="H56" s="512"/>
      <c r="I56" s="512"/>
      <c r="J56" s="512"/>
      <c r="K56" s="512"/>
      <c r="L56" s="512"/>
      <c r="M56" s="512"/>
      <c r="N56" s="512"/>
      <c r="O56" s="512"/>
      <c r="P56" s="512"/>
      <c r="Q56" s="512"/>
      <c r="R56" s="518"/>
    </row>
    <row r="57" spans="2:19" ht="15.75" x14ac:dyDescent="0.25">
      <c r="B57" s="520"/>
      <c r="C57" s="512"/>
      <c r="D57" s="512"/>
      <c r="E57" s="512"/>
      <c r="F57" s="513"/>
      <c r="G57" s="513"/>
      <c r="H57" s="513"/>
      <c r="I57" s="513"/>
      <c r="J57" s="513"/>
      <c r="K57" s="513"/>
      <c r="L57" s="513"/>
      <c r="M57" s="513"/>
      <c r="N57" s="513"/>
      <c r="O57" s="513"/>
      <c r="P57" s="513"/>
      <c r="Q57" s="513"/>
      <c r="R57" s="522">
        <f>SUM(F57:Q57)</f>
        <v>0</v>
      </c>
    </row>
    <row r="58" spans="2:19" ht="15.75" x14ac:dyDescent="0.25">
      <c r="B58" s="520" t="s">
        <v>296</v>
      </c>
      <c r="C58" s="512"/>
      <c r="D58" s="512"/>
      <c r="E58" s="512"/>
      <c r="F58" s="513">
        <f>'Gtos Mtto 2014'!D14+'Gtos Mtto 2014 (Otros)'!D14</f>
        <v>99635.36</v>
      </c>
      <c r="G58" s="513">
        <f>'Gtos Mtto 2014'!E14+'Gtos Mtto 2014 (Otros)'!E14</f>
        <v>99635.36</v>
      </c>
      <c r="H58" s="513">
        <f>'Gtos Mtto 2014'!F14+'Gtos Mtto 2014 (Otros)'!F14</f>
        <v>99635.36</v>
      </c>
      <c r="I58" s="513">
        <f>'Gtos Mtto 2014'!G14+'Gtos Mtto 2014 (Otros)'!G14</f>
        <v>99635.36</v>
      </c>
      <c r="J58" s="513">
        <f>'Gtos Mtto 2014'!H14+'Gtos Mtto 2014 (Otros)'!H14</f>
        <v>99635.36</v>
      </c>
      <c r="K58" s="513">
        <f>'Gtos Mtto 2014'!I14+'Gtos Mtto 2014 (Otros)'!I14</f>
        <v>99635.36</v>
      </c>
      <c r="L58" s="513">
        <f>'Gtos Mtto 2014'!J14+'Gtos Mtto 2014 (Otros)'!J14</f>
        <v>99635.36</v>
      </c>
      <c r="M58" s="513">
        <f>'Gtos Mtto 2014'!K14+'Gtos Mtto 2014 (Otros)'!K14</f>
        <v>99635.36</v>
      </c>
      <c r="N58" s="513">
        <f>'Gtos Mtto 2014'!L14+'Gtos Mtto 2014 (Otros)'!L14</f>
        <v>99635.36</v>
      </c>
      <c r="O58" s="513">
        <f>'Gtos Mtto 2014'!M14+'Gtos Mtto 2014 (Otros)'!M14</f>
        <v>99635.36</v>
      </c>
      <c r="P58" s="513">
        <f>'Gtos Mtto 2014'!N14+'Gtos Mtto 2014 (Otros)'!N14</f>
        <v>99635.36</v>
      </c>
      <c r="Q58" s="513">
        <f>'Gtos Mtto 2014'!O14+'Gtos Mtto 2014 (Otros)'!O14</f>
        <v>99635.36</v>
      </c>
      <c r="R58" s="522">
        <f t="shared" ref="R58:R80" si="3">SUM(F58:Q58)</f>
        <v>1195624.32</v>
      </c>
    </row>
    <row r="59" spans="2:19" ht="15.75" x14ac:dyDescent="0.25">
      <c r="B59" s="520"/>
      <c r="C59" s="556" t="s">
        <v>321</v>
      </c>
      <c r="D59" s="551" t="str">
        <f>VLOOKUP(C59,'Cat. cuentas'!$A$1:$B$195,2,FALSE)</f>
        <v>SERVICIO  OUTSORCING</v>
      </c>
      <c r="E59" s="512"/>
      <c r="F59" s="513">
        <f>'Gtos Mtto 2014'!D15+'Gtos Mtto 2014 (Otros)'!D15</f>
        <v>132553</v>
      </c>
      <c r="G59" s="513">
        <f>'Gtos Mtto 2014'!E15+'Gtos Mtto 2014 (Otros)'!E15</f>
        <v>132553</v>
      </c>
      <c r="H59" s="513">
        <f>'Gtos Mtto 2014'!F15+'Gtos Mtto 2014 (Otros)'!F15</f>
        <v>137815.3541</v>
      </c>
      <c r="I59" s="513">
        <f>'Gtos Mtto 2014'!G15+'Gtos Mtto 2014 (Otros)'!G15</f>
        <v>137815.3541</v>
      </c>
      <c r="J59" s="513">
        <f>'Gtos Mtto 2014'!H15+'Gtos Mtto 2014 (Otros)'!H15</f>
        <v>137815.3541</v>
      </c>
      <c r="K59" s="513">
        <f>'Gtos Mtto 2014'!I15+'Gtos Mtto 2014 (Otros)'!I15</f>
        <v>137815.3541</v>
      </c>
      <c r="L59" s="513">
        <f>'Gtos Mtto 2014'!J15+'Gtos Mtto 2014 (Otros)'!J15</f>
        <v>137815.3541</v>
      </c>
      <c r="M59" s="513">
        <f>'Gtos Mtto 2014'!K15+'Gtos Mtto 2014 (Otros)'!K15</f>
        <v>137815.3541</v>
      </c>
      <c r="N59" s="513">
        <f>'Gtos Mtto 2014'!L15+'Gtos Mtto 2014 (Otros)'!L15</f>
        <v>137815.3541</v>
      </c>
      <c r="O59" s="513">
        <f>'Gtos Mtto 2014'!M15+'Gtos Mtto 2014 (Otros)'!M15</f>
        <v>137815.3541</v>
      </c>
      <c r="P59" s="513">
        <f>'Gtos Mtto 2014'!N15+'Gtos Mtto 2014 (Otros)'!N15</f>
        <v>137815.3541</v>
      </c>
      <c r="Q59" s="513">
        <f>'Gtos Mtto 2014'!O15+'Gtos Mtto 2014 (Otros)'!O15</f>
        <v>137815.3541</v>
      </c>
      <c r="R59" s="522">
        <f>SUM(F59:Q59)</f>
        <v>1643259.5410000002</v>
      </c>
    </row>
    <row r="60" spans="2:19" ht="15.75" x14ac:dyDescent="0.25">
      <c r="B60" s="520" t="s">
        <v>298</v>
      </c>
      <c r="C60" s="556" t="s">
        <v>297</v>
      </c>
      <c r="D60" s="551" t="str">
        <f>VLOOKUP(C60,'Cat. cuentas'!$A$1:$B$195,2,FALSE)</f>
        <v>MTTO. DE VEHICULOS UTILITARIOS</v>
      </c>
      <c r="E60" s="512"/>
      <c r="F60" s="513">
        <f>'Gtos Mtto 2014'!D16+'Gtos Mtto 2014 (Otros)'!D16</f>
        <v>0</v>
      </c>
      <c r="G60" s="513">
        <f>'Gtos Mtto 2014'!E16+'Gtos Mtto 2014 (Otros)'!E16</f>
        <v>0</v>
      </c>
      <c r="H60" s="513">
        <f>'Gtos Mtto 2014'!F16+'Gtos Mtto 2014 (Otros)'!F16</f>
        <v>0</v>
      </c>
      <c r="I60" s="513">
        <f>'Gtos Mtto 2014'!G16+'Gtos Mtto 2014 (Otros)'!G16</f>
        <v>0</v>
      </c>
      <c r="J60" s="513">
        <f>'Gtos Mtto 2014'!H16+'Gtos Mtto 2014 (Otros)'!H16</f>
        <v>3575</v>
      </c>
      <c r="K60" s="513">
        <f>'Gtos Mtto 2014'!I16+'Gtos Mtto 2014 (Otros)'!I16</f>
        <v>0</v>
      </c>
      <c r="L60" s="513">
        <f>'Gtos Mtto 2014'!J16+'Gtos Mtto 2014 (Otros)'!J16</f>
        <v>0</v>
      </c>
      <c r="M60" s="513">
        <f>'Gtos Mtto 2014'!K16+'Gtos Mtto 2014 (Otros)'!K16</f>
        <v>0</v>
      </c>
      <c r="N60" s="513">
        <f>'Gtos Mtto 2014'!L16+'Gtos Mtto 2014 (Otros)'!L16</f>
        <v>0</v>
      </c>
      <c r="O60" s="513">
        <f>'Gtos Mtto 2014'!M16+'Gtos Mtto 2014 (Otros)'!M16</f>
        <v>0</v>
      </c>
      <c r="P60" s="513">
        <f>'Gtos Mtto 2014'!N16+'Gtos Mtto 2014 (Otros)'!N16</f>
        <v>12120</v>
      </c>
      <c r="Q60" s="513">
        <f>'Gtos Mtto 2014'!O16+'Gtos Mtto 2014 (Otros)'!O16</f>
        <v>0</v>
      </c>
      <c r="R60" s="522">
        <f>SUM(F60:Q60)</f>
        <v>15695</v>
      </c>
    </row>
    <row r="61" spans="2:19" ht="15.75" x14ac:dyDescent="0.25">
      <c r="B61" s="520" t="s">
        <v>299</v>
      </c>
      <c r="C61" s="556" t="s">
        <v>249</v>
      </c>
      <c r="D61" s="551" t="str">
        <f>VLOOKUP(C61,'Cat. cuentas'!$A$1:$B$195,2,FALSE)</f>
        <v>PAPELERÍA Y ARTICULOS DE ESC.</v>
      </c>
      <c r="E61" s="512"/>
      <c r="F61" s="513">
        <f>'Gtos Mtto 2014'!D17+'Gtos Mtto 2014 (Otros)'!D17</f>
        <v>250.83333333333334</v>
      </c>
      <c r="G61" s="513">
        <f>'Gtos Mtto 2014'!E17+'Gtos Mtto 2014 (Otros)'!E17</f>
        <v>251.66666666666666</v>
      </c>
      <c r="H61" s="513">
        <f>'Gtos Mtto 2014'!F17+'Gtos Mtto 2014 (Otros)'!F17</f>
        <v>252.5</v>
      </c>
      <c r="I61" s="513">
        <f>'Gtos Mtto 2014'!G17+'Gtos Mtto 2014 (Otros)'!G17</f>
        <v>253.33333333333334</v>
      </c>
      <c r="J61" s="513">
        <f>'Gtos Mtto 2014'!H17+'Gtos Mtto 2014 (Otros)'!H17</f>
        <v>254.16666666666666</v>
      </c>
      <c r="K61" s="513">
        <f>'Gtos Mtto 2014'!I17+'Gtos Mtto 2014 (Otros)'!I17</f>
        <v>255</v>
      </c>
      <c r="L61" s="513">
        <f>'Gtos Mtto 2014'!J17+'Gtos Mtto 2014 (Otros)'!J17</f>
        <v>255.83333333333337</v>
      </c>
      <c r="M61" s="513">
        <f>'Gtos Mtto 2014'!K17+'Gtos Mtto 2014 (Otros)'!K17</f>
        <v>256.66666666666663</v>
      </c>
      <c r="N61" s="513">
        <f>'Gtos Mtto 2014'!L17+'Gtos Mtto 2014 (Otros)'!L17</f>
        <v>257.5</v>
      </c>
      <c r="O61" s="513">
        <f>'Gtos Mtto 2014'!M17+'Gtos Mtto 2014 (Otros)'!M17</f>
        <v>258.33333333333337</v>
      </c>
      <c r="P61" s="513">
        <f>'Gtos Mtto 2014'!N17+'Gtos Mtto 2014 (Otros)'!N17</f>
        <v>259.16666666666663</v>
      </c>
      <c r="Q61" s="513">
        <f>'Gtos Mtto 2014'!O17+'Gtos Mtto 2014 (Otros)'!O17</f>
        <v>260</v>
      </c>
      <c r="R61" s="522">
        <f t="shared" si="3"/>
        <v>3065</v>
      </c>
    </row>
    <row r="62" spans="2:19" ht="15.75" x14ac:dyDescent="0.25">
      <c r="B62" s="520"/>
      <c r="C62" s="556"/>
      <c r="D62" s="551"/>
      <c r="E62" s="512"/>
      <c r="F62" s="513"/>
      <c r="G62" s="513"/>
      <c r="H62" s="513"/>
      <c r="I62" s="513"/>
      <c r="J62" s="513"/>
      <c r="K62" s="513"/>
      <c r="L62" s="513"/>
      <c r="M62" s="513"/>
      <c r="N62" s="513"/>
      <c r="O62" s="513"/>
      <c r="P62" s="513"/>
      <c r="Q62" s="513"/>
      <c r="R62" s="522"/>
    </row>
    <row r="63" spans="2:19" ht="15.75" x14ac:dyDescent="0.25">
      <c r="B63" s="520"/>
      <c r="C63" s="556"/>
      <c r="D63" s="551"/>
      <c r="E63" s="512"/>
      <c r="F63" s="513"/>
      <c r="G63" s="513"/>
      <c r="H63" s="513"/>
      <c r="I63" s="513"/>
      <c r="J63" s="513"/>
      <c r="K63" s="513"/>
      <c r="L63" s="513"/>
      <c r="M63" s="513"/>
      <c r="N63" s="513"/>
      <c r="O63" s="513"/>
      <c r="P63" s="513"/>
      <c r="Q63" s="513"/>
      <c r="R63" s="522"/>
    </row>
    <row r="64" spans="2:19" ht="15.75" x14ac:dyDescent="0.25">
      <c r="B64" s="520"/>
      <c r="C64" s="556"/>
      <c r="D64" s="551"/>
      <c r="E64" s="512"/>
      <c r="F64" s="513"/>
      <c r="G64" s="513"/>
      <c r="H64" s="513"/>
      <c r="I64" s="513"/>
      <c r="J64" s="513"/>
      <c r="K64" s="513"/>
      <c r="L64" s="513"/>
      <c r="M64" s="513"/>
      <c r="N64" s="513"/>
      <c r="O64" s="513"/>
      <c r="P64" s="513"/>
      <c r="Q64" s="513"/>
      <c r="R64" s="522"/>
    </row>
    <row r="65" spans="2:18" ht="15.75" x14ac:dyDescent="0.25">
      <c r="B65" s="520" t="s">
        <v>302</v>
      </c>
      <c r="C65" s="556" t="s">
        <v>240</v>
      </c>
      <c r="D65" s="551" t="str">
        <f>VLOOKUP(C65,'Cat. cuentas'!$A$1:$B$195,2,FALSE)</f>
        <v>GASTOS DE CAPACITACION</v>
      </c>
      <c r="E65" s="512"/>
      <c r="F65" s="513">
        <f>'Gtos Mtto 2014'!D18+'Gtos Mtto 2014 (Otros)'!D18</f>
        <v>0</v>
      </c>
      <c r="G65" s="513">
        <f>'Gtos Mtto 2014'!E18+'Gtos Mtto 2014 (Otros)'!E18</f>
        <v>0</v>
      </c>
      <c r="H65" s="513">
        <f>'Gtos Mtto 2014'!F18+'Gtos Mtto 2014 (Otros)'!F18</f>
        <v>3800</v>
      </c>
      <c r="I65" s="513">
        <f>'Gtos Mtto 2014'!G18+'Gtos Mtto 2014 (Otros)'!G18</f>
        <v>3800</v>
      </c>
      <c r="J65" s="513">
        <f>'Gtos Mtto 2014'!H18+'Gtos Mtto 2014 (Otros)'!H18</f>
        <v>3800</v>
      </c>
      <c r="K65" s="513">
        <f>'Gtos Mtto 2014'!I18+'Gtos Mtto 2014 (Otros)'!I18</f>
        <v>3800</v>
      </c>
      <c r="L65" s="513">
        <f>'Gtos Mtto 2014'!J18+'Gtos Mtto 2014 (Otros)'!J18</f>
        <v>3800</v>
      </c>
      <c r="M65" s="513">
        <f>'Gtos Mtto 2014'!K18+'Gtos Mtto 2014 (Otros)'!K18</f>
        <v>3800</v>
      </c>
      <c r="N65" s="513">
        <f>'Gtos Mtto 2014'!L18+'Gtos Mtto 2014 (Otros)'!L18</f>
        <v>3800</v>
      </c>
      <c r="O65" s="513">
        <f>'Gtos Mtto 2014'!M18+'Gtos Mtto 2014 (Otros)'!M18</f>
        <v>3800</v>
      </c>
      <c r="P65" s="513">
        <f>'Gtos Mtto 2014'!N18+'Gtos Mtto 2014 (Otros)'!N18</f>
        <v>0</v>
      </c>
      <c r="Q65" s="513">
        <f>'Gtos Mtto 2014'!O18+'Gtos Mtto 2014 (Otros)'!O18</f>
        <v>0</v>
      </c>
      <c r="R65" s="522">
        <f t="shared" si="3"/>
        <v>30400</v>
      </c>
    </row>
    <row r="66" spans="2:18" ht="15.75" x14ac:dyDescent="0.25">
      <c r="B66" s="520" t="s">
        <v>303</v>
      </c>
      <c r="C66" s="556" t="s">
        <v>242</v>
      </c>
      <c r="D66" s="551" t="str">
        <f>VLOOKUP(C66,'Cat. cuentas'!$A$1:$B$195,2,FALSE)</f>
        <v>GTOS DE VIAJE(HOSP.TRANS.VIAT)</v>
      </c>
      <c r="E66" s="512"/>
      <c r="F66" s="513">
        <f>'Gtos Mtto 2014'!D19+'Gtos Mtto 2014 (Otros)'!D19</f>
        <v>3210.666666666667</v>
      </c>
      <c r="G66" s="513">
        <f>'Gtos Mtto 2014'!E19+'Gtos Mtto 2014 (Otros)'!E19</f>
        <v>3221.333333333333</v>
      </c>
      <c r="H66" s="513">
        <f>'Gtos Mtto 2014'!F19+'Gtos Mtto 2014 (Otros)'!F19</f>
        <v>3232</v>
      </c>
      <c r="I66" s="513">
        <f>'Gtos Mtto 2014'!G19+'Gtos Mtto 2014 (Otros)'!G19</f>
        <v>3242.666666666667</v>
      </c>
      <c r="J66" s="513">
        <f>'Gtos Mtto 2014'!H19+'Gtos Mtto 2014 (Otros)'!H19</f>
        <v>3253.333333333333</v>
      </c>
      <c r="K66" s="513">
        <f>'Gtos Mtto 2014'!I19+'Gtos Mtto 2014 (Otros)'!I19</f>
        <v>3264</v>
      </c>
      <c r="L66" s="513">
        <f>'Gtos Mtto 2014'!J19+'Gtos Mtto 2014 (Otros)'!J19</f>
        <v>3274.666666666667</v>
      </c>
      <c r="M66" s="513">
        <f>'Gtos Mtto 2014'!K19+'Gtos Mtto 2014 (Otros)'!K19</f>
        <v>3285.333333333333</v>
      </c>
      <c r="N66" s="513">
        <f>'Gtos Mtto 2014'!L19+'Gtos Mtto 2014 (Otros)'!L19</f>
        <v>3296</v>
      </c>
      <c r="O66" s="513">
        <f>'Gtos Mtto 2014'!M19+'Gtos Mtto 2014 (Otros)'!M19</f>
        <v>3306.666666666667</v>
      </c>
      <c r="P66" s="513">
        <f>'Gtos Mtto 2014'!N19+'Gtos Mtto 2014 (Otros)'!N19</f>
        <v>3317.333333333333</v>
      </c>
      <c r="Q66" s="513">
        <f>'Gtos Mtto 2014'!O19+'Gtos Mtto 2014 (Otros)'!O19</f>
        <v>3328</v>
      </c>
      <c r="R66" s="522">
        <f t="shared" si="3"/>
        <v>39232</v>
      </c>
    </row>
    <row r="67" spans="2:18" ht="15.75" x14ac:dyDescent="0.25">
      <c r="B67" s="520" t="s">
        <v>304</v>
      </c>
      <c r="C67" s="556" t="s">
        <v>538</v>
      </c>
      <c r="D67" s="551" t="str">
        <f>VLOOKUP(C67,'Cat. cuentas'!$A$1:$B$195,2,FALSE)</f>
        <v>HERRAMIENTAS MENORES</v>
      </c>
      <c r="E67" s="512"/>
      <c r="F67" s="513">
        <f>'Gtos Mtto 2014'!D20+'Gtos Mtto 2014 (Otros)'!D20</f>
        <v>2648.8</v>
      </c>
      <c r="G67" s="513">
        <f>'Gtos Mtto 2014'!E20+'Gtos Mtto 2014 (Otros)'!E20</f>
        <v>1212.0266666666666</v>
      </c>
      <c r="H67" s="513">
        <f>'Gtos Mtto 2014'!F20+'Gtos Mtto 2014 (Otros)'!F20</f>
        <v>2666.4</v>
      </c>
      <c r="I67" s="513">
        <f>'Gtos Mtto 2014'!G20+'Gtos Mtto 2014 (Otros)'!G20</f>
        <v>1220.0533333333335</v>
      </c>
      <c r="J67" s="513">
        <f>'Gtos Mtto 2014'!H20+'Gtos Mtto 2014 (Otros)'!H20</f>
        <v>2684</v>
      </c>
      <c r="K67" s="513">
        <f>'Gtos Mtto 2014'!I20+'Gtos Mtto 2014 (Otros)'!I20</f>
        <v>1228.08</v>
      </c>
      <c r="L67" s="513">
        <f>'Gtos Mtto 2014'!J20+'Gtos Mtto 2014 (Otros)'!J20</f>
        <v>2701.6000000000004</v>
      </c>
      <c r="M67" s="513">
        <f>'Gtos Mtto 2014'!K20+'Gtos Mtto 2014 (Otros)'!K20</f>
        <v>1236.1066666666666</v>
      </c>
      <c r="N67" s="513">
        <f>'Gtos Mtto 2014'!L20+'Gtos Mtto 2014 (Otros)'!L20</f>
        <v>2719.2000000000003</v>
      </c>
      <c r="O67" s="513">
        <f>'Gtos Mtto 2014'!M20+'Gtos Mtto 2014 (Otros)'!M20</f>
        <v>1244.1333333333334</v>
      </c>
      <c r="P67" s="513">
        <f>'Gtos Mtto 2014'!N20+'Gtos Mtto 2014 (Otros)'!N20</f>
        <v>2736.7999999999997</v>
      </c>
      <c r="Q67" s="513">
        <f>'Gtos Mtto 2014'!O20+'Gtos Mtto 2014 (Otros)'!O20</f>
        <v>1252.1600000000001</v>
      </c>
      <c r="R67" s="524">
        <f t="shared" si="3"/>
        <v>23549.360000000001</v>
      </c>
    </row>
    <row r="68" spans="2:18" ht="15.75" x14ac:dyDescent="0.25">
      <c r="B68" s="520" t="s">
        <v>305</v>
      </c>
      <c r="C68" s="556" t="s">
        <v>236</v>
      </c>
      <c r="D68" s="551" t="str">
        <f>VLOOKUP(C68,'Cat. cuentas'!$A$1:$B$195,2,FALSE)</f>
        <v>ZAPATOS, UNIFORMES Y EQUIPO</v>
      </c>
      <c r="E68" s="512"/>
      <c r="F68" s="513">
        <f>'Gtos Mtto 2014'!D21+'Gtos Mtto 2014 (Otros)'!D21</f>
        <v>0</v>
      </c>
      <c r="G68" s="513">
        <f>'Gtos Mtto 2014'!E21+'Gtos Mtto 2014 (Otros)'!E21</f>
        <v>32200</v>
      </c>
      <c r="H68" s="513">
        <f>'Gtos Mtto 2014'!F21+'Gtos Mtto 2014 (Otros)'!F21</f>
        <v>32200</v>
      </c>
      <c r="I68" s="513">
        <f>'Gtos Mtto 2014'!G21+'Gtos Mtto 2014 (Otros)'!G21</f>
        <v>0</v>
      </c>
      <c r="J68" s="513">
        <f>'Gtos Mtto 2014'!H21+'Gtos Mtto 2014 (Otros)'!H21</f>
        <v>0</v>
      </c>
      <c r="K68" s="513">
        <f>'Gtos Mtto 2014'!I21+'Gtos Mtto 2014 (Otros)'!I21</f>
        <v>0</v>
      </c>
      <c r="L68" s="513">
        <f>'Gtos Mtto 2014'!J21+'Gtos Mtto 2014 (Otros)'!J21</f>
        <v>0</v>
      </c>
      <c r="M68" s="513">
        <f>'Gtos Mtto 2014'!K21+'Gtos Mtto 2014 (Otros)'!K21</f>
        <v>0</v>
      </c>
      <c r="N68" s="513">
        <f>'Gtos Mtto 2014'!L21+'Gtos Mtto 2014 (Otros)'!L21</f>
        <v>0</v>
      </c>
      <c r="O68" s="513">
        <f>'Gtos Mtto 2014'!M21+'Gtos Mtto 2014 (Otros)'!M21</f>
        <v>0</v>
      </c>
      <c r="P68" s="513">
        <f>'Gtos Mtto 2014'!N21+'Gtos Mtto 2014 (Otros)'!N21</f>
        <v>0</v>
      </c>
      <c r="Q68" s="513">
        <f>'Gtos Mtto 2014'!O21+'Gtos Mtto 2014 (Otros)'!O21</f>
        <v>0</v>
      </c>
      <c r="R68" s="522">
        <f t="shared" si="3"/>
        <v>64400</v>
      </c>
    </row>
    <row r="69" spans="2:18" ht="15.75" x14ac:dyDescent="0.25">
      <c r="B69" s="520"/>
      <c r="C69" s="556"/>
      <c r="D69" s="551"/>
      <c r="E69" s="512"/>
      <c r="F69" s="513"/>
      <c r="G69" s="513"/>
      <c r="H69" s="513"/>
      <c r="I69" s="513"/>
      <c r="J69" s="513"/>
      <c r="K69" s="513"/>
      <c r="L69" s="513"/>
      <c r="M69" s="513"/>
      <c r="N69" s="513"/>
      <c r="O69" s="513"/>
      <c r="P69" s="513"/>
      <c r="Q69" s="513"/>
      <c r="R69" s="522"/>
    </row>
    <row r="70" spans="2:18" ht="15.75" x14ac:dyDescent="0.25">
      <c r="B70" s="520" t="s">
        <v>306</v>
      </c>
      <c r="C70" s="556" t="s">
        <v>251</v>
      </c>
      <c r="D70" s="551" t="str">
        <f>VLOOKUP(C70,'Cat. cuentas'!$A$1:$B$195,2,FALSE)</f>
        <v>TELEFONIA CELULAR</v>
      </c>
      <c r="E70" s="512"/>
      <c r="F70" s="513">
        <f>'Gtos Mtto 2014'!D22+'Gtos Mtto 2014 (Otros)'!D22</f>
        <v>446.55</v>
      </c>
      <c r="G70" s="513">
        <f>'Gtos Mtto 2014'!E22+'Gtos Mtto 2014 (Otros)'!E22</f>
        <v>446.55</v>
      </c>
      <c r="H70" s="513">
        <f>'Gtos Mtto 2014'!F22+'Gtos Mtto 2014 (Otros)'!F22</f>
        <v>446.55</v>
      </c>
      <c r="I70" s="513">
        <f>'Gtos Mtto 2014'!G22+'Gtos Mtto 2014 (Otros)'!G22</f>
        <v>446.55</v>
      </c>
      <c r="J70" s="513">
        <f>'Gtos Mtto 2014'!H22+'Gtos Mtto 2014 (Otros)'!H22</f>
        <v>446.55</v>
      </c>
      <c r="K70" s="513">
        <f>'Gtos Mtto 2014'!I22+'Gtos Mtto 2014 (Otros)'!I22</f>
        <v>446.55</v>
      </c>
      <c r="L70" s="513">
        <f>'Gtos Mtto 2014'!J22+'Gtos Mtto 2014 (Otros)'!J22</f>
        <v>446.55</v>
      </c>
      <c r="M70" s="513">
        <f>'Gtos Mtto 2014'!K22+'Gtos Mtto 2014 (Otros)'!K22</f>
        <v>446.55</v>
      </c>
      <c r="N70" s="513">
        <f>'Gtos Mtto 2014'!L22+'Gtos Mtto 2014 (Otros)'!L22</f>
        <v>446.55</v>
      </c>
      <c r="O70" s="513">
        <f>'Gtos Mtto 2014'!M22+'Gtos Mtto 2014 (Otros)'!M22</f>
        <v>446.55</v>
      </c>
      <c r="P70" s="513">
        <f>'Gtos Mtto 2014'!N22+'Gtos Mtto 2014 (Otros)'!N22</f>
        <v>446.55</v>
      </c>
      <c r="Q70" s="513">
        <f>'Gtos Mtto 2014'!O22+'Gtos Mtto 2014 (Otros)'!O22</f>
        <v>446.55</v>
      </c>
      <c r="R70" s="522">
        <f t="shared" si="3"/>
        <v>5358.6000000000013</v>
      </c>
    </row>
    <row r="71" spans="2:18" ht="15.75" x14ac:dyDescent="0.25">
      <c r="B71" s="520" t="s">
        <v>289</v>
      </c>
      <c r="C71" s="556" t="s">
        <v>284</v>
      </c>
      <c r="D71" s="551" t="str">
        <f>VLOOKUP(C71,'Cat. cuentas'!$A$1:$B$195,2,FALSE)</f>
        <v>GASTOS NO DEDUCIBLES</v>
      </c>
      <c r="E71" s="512"/>
      <c r="F71" s="513">
        <f>'Gtos Mtto 2014'!D23+'Gtos Mtto 2014 (Otros)'!D23</f>
        <v>1074.1210566000429</v>
      </c>
      <c r="G71" s="513">
        <f>'Gtos Mtto 2014'!E23+'Gtos Mtto 2014 (Otros)'!E23</f>
        <v>1052.2506153000229</v>
      </c>
      <c r="H71" s="513">
        <f>'Gtos Mtto 2014'!F23+'Gtos Mtto 2014 (Otros)'!F23</f>
        <v>1091.5766058264974</v>
      </c>
      <c r="I71" s="513">
        <f>'Gtos Mtto 2014'!G23+'Gtos Mtto 2014 (Otros)'!G23</f>
        <v>1155.9630438239772</v>
      </c>
      <c r="J71" s="513">
        <f>'Gtos Mtto 2014'!H23+'Gtos Mtto 2014 (Otros)'!H23</f>
        <v>1118.5220819598269</v>
      </c>
      <c r="K71" s="513">
        <f>'Gtos Mtto 2014'!I23+'Gtos Mtto 2014 (Otros)'!I23</f>
        <v>1127.645109342971</v>
      </c>
      <c r="L71" s="513">
        <f>'Gtos Mtto 2014'!J23+'Gtos Mtto 2014 (Otros)'!J23</f>
        <v>1221.2127791378214</v>
      </c>
      <c r="M71" s="513">
        <f>'Gtos Mtto 2014'!K23+'Gtos Mtto 2014 (Otros)'!K23</f>
        <v>1199.8854818868967</v>
      </c>
      <c r="N71" s="513">
        <f>'Gtos Mtto 2014'!L23+'Gtos Mtto 2014 (Otros)'!L23</f>
        <v>1065.3273982685037</v>
      </c>
      <c r="O71" s="513">
        <f>'Gtos Mtto 2014'!M23+'Gtos Mtto 2014 (Otros)'!M23</f>
        <v>1380.126821706747</v>
      </c>
      <c r="P71" s="513">
        <f>'Gtos Mtto 2014'!N23+'Gtos Mtto 2014 (Otros)'!N23</f>
        <v>1230.7367499664467</v>
      </c>
      <c r="Q71" s="513">
        <f>'Gtos Mtto 2014'!O23+'Gtos Mtto 2014 (Otros)'!O23</f>
        <v>1234.6941028602296</v>
      </c>
      <c r="R71" s="524">
        <f t="shared" si="3"/>
        <v>13952.061846679986</v>
      </c>
    </row>
    <row r="72" spans="2:18" ht="15.75" x14ac:dyDescent="0.25">
      <c r="B72" s="520" t="s">
        <v>307</v>
      </c>
      <c r="C72" s="556" t="s">
        <v>262</v>
      </c>
      <c r="D72" s="551" t="str">
        <f>VLOOKUP(C72,'Cat. cuentas'!$A$1:$B$195,2,FALSE)</f>
        <v>GASTOS DE COMEDOR</v>
      </c>
      <c r="E72" s="512"/>
      <c r="F72" s="513">
        <f>'Gtos Mtto 2014'!D24+'Gtos Mtto 2014 (Otros)'!D24</f>
        <v>16120</v>
      </c>
      <c r="G72" s="513">
        <f>'Gtos Mtto 2014'!E24+'Gtos Mtto 2014 (Otros)'!E24</f>
        <v>16120</v>
      </c>
      <c r="H72" s="513">
        <f>'Gtos Mtto 2014'!F24+'Gtos Mtto 2014 (Otros)'!F24</f>
        <v>16759.964</v>
      </c>
      <c r="I72" s="513">
        <f>'Gtos Mtto 2014'!G24+'Gtos Mtto 2014 (Otros)'!G24</f>
        <v>16759.964</v>
      </c>
      <c r="J72" s="513">
        <f>'Gtos Mtto 2014'!H24+'Gtos Mtto 2014 (Otros)'!H24</f>
        <v>16759.964</v>
      </c>
      <c r="K72" s="513">
        <f>'Gtos Mtto 2014'!I24+'Gtos Mtto 2014 (Otros)'!I24</f>
        <v>16759.964</v>
      </c>
      <c r="L72" s="513">
        <f>'Gtos Mtto 2014'!J24+'Gtos Mtto 2014 (Otros)'!J24</f>
        <v>16759.964</v>
      </c>
      <c r="M72" s="513">
        <f>'Gtos Mtto 2014'!K24+'Gtos Mtto 2014 (Otros)'!K24</f>
        <v>16759.964</v>
      </c>
      <c r="N72" s="513">
        <f>'Gtos Mtto 2014'!L24+'Gtos Mtto 2014 (Otros)'!L24</f>
        <v>16759.964</v>
      </c>
      <c r="O72" s="513">
        <f>'Gtos Mtto 2014'!M24+'Gtos Mtto 2014 (Otros)'!M24</f>
        <v>16759.964</v>
      </c>
      <c r="P72" s="513">
        <f>'Gtos Mtto 2014'!N24+'Gtos Mtto 2014 (Otros)'!N24</f>
        <v>16759.964</v>
      </c>
      <c r="Q72" s="513">
        <f>'Gtos Mtto 2014'!O24+'Gtos Mtto 2014 (Otros)'!O24</f>
        <v>16759.964</v>
      </c>
      <c r="R72" s="522">
        <f t="shared" si="3"/>
        <v>199839.64000000004</v>
      </c>
    </row>
    <row r="73" spans="2:18" ht="15.75" x14ac:dyDescent="0.25">
      <c r="B73" s="520"/>
      <c r="C73" s="556"/>
      <c r="D73" s="551" t="s">
        <v>742</v>
      </c>
      <c r="E73" s="512"/>
      <c r="F73" s="513"/>
      <c r="G73" s="513"/>
      <c r="H73" s="513"/>
      <c r="I73" s="513"/>
      <c r="J73" s="513"/>
      <c r="K73" s="513"/>
      <c r="L73" s="513"/>
      <c r="M73" s="513"/>
      <c r="N73" s="513"/>
      <c r="O73" s="513"/>
      <c r="P73" s="513"/>
      <c r="Q73" s="513"/>
      <c r="R73" s="522"/>
    </row>
    <row r="74" spans="2:18" ht="15.75" x14ac:dyDescent="0.25">
      <c r="B74" s="520"/>
      <c r="C74" s="556" t="s">
        <v>263</v>
      </c>
      <c r="D74" s="551" t="str">
        <f>VLOOKUP(C74,'Cat. cuentas'!$A$1:$B$195,2,FALSE)</f>
        <v>COCHES, PASAJES Y TAXIS</v>
      </c>
      <c r="E74" s="512"/>
      <c r="F74" s="513">
        <f>'Gtos Mtto 2014'!D25+'Gtos Mtto 2014 (Otros)'!D25</f>
        <v>166.352</v>
      </c>
      <c r="G74" s="513">
        <f>'Gtos Mtto 2014'!E25+'Gtos Mtto 2014 (Otros)'!E25</f>
        <v>166.352</v>
      </c>
      <c r="H74" s="513">
        <f>'Gtos Mtto 2014'!F25+'Gtos Mtto 2014 (Otros)'!F25</f>
        <v>166.352</v>
      </c>
      <c r="I74" s="513">
        <f>'Gtos Mtto 2014'!G25+'Gtos Mtto 2014 (Otros)'!G25</f>
        <v>166.352</v>
      </c>
      <c r="J74" s="513">
        <f>'Gtos Mtto 2014'!H25+'Gtos Mtto 2014 (Otros)'!H25</f>
        <v>166.352</v>
      </c>
      <c r="K74" s="513">
        <f>'Gtos Mtto 2014'!I25+'Gtos Mtto 2014 (Otros)'!I25</f>
        <v>166.352</v>
      </c>
      <c r="L74" s="513">
        <f>'Gtos Mtto 2014'!J25+'Gtos Mtto 2014 (Otros)'!J25</f>
        <v>166.352</v>
      </c>
      <c r="M74" s="513">
        <f>'Gtos Mtto 2014'!K25+'Gtos Mtto 2014 (Otros)'!K25</f>
        <v>166.352</v>
      </c>
      <c r="N74" s="513">
        <f>'Gtos Mtto 2014'!L25+'Gtos Mtto 2014 (Otros)'!L25</f>
        <v>166.352</v>
      </c>
      <c r="O74" s="513">
        <f>'Gtos Mtto 2014'!M25+'Gtos Mtto 2014 (Otros)'!M25</f>
        <v>166.352</v>
      </c>
      <c r="P74" s="513">
        <f>'Gtos Mtto 2014'!N25+'Gtos Mtto 2014 (Otros)'!N25</f>
        <v>166.352</v>
      </c>
      <c r="Q74" s="513">
        <f>'Gtos Mtto 2014'!O25+'Gtos Mtto 2014 (Otros)'!O25</f>
        <v>166.352</v>
      </c>
      <c r="R74" s="522">
        <f t="shared" si="3"/>
        <v>1996.2240000000004</v>
      </c>
    </row>
    <row r="75" spans="2:18" ht="15.75" x14ac:dyDescent="0.25">
      <c r="B75" s="520"/>
      <c r="C75" s="556" t="s">
        <v>269</v>
      </c>
      <c r="D75" s="551" t="str">
        <f>VLOOKUP(C75,'Cat. cuentas'!$A$1:$B$195,2,FALSE)</f>
        <v>OTROS GASTOS</v>
      </c>
      <c r="E75" s="512"/>
      <c r="F75" s="513">
        <f>'Gtos Mtto 2014'!D27+'Gtos Mtto 2014 (Otros)'!D27</f>
        <v>6626.88</v>
      </c>
      <c r="G75" s="513">
        <f>'Gtos Mtto 2014'!E27+'Gtos Mtto 2014 (Otros)'!E27</f>
        <v>6626.88</v>
      </c>
      <c r="H75" s="513">
        <f>'Gtos Mtto 2014'!F27+'Gtos Mtto 2014 (Otros)'!F27</f>
        <v>6626.88</v>
      </c>
      <c r="I75" s="513">
        <f>'Gtos Mtto 2014'!G27+'Gtos Mtto 2014 (Otros)'!G27</f>
        <v>6626.88</v>
      </c>
      <c r="J75" s="513">
        <f>'Gtos Mtto 2014'!H27+'Gtos Mtto 2014 (Otros)'!H27</f>
        <v>6626.88</v>
      </c>
      <c r="K75" s="513">
        <f>'Gtos Mtto 2014'!I27+'Gtos Mtto 2014 (Otros)'!I27</f>
        <v>6626.88</v>
      </c>
      <c r="L75" s="513">
        <f>'Gtos Mtto 2014'!J27+'Gtos Mtto 2014 (Otros)'!J27</f>
        <v>6626.88</v>
      </c>
      <c r="M75" s="513">
        <f>'Gtos Mtto 2014'!K27+'Gtos Mtto 2014 (Otros)'!K27</f>
        <v>6626.88</v>
      </c>
      <c r="N75" s="513">
        <f>'Gtos Mtto 2014'!L27+'Gtos Mtto 2014 (Otros)'!L27</f>
        <v>6626.88</v>
      </c>
      <c r="O75" s="513">
        <f>'Gtos Mtto 2014'!M27+'Gtos Mtto 2014 (Otros)'!M27</f>
        <v>6626.88</v>
      </c>
      <c r="P75" s="513">
        <f>'Gtos Mtto 2014'!N27+'Gtos Mtto 2014 (Otros)'!N27</f>
        <v>6626.88</v>
      </c>
      <c r="Q75" s="513">
        <f>'Gtos Mtto 2014'!O27+'Gtos Mtto 2014 (Otros)'!O27</f>
        <v>6626.88</v>
      </c>
      <c r="R75" s="522">
        <f t="shared" si="3"/>
        <v>79522.559999999998</v>
      </c>
    </row>
    <row r="76" spans="2:18" ht="15.75" x14ac:dyDescent="0.25">
      <c r="B76" s="520"/>
      <c r="C76" s="556"/>
      <c r="D76" s="551"/>
      <c r="E76" s="512"/>
      <c r="F76" s="513"/>
      <c r="G76" s="513"/>
      <c r="H76" s="513"/>
      <c r="I76" s="513"/>
      <c r="J76" s="513"/>
      <c r="K76" s="513"/>
      <c r="L76" s="513"/>
      <c r="M76" s="513"/>
      <c r="N76" s="513"/>
      <c r="O76" s="513"/>
      <c r="P76" s="513"/>
      <c r="Q76" s="513"/>
      <c r="R76" s="522"/>
    </row>
    <row r="77" spans="2:18" ht="15.75" x14ac:dyDescent="0.25">
      <c r="B77" s="520"/>
      <c r="C77" s="556"/>
      <c r="D77" s="551"/>
      <c r="E77" s="512"/>
      <c r="F77" s="513"/>
      <c r="G77" s="513"/>
      <c r="H77" s="513"/>
      <c r="I77" s="513"/>
      <c r="J77" s="513"/>
      <c r="K77" s="513"/>
      <c r="L77" s="513"/>
      <c r="M77" s="513"/>
      <c r="N77" s="513"/>
      <c r="O77" s="513"/>
      <c r="P77" s="513"/>
      <c r="Q77" s="513"/>
      <c r="R77" s="522"/>
    </row>
    <row r="78" spans="2:18" ht="15.75" x14ac:dyDescent="0.25">
      <c r="B78" s="520"/>
      <c r="C78" s="556" t="s">
        <v>534</v>
      </c>
      <c r="D78" s="551" t="str">
        <f>VLOOKUP(C78,'Cat. cuentas'!$A$1:$B$195,2,FALSE)</f>
        <v>FLETES PAGADOS POR COMPRAS</v>
      </c>
      <c r="E78" s="512"/>
      <c r="F78" s="513">
        <f>'Gtos Mtto 2014'!D28+'Gtos Mtto 2014 (Otros)'!D28</f>
        <v>400</v>
      </c>
      <c r="G78" s="513">
        <f>'Gtos Mtto 2014'!E28+'Gtos Mtto 2014 (Otros)'!E28</f>
        <v>400</v>
      </c>
      <c r="H78" s="513">
        <f>'Gtos Mtto 2014'!F28+'Gtos Mtto 2014 (Otros)'!F28</f>
        <v>400</v>
      </c>
      <c r="I78" s="513">
        <f>'Gtos Mtto 2014'!G28+'Gtos Mtto 2014 (Otros)'!G28</f>
        <v>400</v>
      </c>
      <c r="J78" s="513">
        <f>'Gtos Mtto 2014'!H28+'Gtos Mtto 2014 (Otros)'!H28</f>
        <v>400</v>
      </c>
      <c r="K78" s="513">
        <f>'Gtos Mtto 2014'!I28+'Gtos Mtto 2014 (Otros)'!I28</f>
        <v>400</v>
      </c>
      <c r="L78" s="513">
        <f>'Gtos Mtto 2014'!J28+'Gtos Mtto 2014 (Otros)'!J28</f>
        <v>400</v>
      </c>
      <c r="M78" s="513">
        <f>'Gtos Mtto 2014'!K28+'Gtos Mtto 2014 (Otros)'!K28</f>
        <v>400</v>
      </c>
      <c r="N78" s="513">
        <f>'Gtos Mtto 2014'!L28+'Gtos Mtto 2014 (Otros)'!L28</f>
        <v>400</v>
      </c>
      <c r="O78" s="513">
        <f>'Gtos Mtto 2014'!M28+'Gtos Mtto 2014 (Otros)'!M28</f>
        <v>400</v>
      </c>
      <c r="P78" s="513">
        <f>'Gtos Mtto 2014'!N28+'Gtos Mtto 2014 (Otros)'!N28</f>
        <v>400</v>
      </c>
      <c r="Q78" s="513">
        <f>'Gtos Mtto 2014'!O28+'Gtos Mtto 2014 (Otros)'!O28</f>
        <v>400</v>
      </c>
      <c r="R78" s="522">
        <f t="shared" si="3"/>
        <v>4800</v>
      </c>
    </row>
    <row r="79" spans="2:18" ht="15.75" x14ac:dyDescent="0.25">
      <c r="B79" s="520"/>
      <c r="C79" s="556" t="s">
        <v>419</v>
      </c>
      <c r="D79" s="551" t="str">
        <f>VLOOKUP(C79,'Cat. cuentas'!$A$1:$B$195,2,FALSE)</f>
        <v>INSUMOS DE MANTENIMIENTO</v>
      </c>
      <c r="E79" s="512"/>
      <c r="F79" s="513">
        <f>'Gtos Mtto 2014'!D29+'Gtos Mtto 2014 (Otros)'!D29</f>
        <v>5016.666666666667</v>
      </c>
      <c r="G79" s="513">
        <f>'Gtos Mtto 2014'!E29+'Gtos Mtto 2014 (Otros)'!E29</f>
        <v>5033.333333333333</v>
      </c>
      <c r="H79" s="513">
        <f>'Gtos Mtto 2014'!F29+'Gtos Mtto 2014 (Otros)'!F29</f>
        <v>5050</v>
      </c>
      <c r="I79" s="513">
        <f>'Gtos Mtto 2014'!G29+'Gtos Mtto 2014 (Otros)'!G29</f>
        <v>5066.666666666667</v>
      </c>
      <c r="J79" s="513">
        <f>'Gtos Mtto 2014'!H29+'Gtos Mtto 2014 (Otros)'!H29</f>
        <v>5083.333333333333</v>
      </c>
      <c r="K79" s="513">
        <f>'Gtos Mtto 2014'!I29+'Gtos Mtto 2014 (Otros)'!I29</f>
        <v>5100</v>
      </c>
      <c r="L79" s="513">
        <f>'Gtos Mtto 2014'!J29+'Gtos Mtto 2014 (Otros)'!J29</f>
        <v>5116.666666666667</v>
      </c>
      <c r="M79" s="513">
        <f>'Gtos Mtto 2014'!K29+'Gtos Mtto 2014 (Otros)'!K29</f>
        <v>5133.333333333333</v>
      </c>
      <c r="N79" s="513">
        <f>'Gtos Mtto 2014'!L29+'Gtos Mtto 2014 (Otros)'!L29</f>
        <v>5150</v>
      </c>
      <c r="O79" s="513">
        <f>'Gtos Mtto 2014'!M29+'Gtos Mtto 2014 (Otros)'!M29</f>
        <v>5166.666666666667</v>
      </c>
      <c r="P79" s="513">
        <f>'Gtos Mtto 2014'!N29+'Gtos Mtto 2014 (Otros)'!N29</f>
        <v>5183.333333333333</v>
      </c>
      <c r="Q79" s="513">
        <f>'Gtos Mtto 2014'!O29+'Gtos Mtto 2014 (Otros)'!O29</f>
        <v>5200</v>
      </c>
      <c r="R79" s="522">
        <f t="shared" si="3"/>
        <v>61300</v>
      </c>
    </row>
    <row r="80" spans="2:18" ht="15.75" x14ac:dyDescent="0.25">
      <c r="B80" s="520"/>
      <c r="C80" s="556" t="s">
        <v>536</v>
      </c>
      <c r="D80" s="551" t="str">
        <f>VLOOKUP(C80,'Cat. cuentas'!$A$1:$B$195,2,FALSE)</f>
        <v>MANIOBRAS DE ARRASTRE</v>
      </c>
      <c r="E80" s="512"/>
      <c r="F80" s="513">
        <f>'Gtos Mtto 2014'!D30+'Gtos Mtto 2014 (Otros)'!D30</f>
        <v>0</v>
      </c>
      <c r="G80" s="513">
        <f>'Gtos Mtto 2014'!E30+'Gtos Mtto 2014 (Otros)'!E30</f>
        <v>0</v>
      </c>
      <c r="H80" s="513">
        <f>'Gtos Mtto 2014'!F30+'Gtos Mtto 2014 (Otros)'!F30</f>
        <v>0</v>
      </c>
      <c r="I80" s="513">
        <f>'Gtos Mtto 2014'!G30+'Gtos Mtto 2014 (Otros)'!G30</f>
        <v>0</v>
      </c>
      <c r="J80" s="513">
        <f>'Gtos Mtto 2014'!H30+'Gtos Mtto 2014 (Otros)'!H30</f>
        <v>0</v>
      </c>
      <c r="K80" s="513">
        <f>'Gtos Mtto 2014'!I30+'Gtos Mtto 2014 (Otros)'!I30</f>
        <v>0</v>
      </c>
      <c r="L80" s="513">
        <f>'Gtos Mtto 2014'!J30+'Gtos Mtto 2014 (Otros)'!J30</f>
        <v>0</v>
      </c>
      <c r="M80" s="513">
        <f>'Gtos Mtto 2014'!K30+'Gtos Mtto 2014 (Otros)'!K30</f>
        <v>5000</v>
      </c>
      <c r="N80" s="513">
        <f>'Gtos Mtto 2014'!L30+'Gtos Mtto 2014 (Otros)'!L30</f>
        <v>0</v>
      </c>
      <c r="O80" s="513">
        <f>'Gtos Mtto 2014'!M30+'Gtos Mtto 2014 (Otros)'!M30</f>
        <v>0</v>
      </c>
      <c r="P80" s="513">
        <f>'Gtos Mtto 2014'!N30+'Gtos Mtto 2014 (Otros)'!N30</f>
        <v>0</v>
      </c>
      <c r="Q80" s="513">
        <f>'Gtos Mtto 2014'!O30+'Gtos Mtto 2014 (Otros)'!O30</f>
        <v>0</v>
      </c>
      <c r="R80" s="522">
        <f t="shared" si="3"/>
        <v>5000</v>
      </c>
    </row>
    <row r="81" spans="2:18" ht="15.75" x14ac:dyDescent="0.25">
      <c r="B81" s="520"/>
      <c r="C81" s="556"/>
      <c r="D81" s="551" t="s">
        <v>451</v>
      </c>
      <c r="E81" s="512"/>
      <c r="F81" s="513"/>
      <c r="G81" s="513"/>
      <c r="H81" s="513"/>
      <c r="I81" s="513"/>
      <c r="J81" s="513"/>
      <c r="K81" s="513"/>
      <c r="L81" s="513"/>
      <c r="M81" s="513"/>
      <c r="N81" s="513"/>
      <c r="O81" s="513"/>
      <c r="P81" s="513"/>
      <c r="Q81" s="513"/>
      <c r="R81" s="522"/>
    </row>
    <row r="82" spans="2:18" ht="15.75" x14ac:dyDescent="0.25">
      <c r="B82" s="520"/>
      <c r="C82" s="556" t="s">
        <v>265</v>
      </c>
      <c r="D82" s="551" t="str">
        <f>VLOOKUP(C82,'Cat. cuentas'!$A$1:$B$195,2,FALSE)</f>
        <v>EXAMENES MEDICOS</v>
      </c>
      <c r="E82" s="512"/>
      <c r="F82" s="513">
        <f>'Gtos Mtto 2014'!D26+'Gtos Mtto 2014 (Otros)'!D26</f>
        <v>0</v>
      </c>
      <c r="G82" s="513">
        <f>'Gtos Mtto 2014'!E26+'Gtos Mtto 2014 (Otros)'!E26</f>
        <v>0</v>
      </c>
      <c r="H82" s="513">
        <f>'Gtos Mtto 2014'!F26+'Gtos Mtto 2014 (Otros)'!F26</f>
        <v>4888</v>
      </c>
      <c r="I82" s="513">
        <f>'Gtos Mtto 2014'!G26+'Gtos Mtto 2014 (Otros)'!G26</f>
        <v>4888</v>
      </c>
      <c r="J82" s="513">
        <f>'Gtos Mtto 2014'!H26+'Gtos Mtto 2014 (Otros)'!H26</f>
        <v>4888</v>
      </c>
      <c r="K82" s="513">
        <f>'Gtos Mtto 2014'!I26+'Gtos Mtto 2014 (Otros)'!I26</f>
        <v>4888</v>
      </c>
      <c r="L82" s="513">
        <f>'Gtos Mtto 2014'!J26+'Gtos Mtto 2014 (Otros)'!J26</f>
        <v>4888</v>
      </c>
      <c r="M82" s="513">
        <f>'Gtos Mtto 2014'!K26+'Gtos Mtto 2014 (Otros)'!K26</f>
        <v>4888</v>
      </c>
      <c r="N82" s="513">
        <f>'Gtos Mtto 2014'!L26+'Gtos Mtto 2014 (Otros)'!L26</f>
        <v>4888</v>
      </c>
      <c r="O82" s="513">
        <f>'Gtos Mtto 2014'!M26+'Gtos Mtto 2014 (Otros)'!M26</f>
        <v>4888</v>
      </c>
      <c r="P82" s="513">
        <f>'Gtos Mtto 2014'!N26+'Gtos Mtto 2014 (Otros)'!N26</f>
        <v>0</v>
      </c>
      <c r="Q82" s="513">
        <f>'Gtos Mtto 2014'!O26+'Gtos Mtto 2014 (Otros)'!O26</f>
        <v>0</v>
      </c>
      <c r="R82" s="522">
        <f t="shared" ref="R82" si="4">SUM(F82:Q82)</f>
        <v>39104</v>
      </c>
    </row>
    <row r="83" spans="2:18" ht="15.75" x14ac:dyDescent="0.25">
      <c r="B83" s="520" t="s">
        <v>310</v>
      </c>
      <c r="C83" s="556" t="s">
        <v>291</v>
      </c>
      <c r="D83" s="551" t="str">
        <f>VLOOKUP(C83,'Cat. cuentas'!$A$1:$B$195,2,FALSE)</f>
        <v>FACILIDADES ADMINISTRATIVAS</v>
      </c>
      <c r="E83" s="512"/>
      <c r="F83" s="513">
        <f>'Gtos Mtto 2014'!D31+'Gtos Mtto 2014 (Otros)'!D31</f>
        <v>1074.1210566000429</v>
      </c>
      <c r="G83" s="513">
        <f>'Gtos Mtto 2014'!E31+'Gtos Mtto 2014 (Otros)'!E31</f>
        <v>1052.2506153000229</v>
      </c>
      <c r="H83" s="513">
        <f>'Gtos Mtto 2014'!F31+'Gtos Mtto 2014 (Otros)'!F31</f>
        <v>1091.5766058264974</v>
      </c>
      <c r="I83" s="513">
        <f>'Gtos Mtto 2014'!G31+'Gtos Mtto 2014 (Otros)'!G31</f>
        <v>1155.9630438239772</v>
      </c>
      <c r="J83" s="513">
        <f>'Gtos Mtto 2014'!H31+'Gtos Mtto 2014 (Otros)'!H31</f>
        <v>1118.5220819598269</v>
      </c>
      <c r="K83" s="513">
        <f>'Gtos Mtto 2014'!I31+'Gtos Mtto 2014 (Otros)'!I31</f>
        <v>1127.645109342971</v>
      </c>
      <c r="L83" s="513">
        <f>'Gtos Mtto 2014'!J31+'Gtos Mtto 2014 (Otros)'!J31</f>
        <v>1221.2127791378214</v>
      </c>
      <c r="M83" s="513">
        <f>'Gtos Mtto 2014'!K31+'Gtos Mtto 2014 (Otros)'!K31</f>
        <v>1199.8854818868967</v>
      </c>
      <c r="N83" s="513">
        <f>'Gtos Mtto 2014'!L31+'Gtos Mtto 2014 (Otros)'!L31</f>
        <v>1065.3273982685037</v>
      </c>
      <c r="O83" s="513">
        <f>'Gtos Mtto 2014'!M31+'Gtos Mtto 2014 (Otros)'!M31</f>
        <v>1380.126821706747</v>
      </c>
      <c r="P83" s="513">
        <f>'Gtos Mtto 2014'!N31+'Gtos Mtto 2014 (Otros)'!N31</f>
        <v>1230.7367499664467</v>
      </c>
      <c r="Q83" s="513">
        <f>'Gtos Mtto 2014'!O31+'Gtos Mtto 2014 (Otros)'!O31</f>
        <v>1234.6941028602296</v>
      </c>
      <c r="R83" s="522">
        <f>+SUM(F83:Q83)</f>
        <v>13952.061846679986</v>
      </c>
    </row>
    <row r="84" spans="2:18" ht="15" x14ac:dyDescent="0.2">
      <c r="B84" s="520"/>
    </row>
    <row r="85" spans="2:18" ht="15.75" x14ac:dyDescent="0.25">
      <c r="B85" s="516" t="s">
        <v>728</v>
      </c>
      <c r="C85" s="517"/>
      <c r="D85" s="517"/>
      <c r="E85" s="517"/>
      <c r="F85" s="100">
        <f t="shared" ref="F85:Q85" si="5">SUM(F58:F84)</f>
        <v>269223.35077986674</v>
      </c>
      <c r="G85" s="100">
        <f t="shared" si="5"/>
        <v>299971.00323060004</v>
      </c>
      <c r="H85" s="100">
        <f t="shared" si="5"/>
        <v>316122.51331165299</v>
      </c>
      <c r="I85" s="100">
        <f t="shared" si="5"/>
        <v>282633.10618764797</v>
      </c>
      <c r="J85" s="100">
        <f t="shared" si="5"/>
        <v>287625.33759725292</v>
      </c>
      <c r="K85" s="100">
        <f t="shared" si="5"/>
        <v>282640.83031868591</v>
      </c>
      <c r="L85" s="100">
        <f t="shared" si="5"/>
        <v>284329.65232494235</v>
      </c>
      <c r="M85" s="100">
        <f t="shared" si="5"/>
        <v>287849.67106377374</v>
      </c>
      <c r="N85" s="100">
        <f t="shared" si="5"/>
        <v>284091.81489653699</v>
      </c>
      <c r="O85" s="100">
        <f t="shared" si="5"/>
        <v>283274.5137434135</v>
      </c>
      <c r="P85" s="100">
        <f t="shared" si="5"/>
        <v>287928.56693326618</v>
      </c>
      <c r="Q85" s="100">
        <f t="shared" si="5"/>
        <v>274360.00830572046</v>
      </c>
      <c r="R85" s="101">
        <f>SUM(R58:R83)</f>
        <v>3440050.3686933606</v>
      </c>
    </row>
    <row r="86" spans="2:18" ht="15.75" x14ac:dyDescent="0.25">
      <c r="B86" s="516"/>
      <c r="C86" s="517"/>
      <c r="D86" s="517"/>
      <c r="E86" s="517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</row>
    <row r="87" spans="2:18" ht="15.75" x14ac:dyDescent="0.25">
      <c r="B87" s="525" t="s">
        <v>333</v>
      </c>
      <c r="C87" s="517"/>
      <c r="D87" s="526"/>
      <c r="E87" s="526"/>
      <c r="F87" s="100">
        <f t="shared" ref="F87:R87" si="6">SUM(F54+F85)</f>
        <v>996580.87896248931</v>
      </c>
      <c r="G87" s="100">
        <f t="shared" si="6"/>
        <v>1005151.3972146661</v>
      </c>
      <c r="H87" s="100">
        <f t="shared" si="6"/>
        <v>1032610.3947931535</v>
      </c>
      <c r="I87" s="100">
        <f t="shared" si="6"/>
        <v>1028400.1933559251</v>
      </c>
      <c r="J87" s="100">
        <f t="shared" si="6"/>
        <v>1055783.4894350958</v>
      </c>
      <c r="K87" s="100">
        <f t="shared" si="6"/>
        <v>1025887.7924814541</v>
      </c>
      <c r="L87" s="100">
        <f t="shared" si="6"/>
        <v>1062840.2071867208</v>
      </c>
      <c r="M87" s="100">
        <f t="shared" si="6"/>
        <v>1056811.2682613779</v>
      </c>
      <c r="N87" s="100">
        <f t="shared" si="6"/>
        <v>999849.14964723843</v>
      </c>
      <c r="O87" s="100">
        <f t="shared" si="6"/>
        <v>1148793.8606683067</v>
      </c>
      <c r="P87" s="100">
        <f t="shared" si="6"/>
        <v>1073302.5158966871</v>
      </c>
      <c r="Q87" s="100">
        <f t="shared" si="6"/>
        <v>1062199.0466190677</v>
      </c>
      <c r="R87" s="101">
        <f t="shared" si="6"/>
        <v>12548210.194522182</v>
      </c>
    </row>
    <row r="88" spans="2:18" ht="15.75" x14ac:dyDescent="0.25">
      <c r="B88" s="516"/>
      <c r="C88" s="517"/>
      <c r="D88" s="517"/>
      <c r="E88" s="527"/>
      <c r="F88" s="528"/>
      <c r="G88" s="528"/>
      <c r="H88" s="528"/>
      <c r="I88" s="528"/>
      <c r="J88" s="528"/>
      <c r="K88" s="528"/>
      <c r="L88" s="528"/>
      <c r="M88" s="528"/>
      <c r="N88" s="528"/>
      <c r="O88" s="528"/>
      <c r="P88" s="528"/>
      <c r="Q88" s="528"/>
      <c r="R88" s="522"/>
    </row>
    <row r="89" spans="2:18" ht="15.75" hidden="1" x14ac:dyDescent="0.25">
      <c r="B89" s="516"/>
      <c r="C89" s="517"/>
      <c r="D89" s="517"/>
      <c r="E89" s="517"/>
      <c r="F89" s="529">
        <f t="shared" ref="F89:R89" si="7">F87/F12</f>
        <v>1.9128532391153643</v>
      </c>
      <c r="G89" s="529">
        <f t="shared" si="7"/>
        <v>1.7662727807659304</v>
      </c>
      <c r="H89" s="529">
        <f t="shared" si="7"/>
        <v>1.7761489892825875</v>
      </c>
      <c r="I89" s="529">
        <f t="shared" si="7"/>
        <v>1.6890793638129518</v>
      </c>
      <c r="J89" s="529">
        <f t="shared" si="7"/>
        <v>1.6629995825189829</v>
      </c>
      <c r="K89" s="529">
        <f t="shared" si="7"/>
        <v>1.4128061230046141</v>
      </c>
      <c r="L89" s="529">
        <f t="shared" si="7"/>
        <v>1.5112842221052496</v>
      </c>
      <c r="M89" s="529">
        <f t="shared" si="7"/>
        <v>1.574399149606579</v>
      </c>
      <c r="N89" s="529">
        <f t="shared" si="7"/>
        <v>1.4246245746407613</v>
      </c>
      <c r="O89" s="529">
        <f t="shared" si="7"/>
        <v>1.8790005205688631</v>
      </c>
      <c r="P89" s="529">
        <f t="shared" si="7"/>
        <v>1.639061349212122</v>
      </c>
      <c r="Q89" s="529">
        <f t="shared" si="7"/>
        <v>0.14043650261970347</v>
      </c>
      <c r="R89" s="530">
        <f t="shared" si="7"/>
        <v>0.86257289743886001</v>
      </c>
    </row>
    <row r="90" spans="2:18" ht="15.75" x14ac:dyDescent="0.25">
      <c r="B90" s="516" t="s">
        <v>729</v>
      </c>
      <c r="C90" s="517"/>
      <c r="D90" s="517"/>
      <c r="E90" s="517"/>
      <c r="F90" s="521"/>
      <c r="G90" s="521"/>
      <c r="H90" s="521"/>
      <c r="I90" s="521"/>
      <c r="J90" s="521"/>
      <c r="K90" s="521"/>
      <c r="L90" s="521"/>
      <c r="M90" s="521"/>
      <c r="N90" s="521"/>
      <c r="O90" s="521"/>
      <c r="P90" s="521"/>
      <c r="Q90" s="521"/>
      <c r="R90" s="531"/>
    </row>
    <row r="91" spans="2:18" ht="15.75" x14ac:dyDescent="0.25">
      <c r="B91" s="516"/>
      <c r="C91" s="517"/>
      <c r="D91" s="517"/>
      <c r="E91" s="517"/>
      <c r="F91" s="512"/>
      <c r="G91" s="512"/>
      <c r="H91" s="512"/>
      <c r="I91" s="512"/>
      <c r="J91" s="512"/>
      <c r="K91" s="512"/>
      <c r="L91" s="512"/>
      <c r="M91" s="512"/>
      <c r="N91" s="512"/>
      <c r="O91" s="512"/>
      <c r="P91" s="512"/>
      <c r="Q91" s="512"/>
      <c r="R91" s="532"/>
    </row>
    <row r="92" spans="2:18" ht="15.75" x14ac:dyDescent="0.25">
      <c r="B92" s="516" t="s">
        <v>730</v>
      </c>
      <c r="C92" s="517"/>
      <c r="D92" s="517"/>
      <c r="E92" s="533"/>
      <c r="F92" s="534"/>
      <c r="G92" s="534"/>
      <c r="H92" s="534"/>
      <c r="I92" s="534"/>
      <c r="J92" s="534"/>
      <c r="K92" s="534"/>
      <c r="L92" s="534"/>
      <c r="M92" s="534"/>
      <c r="N92" s="534"/>
      <c r="O92" s="534"/>
      <c r="P92" s="534"/>
      <c r="Q92" s="534"/>
      <c r="R92" s="535"/>
    </row>
    <row r="93" spans="2:18" ht="15.75" x14ac:dyDescent="0.25">
      <c r="B93" s="520"/>
      <c r="C93" s="512"/>
      <c r="D93" s="512"/>
      <c r="E93" s="512"/>
      <c r="F93" s="536"/>
      <c r="G93" s="536"/>
      <c r="H93" s="536"/>
      <c r="I93" s="536"/>
      <c r="J93" s="536"/>
      <c r="K93" s="536"/>
      <c r="L93" s="536"/>
      <c r="M93" s="536"/>
      <c r="N93" s="536"/>
      <c r="O93" s="536"/>
      <c r="P93" s="536"/>
      <c r="Q93" s="536"/>
      <c r="R93" s="537"/>
    </row>
    <row r="94" spans="2:18" ht="15.75" x14ac:dyDescent="0.25">
      <c r="B94" s="520" t="s">
        <v>272</v>
      </c>
      <c r="C94" s="556" t="s">
        <v>273</v>
      </c>
      <c r="D94" s="551" t="str">
        <f>VLOOKUP(C94,'Cat. cuentas'!$A$1:$B$195,2,FALSE)</f>
        <v>DIESEL Y COMBUSTIBLES CON IVA</v>
      </c>
      <c r="E94" s="538"/>
      <c r="F94" s="513">
        <f>'Gtos Transp 2014'!D37+'Gtos Transp 2014 (Otros)'!D37</f>
        <v>1743586.3911686563</v>
      </c>
      <c r="G94" s="513">
        <f>'Gtos Transp 2014'!E37+'Gtos Transp 2014 (Otros)'!E37</f>
        <v>1724460.3582392847</v>
      </c>
      <c r="H94" s="513">
        <f>'Gtos Transp 2014'!F37+'Gtos Transp 2014 (Otros)'!F37</f>
        <v>1787660.8123947168</v>
      </c>
      <c r="I94" s="513">
        <f>'Gtos Transp 2014'!G37+'Gtos Transp 2014 (Otros)'!G37</f>
        <v>1885398.023517933</v>
      </c>
      <c r="J94" s="513">
        <f>'Gtos Transp 2014'!H37+'Gtos Transp 2014 (Otros)'!H37</f>
        <v>1844977.4848857494</v>
      </c>
      <c r="K94" s="513">
        <f>'Gtos Transp 2014'!I37+'Gtos Transp 2014 (Otros)'!I37</f>
        <v>1867872.5029131116</v>
      </c>
      <c r="L94" s="513">
        <f>'Gtos Transp 2014'!J37+'Gtos Transp 2014 (Otros)'!J37</f>
        <v>2007278.0877319563</v>
      </c>
      <c r="M94" s="513">
        <f>'Gtos Transp 2014'!K37+'Gtos Transp 2014 (Otros)'!K37</f>
        <v>1988703.7946601068</v>
      </c>
      <c r="N94" s="513">
        <f>'Gtos Transp 2014'!L37+'Gtos Transp 2014 (Otros)'!L37</f>
        <v>1812121.577314541</v>
      </c>
      <c r="O94" s="513">
        <f>'Gtos Transp 2014'!M37+'Gtos Transp 2014 (Otros)'!M37</f>
        <v>2262395.6101347273</v>
      </c>
      <c r="P94" s="513">
        <f>'Gtos Transp 2014'!N37+'Gtos Transp 2014 (Otros)'!N37</f>
        <v>2064258.0408453362</v>
      </c>
      <c r="Q94" s="513">
        <f>'Gtos Transp 2014'!O37+'Gtos Transp 2014 (Otros)'!O37</f>
        <v>2080676.5791311632</v>
      </c>
      <c r="R94" s="522">
        <f t="shared" ref="R94:R106" si="8">SUM(F94:Q94)</f>
        <v>23069389.262937281</v>
      </c>
    </row>
    <row r="95" spans="2:18" ht="15.75" x14ac:dyDescent="0.25">
      <c r="B95" s="520"/>
      <c r="C95" s="556"/>
      <c r="D95" s="551"/>
      <c r="E95" s="538"/>
      <c r="F95" s="513"/>
      <c r="G95" s="513"/>
      <c r="H95" s="513"/>
      <c r="I95" s="513"/>
      <c r="J95" s="513"/>
      <c r="K95" s="513"/>
      <c r="L95" s="513"/>
      <c r="M95" s="513"/>
      <c r="N95" s="513"/>
      <c r="O95" s="513"/>
      <c r="P95" s="513"/>
      <c r="Q95" s="513"/>
      <c r="R95" s="522"/>
    </row>
    <row r="96" spans="2:18" ht="15.75" x14ac:dyDescent="0.25">
      <c r="B96" s="520" t="s">
        <v>275</v>
      </c>
      <c r="C96" s="556" t="s">
        <v>276</v>
      </c>
      <c r="D96" s="551" t="str">
        <f>VLOOKUP(C96,'Cat. cuentas'!$A$1:$B$195,2,FALSE)</f>
        <v>SUELDOS Y SALARIOS</v>
      </c>
      <c r="E96" s="539">
        <f>3.33/2</f>
        <v>1.665</v>
      </c>
      <c r="F96" s="513">
        <f>'Gtos Transp 2014'!D38+'Gtos Transp 2014 (Otros)'!D38</f>
        <v>854900.1054809849</v>
      </c>
      <c r="G96" s="513">
        <f>'Gtos Transp 2014'!E38+'Gtos Transp 2014 (Otros)'!E38</f>
        <v>865534.98497177183</v>
      </c>
      <c r="H96" s="513">
        <f>'Gtos Transp 2014'!F38+'Gtos Transp 2014 (Otros)'!F38</f>
        <v>922482.41949425265</v>
      </c>
      <c r="I96" s="513">
        <f>'Gtos Transp 2014'!G38+'Gtos Transp 2014 (Otros)'!G38</f>
        <v>953745.8138127682</v>
      </c>
      <c r="J96" s="513">
        <f>'Gtos Transp 2014'!H38+'Gtos Transp 2014 (Otros)'!H38</f>
        <v>978913.64505021798</v>
      </c>
      <c r="K96" s="513">
        <f>'Gtos Transp 2014'!I38+'Gtos Transp 2014 (Otros)'!I38</f>
        <v>971006.39842554345</v>
      </c>
      <c r="L96" s="513">
        <f>'Gtos Transp 2014'!J38+'Gtos Transp 2014 (Otros)'!J38</f>
        <v>1005859.7453097921</v>
      </c>
      <c r="M96" s="513">
        <f>'Gtos Transp 2014'!K38+'Gtos Transp 2014 (Otros)'!K38</f>
        <v>984686.63995309104</v>
      </c>
      <c r="N96" s="513">
        <f>'Gtos Transp 2014'!L38+'Gtos Transp 2014 (Otros)'!L38</f>
        <v>928128.04045608081</v>
      </c>
      <c r="O96" s="513">
        <f>'Gtos Transp 2014'!M38+'Gtos Transp 2014 (Otros)'!M38</f>
        <v>1073052.2972153439</v>
      </c>
      <c r="P96" s="513">
        <f>'Gtos Transp 2014'!N38+'Gtos Transp 2014 (Otros)'!N38</f>
        <v>1000075.7821495417</v>
      </c>
      <c r="Q96" s="513">
        <f>'Gtos Transp 2014'!O38+'Gtos Transp 2014 (Otros)'!O38</f>
        <v>1002664.7388161541</v>
      </c>
      <c r="R96" s="522">
        <f t="shared" si="8"/>
        <v>11541050.611135544</v>
      </c>
    </row>
    <row r="97" spans="2:19" ht="15.75" x14ac:dyDescent="0.25">
      <c r="B97" s="520" t="s">
        <v>277</v>
      </c>
      <c r="C97" s="556" t="s">
        <v>278</v>
      </c>
      <c r="D97" s="551" t="str">
        <f>VLOOKUP(C97,'Cat. cuentas'!$A$1:$B$195,2,FALSE)</f>
        <v>LLANTAS Y CAMARAS NUEVAS</v>
      </c>
      <c r="E97" s="540">
        <v>4.84</v>
      </c>
      <c r="F97" s="513">
        <f>'Gtos Transp 2014'!D39+'Gtos Transp 2014 (Otros)'!D39</f>
        <v>36426.516357247696</v>
      </c>
      <c r="G97" s="513">
        <f>'Gtos Transp 2014'!E39+'Gtos Transp 2014 (Otros)'!E39</f>
        <v>35718.298643073409</v>
      </c>
      <c r="H97" s="513">
        <f>'Gtos Transp 2014'!F39+'Gtos Transp 2014 (Otros)'!F39</f>
        <v>38170.334700478052</v>
      </c>
      <c r="I97" s="513">
        <f>'Gtos Transp 2014'!G39+'Gtos Transp 2014 (Otros)'!G39</f>
        <v>39918.157471307808</v>
      </c>
      <c r="J97" s="513">
        <f>'Gtos Transp 2014'!H39+'Gtos Transp 2014 (Otros)'!H39</f>
        <v>38736.101689142823</v>
      </c>
      <c r="K97" s="513">
        <f>'Gtos Transp 2014'!I39+'Gtos Transp 2014 (Otros)'!I39</f>
        <v>38891.954622818885</v>
      </c>
      <c r="L97" s="513">
        <f>'Gtos Transp 2014'!J39+'Gtos Transp 2014 (Otros)'!J39</f>
        <v>41451.245378527841</v>
      </c>
      <c r="M97" s="513">
        <f>'Gtos Transp 2014'!K39+'Gtos Transp 2014 (Otros)'!K39</f>
        <v>40733.051889635542</v>
      </c>
      <c r="N97" s="513">
        <f>'Gtos Transp 2014'!L39+'Gtos Transp 2014 (Otros)'!L39</f>
        <v>36816.273105398344</v>
      </c>
      <c r="O97" s="513">
        <f>'Gtos Transp 2014'!M39+'Gtos Transp 2014 (Otros)'!M39</f>
        <v>45595.822527765464</v>
      </c>
      <c r="P97" s="513">
        <f>'Gtos Transp 2014'!N39+'Gtos Transp 2014 (Otros)'!N39</f>
        <v>41271.706020721307</v>
      </c>
      <c r="Q97" s="513">
        <f>'Gtos Transp 2014'!O39+'Gtos Transp 2014 (Otros)'!O39</f>
        <v>41271.706020721307</v>
      </c>
      <c r="R97" s="522">
        <f t="shared" si="8"/>
        <v>475001.16842683847</v>
      </c>
    </row>
    <row r="98" spans="2:19" ht="15.75" x14ac:dyDescent="0.25">
      <c r="B98" s="520"/>
      <c r="C98" s="556" t="s">
        <v>279</v>
      </c>
      <c r="D98" s="551" t="str">
        <f>VLOOKUP(C98,'Cat. cuentas'!$A$1:$B$195,2,FALSE)</f>
        <v>LLANTAS RENOVADAS</v>
      </c>
      <c r="E98" s="540">
        <v>143.87</v>
      </c>
      <c r="F98" s="513">
        <f>'Gtos Transp 2014'!D40+'Gtos Transp 2014 (Otros)'!D40</f>
        <v>52793.986892974121</v>
      </c>
      <c r="G98" s="513">
        <f>'Gtos Transp 2014'!E40+'Gtos Transp 2014 (Otros)'!E40</f>
        <v>51767.546803211051</v>
      </c>
      <c r="H98" s="513">
        <f>'Gtos Transp 2014'!F40+'Gtos Transp 2014 (Otros)'!F40</f>
        <v>55321.352448695558</v>
      </c>
      <c r="I98" s="513">
        <f>'Gtos Transp 2014'!G40+'Gtos Transp 2014 (Otros)'!G40</f>
        <v>57854.52173530696</v>
      </c>
      <c r="J98" s="513">
        <f>'Gtos Transp 2014'!H40+'Gtos Transp 2014 (Otros)'!H40</f>
        <v>56141.334647682386</v>
      </c>
      <c r="K98" s="513">
        <f>'Gtos Transp 2014'!I40+'Gtos Transp 2014 (Otros)'!I40</f>
        <v>56367.216740195152</v>
      </c>
      <c r="L98" s="513">
        <f>'Gtos Transp 2014'!J40+'Gtos Transp 2014 (Otros)'!J40</f>
        <v>60076.469672512001</v>
      </c>
      <c r="M98" s="513">
        <f>'Gtos Transp 2014'!K40+'Gtos Transp 2014 (Otros)'!K40</f>
        <v>59035.57140852922</v>
      </c>
      <c r="N98" s="513">
        <f>'Gtos Transp 2014'!L40+'Gtos Transp 2014 (Otros)'!L40</f>
        <v>53358.872440949934</v>
      </c>
      <c r="O98" s="513">
        <f>'Gtos Transp 2014'!M40+'Gtos Transp 2014 (Otros)'!M40</f>
        <v>66083.32329386397</v>
      </c>
      <c r="P98" s="513">
        <f>'Gtos Transp 2014'!N40+'Gtos Transp 2014 (Otros)'!N40</f>
        <v>59816.258171366753</v>
      </c>
      <c r="Q98" s="513">
        <f>'Gtos Transp 2014'!O40+'Gtos Transp 2014 (Otros)'!O40</f>
        <v>59816.258171366753</v>
      </c>
      <c r="R98" s="522">
        <f t="shared" si="8"/>
        <v>688432.71242665383</v>
      </c>
    </row>
    <row r="99" spans="2:19" ht="15.75" x14ac:dyDescent="0.25">
      <c r="B99" s="520" t="s">
        <v>280</v>
      </c>
      <c r="C99" s="556" t="s">
        <v>281</v>
      </c>
      <c r="D99" s="551" t="str">
        <f>VLOOKUP(C99,'Cat. cuentas'!$A$1:$B$195,2,FALSE)</f>
        <v>CASETAS SUJETAS ESTIMULO</v>
      </c>
      <c r="E99" s="540">
        <v>125.48</v>
      </c>
      <c r="F99" s="513">
        <f>'Gtos Transp 2014'!D41+'Gtos Transp 2014 (Otros)'!D41</f>
        <v>793951.04763461067</v>
      </c>
      <c r="G99" s="513">
        <f>'Gtos Transp 2014'!E41+'Gtos Transp 2014 (Otros)'!E41</f>
        <v>781101.18744067661</v>
      </c>
      <c r="H99" s="513">
        <f>'Gtos Transp 2014'!F41+'Gtos Transp 2014 (Otros)'!F41</f>
        <v>805508.52968086931</v>
      </c>
      <c r="I99" s="513">
        <f>'Gtos Transp 2014'!G41+'Gtos Transp 2014 (Otros)'!G41</f>
        <v>845173.00598345685</v>
      </c>
      <c r="J99" s="513">
        <f>'Gtos Transp 2014'!H41+'Gtos Transp 2014 (Otros)'!H41</f>
        <v>822843.60557209176</v>
      </c>
      <c r="K99" s="513">
        <f>'Gtos Transp 2014'!I41+'Gtos Transp 2014 (Otros)'!I41</f>
        <v>828862.98174374097</v>
      </c>
      <c r="L99" s="513">
        <f>'Gtos Transp 2014'!J41+'Gtos Transp 2014 (Otros)'!J41</f>
        <v>886293.38046864048</v>
      </c>
      <c r="M99" s="513">
        <f>'Gtos Transp 2014'!K41+'Gtos Transp 2014 (Otros)'!K41</f>
        <v>873774.19360293949</v>
      </c>
      <c r="N99" s="513">
        <f>'Gtos Transp 2014'!L41+'Gtos Transp 2014 (Otros)'!L41</f>
        <v>792318.59649964527</v>
      </c>
      <c r="O99" s="513">
        <f>'Gtos Transp 2014'!M41+'Gtos Transp 2014 (Otros)'!M41</f>
        <v>984437.83220964856</v>
      </c>
      <c r="P99" s="513">
        <f>'Gtos Transp 2014'!N41+'Gtos Transp 2014 (Otros)'!N41</f>
        <v>893952.32327219378</v>
      </c>
      <c r="Q99" s="513">
        <f>'Gtos Transp 2014'!O41+'Gtos Transp 2014 (Otros)'!O41</f>
        <v>896826.76804155775</v>
      </c>
      <c r="R99" s="522">
        <f t="shared" si="8"/>
        <v>10205043.452150073</v>
      </c>
    </row>
    <row r="100" spans="2:19" ht="15.75" x14ac:dyDescent="0.25">
      <c r="B100" s="520"/>
      <c r="C100" s="556" t="s">
        <v>282</v>
      </c>
      <c r="D100" s="551" t="str">
        <f>VLOOKUP(C100,'Cat. cuentas'!$A$1:$B$195,2,FALSE)</f>
        <v>CASETAS NO SUJETAS ESTIMULO</v>
      </c>
      <c r="E100" s="540"/>
      <c r="F100" s="513">
        <f>'Gtos Transp 2014'!D42+'Gtos Transp 2014 (Otros)'!D42</f>
        <v>85677.970415276635</v>
      </c>
      <c r="G100" s="513">
        <f>'Gtos Transp 2014'!E42+'Gtos Transp 2014 (Otros)'!E42</f>
        <v>84291.298094840313</v>
      </c>
      <c r="H100" s="513">
        <f>'Gtos Transp 2014'!F42+'Gtos Transp 2014 (Otros)'!F42</f>
        <v>86925.177793848125</v>
      </c>
      <c r="I100" s="513">
        <f>'Gtos Transp 2014'!G42+'Gtos Transp 2014 (Otros)'!G42</f>
        <v>91205.506961893392</v>
      </c>
      <c r="J100" s="513">
        <f>'Gtos Transp 2014'!H42+'Gtos Transp 2014 (Otros)'!H42</f>
        <v>88795.865065789694</v>
      </c>
      <c r="K100" s="513">
        <f>'Gtos Transp 2014'!I42+'Gtos Transp 2014 (Otros)'!I42</f>
        <v>89445.43651618257</v>
      </c>
      <c r="L100" s="513">
        <f>'Gtos Transp 2014'!J42+'Gtos Transp 2014 (Otros)'!J42</f>
        <v>95642.947077506236</v>
      </c>
      <c r="M100" s="513">
        <f>'Gtos Transp 2014'!K42+'Gtos Transp 2014 (Otros)'!K42</f>
        <v>94291.958845802947</v>
      </c>
      <c r="N100" s="513">
        <f>'Gtos Transp 2014'!L42+'Gtos Transp 2014 (Otros)'!L42</f>
        <v>85501.80703535206</v>
      </c>
      <c r="O100" s="513">
        <f>'Gtos Transp 2014'!M42+'Gtos Transp 2014 (Otros)'!M42</f>
        <v>106234.050216348</v>
      </c>
      <c r="P100" s="513">
        <f>'Gtos Transp 2014'!N42+'Gtos Transp 2014 (Otros)'!N42</f>
        <v>96469.449765411395</v>
      </c>
      <c r="Q100" s="513">
        <f>'Gtos Transp 2014'!O42+'Gtos Transp 2014 (Otros)'!O42</f>
        <v>96779.640922213352</v>
      </c>
      <c r="R100" s="522">
        <f t="shared" si="8"/>
        <v>1101261.1087104648</v>
      </c>
    </row>
    <row r="101" spans="2:19" ht="15.75" x14ac:dyDescent="0.25">
      <c r="B101" s="520" t="s">
        <v>283</v>
      </c>
      <c r="C101" s="556" t="s">
        <v>284</v>
      </c>
      <c r="D101" s="551" t="str">
        <f>VLOOKUP(C101,'Cat. cuentas'!$A$1:$B$195,2,FALSE)</f>
        <v>GASTOS NO DEDUCIBLES</v>
      </c>
      <c r="E101" s="540"/>
      <c r="F101" s="513">
        <f>'Gtos Transp 2014'!D43+'Gtos Transp 2014 (Otros)'!D43</f>
        <v>8406.6919154266998</v>
      </c>
      <c r="G101" s="513">
        <f>'Gtos Transp 2014'!E43+'Gtos Transp 2014 (Otros)'!E43</f>
        <v>8270.6321216540946</v>
      </c>
      <c r="H101" s="513">
        <f>'Gtos Transp 2014'!F43+'Gtos Transp 2014 (Otros)'!F43</f>
        <v>8529.0674588187485</v>
      </c>
      <c r="I101" s="513">
        <f>'Gtos Transp 2014'!G43+'Gtos Transp 2014 (Otros)'!G43</f>
        <v>8949.0518309737108</v>
      </c>
      <c r="J101" s="513">
        <f>'Gtos Transp 2014'!H43+'Gtos Transp 2014 (Otros)'!H43</f>
        <v>8712.6186270957096</v>
      </c>
      <c r="K101" s="513">
        <f>'Gtos Transp 2014'!I43+'Gtos Transp 2014 (Otros)'!I43</f>
        <v>8776.3543462548114</v>
      </c>
      <c r="L101" s="513">
        <f>'Gtos Transp 2014'!J43+'Gtos Transp 2014 (Otros)'!J43</f>
        <v>9384.4518732984907</v>
      </c>
      <c r="M101" s="513">
        <f>'Gtos Transp 2014'!K43+'Gtos Transp 2014 (Otros)'!K43</f>
        <v>9251.8933895920236</v>
      </c>
      <c r="N101" s="513">
        <f>'Gtos Transp 2014'!L43+'Gtos Transp 2014 (Otros)'!L43</f>
        <v>8389.4068273856556</v>
      </c>
      <c r="O101" s="513">
        <f>'Gtos Transp 2014'!M43+'Gtos Transp 2014 (Otros)'!M43</f>
        <v>10423.647137859472</v>
      </c>
      <c r="P101" s="513">
        <f>'Gtos Transp 2014'!N43+'Gtos Transp 2014 (Otros)'!N43</f>
        <v>9465.5480224114235</v>
      </c>
      <c r="Q101" s="513">
        <f>'Gtos Transp 2014'!O43+'Gtos Transp 2014 (Otros)'!O43</f>
        <v>9495.98386814265</v>
      </c>
      <c r="R101" s="522">
        <f t="shared" si="8"/>
        <v>108055.34741891349</v>
      </c>
    </row>
    <row r="102" spans="2:19" ht="15.75" x14ac:dyDescent="0.25">
      <c r="B102" s="520" t="s">
        <v>285</v>
      </c>
      <c r="C102" s="556" t="s">
        <v>286</v>
      </c>
      <c r="D102" s="551" t="str">
        <f>VLOOKUP(C102,'Cat. cuentas'!$A$1:$B$195,2,FALSE)</f>
        <v>INSPECCIONES FISICO MECANICAS</v>
      </c>
      <c r="E102" s="540"/>
      <c r="F102" s="513">
        <f>'Gtos Transp 2014'!D44+'Gtos Transp 2014 (Otros)'!D44</f>
        <v>10932.176440930025</v>
      </c>
      <c r="G102" s="513">
        <f>'Gtos Transp 2014'!E44+'Gtos Transp 2014 (Otros)'!E44</f>
        <v>10978.784142254399</v>
      </c>
      <c r="H102" s="513">
        <f>'Gtos Transp 2014'!F44+'Gtos Transp 2014 (Otros)'!F44</f>
        <v>10913.952537713063</v>
      </c>
      <c r="I102" s="513">
        <f>'Gtos Transp 2014'!G44+'Gtos Transp 2014 (Otros)'!G44</f>
        <v>10813.537843290735</v>
      </c>
      <c r="J102" s="513">
        <f>'Gtos Transp 2014'!H44+'Gtos Transp 2014 (Otros)'!H44</f>
        <v>10880.249959533314</v>
      </c>
      <c r="K102" s="513">
        <f>'Gtos Transp 2014'!I44+'Gtos Transp 2014 (Otros)'!I44</f>
        <v>10871.173821765264</v>
      </c>
      <c r="L102" s="513">
        <f>'Gtos Transp 2014'!J44+'Gtos Transp 2014 (Otros)'!J44</f>
        <v>10733.770420227491</v>
      </c>
      <c r="M102" s="513">
        <f>'Gtos Transp 2014'!K44+'Gtos Transp 2014 (Otros)'!K44</f>
        <v>10770.244240339267</v>
      </c>
      <c r="N102" s="513">
        <f>'Gtos Transp 2014'!L44+'Gtos Transp 2014 (Otros)'!L44</f>
        <v>10999.75189757654</v>
      </c>
      <c r="O102" s="513">
        <f>'Gtos Transp 2014'!M44+'Gtos Transp 2014 (Otros)'!M44</f>
        <v>10549.58646440242</v>
      </c>
      <c r="P102" s="513">
        <f>'Gtos Transp 2014'!N44+'Gtos Transp 2014 (Otros)'!N44</f>
        <v>10742.74643911939</v>
      </c>
      <c r="Q102" s="513">
        <f>'Gtos Transp 2014'!O44+'Gtos Transp 2014 (Otros)'!O44</f>
        <v>10742.74643911939</v>
      </c>
      <c r="R102" s="522">
        <f t="shared" si="8"/>
        <v>129928.72064627131</v>
      </c>
    </row>
    <row r="103" spans="2:19" ht="15.75" x14ac:dyDescent="0.25">
      <c r="B103" s="520"/>
      <c r="C103" s="556" t="s">
        <v>287</v>
      </c>
      <c r="D103" s="551" t="str">
        <f>VLOOKUP(C103,'Cat. cuentas'!$A$1:$B$195,2,FALSE)</f>
        <v>VERIFICACIONES</v>
      </c>
      <c r="E103" s="540"/>
      <c r="F103" s="513">
        <f>'Gtos Transp 2014'!D45+'Gtos Transp 2014 (Otros)'!D45</f>
        <v>4007.5491247113819</v>
      </c>
      <c r="G103" s="513">
        <f>'Gtos Transp 2014'!E45+'Gtos Transp 2014 (Otros)'!E45</f>
        <v>4024.6347117997852</v>
      </c>
      <c r="H103" s="513">
        <f>'Gtos Transp 2014'!F45+'Gtos Transp 2014 (Otros)'!F45</f>
        <v>4000.8685531179226</v>
      </c>
      <c r="I103" s="513">
        <f>'Gtos Transp 2014'!G45+'Gtos Transp 2014 (Otros)'!G45</f>
        <v>3964.0582415651638</v>
      </c>
      <c r="J103" s="513">
        <f>'Gtos Transp 2014'!H45+'Gtos Transp 2014 (Otros)'!H45</f>
        <v>3988.5137637112048</v>
      </c>
      <c r="K103" s="513">
        <f>'Gtos Transp 2014'!I45+'Gtos Transp 2014 (Otros)'!I45</f>
        <v>3985.1866066565558</v>
      </c>
      <c r="L103" s="513">
        <f>'Gtos Transp 2014'!J45+'Gtos Transp 2014 (Otros)'!J45</f>
        <v>3934.8168669674455</v>
      </c>
      <c r="M103" s="513">
        <f>'Gtos Transp 2014'!K45+'Gtos Transp 2014 (Otros)'!K45</f>
        <v>3948.1875463242627</v>
      </c>
      <c r="N103" s="513">
        <f>'Gtos Transp 2014'!L45+'Gtos Transp 2014 (Otros)'!L45</f>
        <v>4032.3211327007321</v>
      </c>
      <c r="O103" s="513">
        <f>'Gtos Transp 2014'!M45+'Gtos Transp 2014 (Otros)'!M45</f>
        <v>3867.2981752466367</v>
      </c>
      <c r="P103" s="513">
        <f>'Gtos Transp 2014'!N45+'Gtos Transp 2014 (Otros)'!N45</f>
        <v>3938.1073221524666</v>
      </c>
      <c r="Q103" s="513">
        <f>'Gtos Transp 2014'!O45+'Gtos Transp 2014 (Otros)'!O45</f>
        <v>3938.1073221524666</v>
      </c>
      <c r="R103" s="522">
        <f t="shared" si="8"/>
        <v>47629.649367106016</v>
      </c>
    </row>
    <row r="104" spans="2:19" ht="15.75" x14ac:dyDescent="0.25">
      <c r="B104" s="520"/>
      <c r="C104" s="556" t="s">
        <v>288</v>
      </c>
      <c r="D104" s="551" t="str">
        <f>VLOOKUP(C104,'Cat. cuentas'!$A$1:$B$195,2,FALSE)</f>
        <v>ENLONADAS</v>
      </c>
      <c r="E104" s="540"/>
      <c r="F104" s="513">
        <f>'Gtos Transp 2014'!D46+'Gtos Transp 2014 (Otros)'!D46</f>
        <v>15054.905711881464</v>
      </c>
      <c r="G104" s="513">
        <f>'Gtos Transp 2014'!E46+'Gtos Transp 2014 (Otros)'!E46</f>
        <v>15119.090053643356</v>
      </c>
      <c r="H104" s="513">
        <f>'Gtos Transp 2014'!F46+'Gtos Transp 2014 (Otros)'!F46</f>
        <v>15029.809232135067</v>
      </c>
      <c r="I104" s="513">
        <f>'Gtos Transp 2014'!G46+'Gtos Transp 2014 (Otros)'!G46</f>
        <v>14891.526268556507</v>
      </c>
      <c r="J104" s="513">
        <f>'Gtos Transp 2014'!H46+'Gtos Transp 2014 (Otros)'!H46</f>
        <v>14983.396778083945</v>
      </c>
      <c r="K104" s="513">
        <f>'Gtos Transp 2014'!I46+'Gtos Transp 2014 (Otros)'!I46</f>
        <v>14970.897858123739</v>
      </c>
      <c r="L104" s="513">
        <f>'Gtos Transp 2014'!J46+'Gtos Transp 2014 (Otros)'!J46</f>
        <v>14781.677050554428</v>
      </c>
      <c r="M104" s="513">
        <f>'Gtos Transp 2014'!K46+'Gtos Transp 2014 (Otros)'!K46</f>
        <v>14831.905833972069</v>
      </c>
      <c r="N104" s="513">
        <f>'Gtos Transp 2014'!L46+'Gtos Transp 2014 (Otros)'!L46</f>
        <v>15147.965143710762</v>
      </c>
      <c r="O104" s="513">
        <f>'Gtos Transp 2014'!M46+'Gtos Transp 2014 (Otros)'!M46</f>
        <v>14528.033862158187</v>
      </c>
      <c r="P104" s="513">
        <f>'Gtos Transp 2014'!N46+'Gtos Transp 2014 (Otros)'!N46</f>
        <v>14794.038094927959</v>
      </c>
      <c r="Q104" s="513">
        <f>'Gtos Transp 2014'!O46+'Gtos Transp 2014 (Otros)'!O46</f>
        <v>14794.038094927959</v>
      </c>
      <c r="R104" s="522">
        <f>SUM(F104:Q104)</f>
        <v>178927.28398267544</v>
      </c>
    </row>
    <row r="105" spans="2:19" ht="15.75" x14ac:dyDescent="0.25">
      <c r="B105" s="520"/>
      <c r="C105" s="556"/>
      <c r="D105" s="551" t="s">
        <v>552</v>
      </c>
      <c r="E105" s="540"/>
      <c r="F105" s="513"/>
      <c r="G105" s="513"/>
      <c r="H105" s="513"/>
      <c r="I105" s="513"/>
      <c r="J105" s="513"/>
      <c r="K105" s="513"/>
      <c r="L105" s="513"/>
      <c r="M105" s="513"/>
      <c r="N105" s="513"/>
      <c r="O105" s="513"/>
      <c r="P105" s="513"/>
      <c r="Q105" s="513"/>
      <c r="R105" s="522"/>
    </row>
    <row r="106" spans="2:19" ht="15.75" x14ac:dyDescent="0.25">
      <c r="B106" s="520" t="s">
        <v>289</v>
      </c>
      <c r="C106" s="556" t="s">
        <v>291</v>
      </c>
      <c r="D106" s="551" t="str">
        <f>VLOOKUP(C106,'Cat. cuentas'!$A$1:$B$195,2,FALSE)</f>
        <v>FACILIDADES ADMINISTRATIVAS</v>
      </c>
      <c r="E106" s="541">
        <f>310/1000</f>
        <v>0.31</v>
      </c>
      <c r="F106" s="513">
        <f>'Gtos Transp 2014'!D47+'Gtos Transp 2014 (Otros)'!D47</f>
        <v>15835.980121126926</v>
      </c>
      <c r="G106" s="513">
        <f>'Gtos Transp 2014'!E47+'Gtos Transp 2014 (Otros)'!E47</f>
        <v>15956.329986721455</v>
      </c>
      <c r="H106" s="513">
        <f>'Gtos Transp 2014'!F47+'Gtos Transp 2014 (Otros)'!F47</f>
        <v>15914.628646607536</v>
      </c>
      <c r="I106" s="513">
        <f>'Gtos Transp 2014'!G47+'Gtos Transp 2014 (Otros)'!G47</f>
        <v>15820.245111111644</v>
      </c>
      <c r="J106" s="513">
        <f>'Gtos Transp 2014'!H47+'Gtos Transp 2014 (Otros)'!H47</f>
        <v>15970.20651212442</v>
      </c>
      <c r="K106" s="513">
        <f>'Gtos Transp 2014'!I47+'Gtos Transp 2014 (Otros)'!I47</f>
        <v>16009.202064412966</v>
      </c>
      <c r="L106" s="513">
        <f>'Gtos Transp 2014'!J47+'Gtos Transp 2014 (Otros)'!J47</f>
        <v>15858.51427654912</v>
      </c>
      <c r="M106" s="513">
        <f>'Gtos Transp 2014'!K47+'Gtos Transp 2014 (Otros)'!K47</f>
        <v>15964.234128823698</v>
      </c>
      <c r="N106" s="513">
        <f>'Gtos Transp 2014'!L47+'Gtos Transp 2014 (Otros)'!L47</f>
        <v>16357.359135023155</v>
      </c>
      <c r="O106" s="513">
        <f>'Gtos Transp 2014'!M47+'Gtos Transp 2014 (Otros)'!M47</f>
        <v>15738.703350671369</v>
      </c>
      <c r="P106" s="513">
        <f>'Gtos Transp 2014'!N47+'Gtos Transp 2014 (Otros)'!N47</f>
        <v>16078.574198331649</v>
      </c>
      <c r="Q106" s="513">
        <f>'Gtos Transp 2014'!O47+'Gtos Transp 2014 (Otros)'!O47</f>
        <v>16130.273793824677</v>
      </c>
      <c r="R106" s="522">
        <f t="shared" si="8"/>
        <v>191634.2513253286</v>
      </c>
    </row>
    <row r="107" spans="2:19" ht="15.75" x14ac:dyDescent="0.25">
      <c r="B107" s="520"/>
      <c r="C107" s="512"/>
      <c r="D107" s="512"/>
      <c r="E107" s="542"/>
      <c r="F107" s="513"/>
      <c r="G107" s="513"/>
      <c r="H107" s="513"/>
      <c r="I107" s="513"/>
      <c r="J107" s="513"/>
      <c r="K107" s="513"/>
      <c r="L107" s="513"/>
      <c r="M107" s="513"/>
      <c r="N107" s="513"/>
      <c r="O107" s="513"/>
      <c r="P107" s="513"/>
      <c r="Q107" s="513"/>
      <c r="R107" s="522"/>
    </row>
    <row r="108" spans="2:19" ht="15.75" x14ac:dyDescent="0.25">
      <c r="B108" s="516" t="s">
        <v>731</v>
      </c>
      <c r="C108" s="517"/>
      <c r="D108" s="517"/>
      <c r="E108" s="542" t="s">
        <v>17</v>
      </c>
      <c r="F108" s="100">
        <f t="shared" ref="F108:R108" si="9">SUM(F94:F106)</f>
        <v>3621573.321263826</v>
      </c>
      <c r="G108" s="100">
        <f t="shared" si="9"/>
        <v>3597223.1452089311</v>
      </c>
      <c r="H108" s="100">
        <f t="shared" si="9"/>
        <v>3750456.9529412528</v>
      </c>
      <c r="I108" s="100">
        <f t="shared" si="9"/>
        <v>3927733.4487781646</v>
      </c>
      <c r="J108" s="100">
        <f t="shared" si="9"/>
        <v>3884943.0225512222</v>
      </c>
      <c r="K108" s="100">
        <f t="shared" si="9"/>
        <v>3907059.3056588066</v>
      </c>
      <c r="L108" s="100">
        <f t="shared" si="9"/>
        <v>4151295.106126532</v>
      </c>
      <c r="M108" s="100">
        <f t="shared" si="9"/>
        <v>4095991.675499157</v>
      </c>
      <c r="N108" s="100">
        <f t="shared" si="9"/>
        <v>3763171.9709883644</v>
      </c>
      <c r="O108" s="100">
        <f t="shared" si="9"/>
        <v>4592906.2045880342</v>
      </c>
      <c r="P108" s="100">
        <f t="shared" si="9"/>
        <v>4210862.5743015129</v>
      </c>
      <c r="Q108" s="100">
        <f t="shared" si="9"/>
        <v>4233136.8406213438</v>
      </c>
      <c r="R108" s="101">
        <f t="shared" si="9"/>
        <v>47736353.568527162</v>
      </c>
      <c r="S108" s="563">
        <f>R108-Edo.Res.detalle!B29</f>
        <v>0</v>
      </c>
    </row>
    <row r="109" spans="2:19" ht="15.75" x14ac:dyDescent="0.25">
      <c r="B109" s="520"/>
      <c r="C109" s="512"/>
      <c r="D109" s="512"/>
      <c r="E109" s="512"/>
      <c r="F109" s="512"/>
      <c r="G109" s="512"/>
      <c r="H109" s="512"/>
      <c r="I109" s="512"/>
      <c r="J109" s="512"/>
      <c r="K109" s="512"/>
      <c r="L109" s="512"/>
      <c r="M109" s="512"/>
      <c r="N109" s="512"/>
      <c r="O109" s="512"/>
      <c r="P109" s="512"/>
      <c r="Q109" s="512"/>
      <c r="R109" s="537"/>
    </row>
    <row r="110" spans="2:19" ht="15.75" x14ac:dyDescent="0.25">
      <c r="B110" s="516" t="s">
        <v>732</v>
      </c>
      <c r="C110" s="517"/>
      <c r="D110" s="517"/>
      <c r="E110" s="517"/>
      <c r="F110" s="513"/>
      <c r="G110" s="521"/>
      <c r="H110" s="521"/>
      <c r="I110" s="521"/>
      <c r="J110" s="521"/>
      <c r="K110" s="521"/>
      <c r="L110" s="521"/>
      <c r="M110" s="521"/>
      <c r="N110" s="521"/>
      <c r="O110" s="521"/>
      <c r="P110" s="521"/>
      <c r="Q110" s="521"/>
      <c r="R110" s="531"/>
    </row>
    <row r="111" spans="2:19" ht="15.75" x14ac:dyDescent="0.25">
      <c r="B111" s="516"/>
      <c r="C111" s="517"/>
      <c r="D111" s="517"/>
      <c r="E111" s="517"/>
      <c r="F111" s="512"/>
      <c r="G111" s="512"/>
      <c r="H111" s="512"/>
      <c r="I111" s="512"/>
      <c r="J111" s="512"/>
      <c r="K111" s="512"/>
      <c r="L111" s="512"/>
      <c r="M111" s="512"/>
      <c r="N111" s="512"/>
      <c r="O111" s="512"/>
      <c r="P111" s="512"/>
      <c r="Q111" s="512"/>
      <c r="R111" s="537">
        <f>+SUM(F111:Q111)</f>
        <v>0</v>
      </c>
    </row>
    <row r="112" spans="2:19" ht="25.5" x14ac:dyDescent="0.25">
      <c r="B112" s="520" t="s">
        <v>226</v>
      </c>
      <c r="C112" s="512"/>
      <c r="D112" s="559" t="s">
        <v>736</v>
      </c>
      <c r="E112" s="512"/>
      <c r="F112" s="513">
        <f>'Gtos Transp 2014'!D14+'Gtos Transp 2014 (Otros)'!D14</f>
        <v>201821.12525371381</v>
      </c>
      <c r="G112" s="513">
        <f>'Gtos Transp 2014'!E14+'Gtos Transp 2014 (Otros)'!E14</f>
        <v>201821.12525371381</v>
      </c>
      <c r="H112" s="513">
        <f>'Gtos Transp 2014'!F14+'Gtos Transp 2014 (Otros)'!F14</f>
        <v>201821.12525371381</v>
      </c>
      <c r="I112" s="513">
        <f>'Gtos Transp 2014'!G14+'Gtos Transp 2014 (Otros)'!G14</f>
        <v>201821.12525371381</v>
      </c>
      <c r="J112" s="513">
        <f>'Gtos Transp 2014'!H14+'Gtos Transp 2014 (Otros)'!H14</f>
        <v>201821.12525371381</v>
      </c>
      <c r="K112" s="513">
        <f>'Gtos Transp 2014'!I14+'Gtos Transp 2014 (Otros)'!I14</f>
        <v>201821.12525371381</v>
      </c>
      <c r="L112" s="513">
        <f>'Gtos Transp 2014'!J14+'Gtos Transp 2014 (Otros)'!J14</f>
        <v>201821.12525371381</v>
      </c>
      <c r="M112" s="513">
        <f>'Gtos Transp 2014'!K14+'Gtos Transp 2014 (Otros)'!K14</f>
        <v>201821.12525371381</v>
      </c>
      <c r="N112" s="513">
        <f>'Gtos Transp 2014'!L14+'Gtos Transp 2014 (Otros)'!L14</f>
        <v>201821.12525371381</v>
      </c>
      <c r="O112" s="513">
        <f>'Gtos Transp 2014'!M14+'Gtos Transp 2014 (Otros)'!M14</f>
        <v>201821.12525371381</v>
      </c>
      <c r="P112" s="513">
        <f>'Gtos Transp 2014'!N14+'Gtos Transp 2014 (Otros)'!N14</f>
        <v>201821.12525371381</v>
      </c>
      <c r="Q112" s="513">
        <f>'Gtos Transp 2014'!O14+'Gtos Transp 2014 (Otros)'!O14</f>
        <v>201821.12525371381</v>
      </c>
      <c r="R112" s="522">
        <f>SUM(F112:Q112)</f>
        <v>2421853.5030445652</v>
      </c>
    </row>
    <row r="113" spans="2:18" ht="15.75" x14ac:dyDescent="0.25">
      <c r="B113" s="520" t="s">
        <v>227</v>
      </c>
      <c r="C113" s="512" t="s">
        <v>228</v>
      </c>
      <c r="D113" s="551" t="str">
        <f>VLOOKUP(C113,'Cat. cuentas'!$A$1:$B$195,2,FALSE)</f>
        <v>PERMISOS Y PLACAS</v>
      </c>
      <c r="E113" s="538"/>
      <c r="F113" s="513">
        <f>'Gtos Transp 2014'!D15+'Gtos Transp 2014 (Otros)'!D15</f>
        <v>0</v>
      </c>
      <c r="G113" s="513">
        <f>'Gtos Transp 2014'!E15+'Gtos Transp 2014 (Otros)'!E15</f>
        <v>0</v>
      </c>
      <c r="H113" s="513">
        <f>'Gtos Transp 2014'!F15+'Gtos Transp 2014 (Otros)'!F15</f>
        <v>0</v>
      </c>
      <c r="I113" s="513">
        <f>'Gtos Transp 2014'!G15+'Gtos Transp 2014 (Otros)'!G15</f>
        <v>0</v>
      </c>
      <c r="J113" s="513">
        <f>'Gtos Transp 2014'!H15+'Gtos Transp 2014 (Otros)'!H15</f>
        <v>0</v>
      </c>
      <c r="K113" s="513">
        <f>'Gtos Transp 2014'!I15+'Gtos Transp 2014 (Otros)'!I15</f>
        <v>0</v>
      </c>
      <c r="L113" s="513">
        <f>'Gtos Transp 2014'!J15+'Gtos Transp 2014 (Otros)'!J15</f>
        <v>0</v>
      </c>
      <c r="M113" s="513">
        <f>'Gtos Transp 2014'!K15+'Gtos Transp 2014 (Otros)'!K15</f>
        <v>0</v>
      </c>
      <c r="N113" s="513">
        <f>'Gtos Transp 2014'!L15+'Gtos Transp 2014 (Otros)'!L15</f>
        <v>0</v>
      </c>
      <c r="O113" s="513">
        <f>'Gtos Transp 2014'!M15+'Gtos Transp 2014 (Otros)'!M15</f>
        <v>0</v>
      </c>
      <c r="P113" s="513">
        <f>'Gtos Transp 2014'!N15+'Gtos Transp 2014 (Otros)'!N15</f>
        <v>0</v>
      </c>
      <c r="Q113" s="513">
        <f>'Gtos Transp 2014'!O15+'Gtos Transp 2014 (Otros)'!O15</f>
        <v>0</v>
      </c>
      <c r="R113" s="522">
        <f>SUM(F113:Q113)</f>
        <v>0</v>
      </c>
    </row>
    <row r="114" spans="2:18" ht="15.75" x14ac:dyDescent="0.25">
      <c r="B114" s="520" t="s">
        <v>229</v>
      </c>
      <c r="C114" s="512" t="s">
        <v>230</v>
      </c>
      <c r="D114" s="551" t="str">
        <f>VLOOKUP(C114,'Cat. cuentas'!$A$1:$B$195,2,FALSE)</f>
        <v>CUOTAS SINDICALES</v>
      </c>
      <c r="E114" s="512"/>
      <c r="F114" s="513">
        <f>'Gtos Transp 2014'!D16+'Gtos Transp 2014 (Otros)'!D16</f>
        <v>0</v>
      </c>
      <c r="G114" s="513">
        <f>'Gtos Transp 2014'!E16+'Gtos Transp 2014 (Otros)'!E16</f>
        <v>126485</v>
      </c>
      <c r="H114" s="513">
        <f>'Gtos Transp 2014'!F16+'Gtos Transp 2014 (Otros)'!F16</f>
        <v>0</v>
      </c>
      <c r="I114" s="513">
        <f>'Gtos Transp 2014'!G16+'Gtos Transp 2014 (Otros)'!G16</f>
        <v>0</v>
      </c>
      <c r="J114" s="513">
        <f>'Gtos Transp 2014'!H16+'Gtos Transp 2014 (Otros)'!H16</f>
        <v>0</v>
      </c>
      <c r="K114" s="513">
        <f>'Gtos Transp 2014'!I16+'Gtos Transp 2014 (Otros)'!I16</f>
        <v>0</v>
      </c>
      <c r="L114" s="513">
        <f>'Gtos Transp 2014'!J16+'Gtos Transp 2014 (Otros)'!J16</f>
        <v>0</v>
      </c>
      <c r="M114" s="513">
        <f>'Gtos Transp 2014'!K16+'Gtos Transp 2014 (Otros)'!K16</f>
        <v>0</v>
      </c>
      <c r="N114" s="513">
        <f>'Gtos Transp 2014'!L16+'Gtos Transp 2014 (Otros)'!L16</f>
        <v>0</v>
      </c>
      <c r="O114" s="513">
        <f>'Gtos Transp 2014'!M16+'Gtos Transp 2014 (Otros)'!M16</f>
        <v>0</v>
      </c>
      <c r="P114" s="513">
        <f>'Gtos Transp 2014'!N16+'Gtos Transp 2014 (Otros)'!N16</f>
        <v>0</v>
      </c>
      <c r="Q114" s="513">
        <f>'Gtos Transp 2014'!O16+'Gtos Transp 2014 (Otros)'!O16</f>
        <v>0</v>
      </c>
      <c r="R114" s="522">
        <f t="shared" ref="R114:R136" si="10">SUM(F114:Q114)</f>
        <v>126485</v>
      </c>
    </row>
    <row r="115" spans="2:18" ht="15.75" x14ac:dyDescent="0.25">
      <c r="B115" s="520" t="s">
        <v>231</v>
      </c>
      <c r="C115" s="512" t="s">
        <v>232</v>
      </c>
      <c r="D115" s="551" t="str">
        <f>VLOOKUP(C115,'Cat. cuentas'!$A$1:$B$195,2,FALSE)</f>
        <v>SEGURO UNIDADES (FLOTILLA)</v>
      </c>
      <c r="E115" s="512"/>
      <c r="F115" s="513">
        <f>'Gtos Transp 2014'!D17+'Gtos Transp 2014 (Otros)'!D17</f>
        <v>127849.75000000001</v>
      </c>
      <c r="G115" s="513">
        <f>'Gtos Transp 2014'!E17+'Gtos Transp 2014 (Otros)'!E17</f>
        <v>128274.49999999999</v>
      </c>
      <c r="H115" s="513">
        <f>'Gtos Transp 2014'!F17+'Gtos Transp 2014 (Otros)'!F17</f>
        <v>128699.25</v>
      </c>
      <c r="I115" s="513">
        <f>'Gtos Transp 2014'!G17+'Gtos Transp 2014 (Otros)'!G17</f>
        <v>129124.00000000001</v>
      </c>
      <c r="J115" s="513">
        <f>'Gtos Transp 2014'!H17+'Gtos Transp 2014 (Otros)'!H17</f>
        <v>129548.74999999999</v>
      </c>
      <c r="K115" s="513">
        <f>'Gtos Transp 2014'!I17+'Gtos Transp 2014 (Otros)'!I17</f>
        <v>129973.5</v>
      </c>
      <c r="L115" s="513">
        <f>'Gtos Transp 2014'!J17+'Gtos Transp 2014 (Otros)'!J17</f>
        <v>130398.25000000001</v>
      </c>
      <c r="M115" s="513">
        <f>'Gtos Transp 2014'!K17+'Gtos Transp 2014 (Otros)'!K17</f>
        <v>130823</v>
      </c>
      <c r="N115" s="513">
        <f>'Gtos Transp 2014'!L17+'Gtos Transp 2014 (Otros)'!L17</f>
        <v>131247.75</v>
      </c>
      <c r="O115" s="513">
        <f>'Gtos Transp 2014'!M17+'Gtos Transp 2014 (Otros)'!M17</f>
        <v>131672.5</v>
      </c>
      <c r="P115" s="513">
        <f>'Gtos Transp 2014'!N17+'Gtos Transp 2014 (Otros)'!N17</f>
        <v>132097.25</v>
      </c>
      <c r="Q115" s="513">
        <f>'Gtos Transp 2014'!O17+'Gtos Transp 2014 (Otros)'!O17</f>
        <v>132522</v>
      </c>
      <c r="R115" s="522">
        <f t="shared" si="10"/>
        <v>1562230.5</v>
      </c>
    </row>
    <row r="116" spans="2:18" ht="15.75" x14ac:dyDescent="0.25">
      <c r="B116" s="520"/>
      <c r="C116" s="512"/>
      <c r="D116" s="551"/>
      <c r="E116" s="512"/>
      <c r="F116" s="513"/>
      <c r="G116" s="513"/>
      <c r="H116" s="513"/>
      <c r="I116" s="513"/>
      <c r="J116" s="513"/>
      <c r="K116" s="513"/>
      <c r="L116" s="513"/>
      <c r="M116" s="513"/>
      <c r="N116" s="513"/>
      <c r="O116" s="513"/>
      <c r="P116" s="513"/>
      <c r="Q116" s="513"/>
      <c r="R116" s="522"/>
    </row>
    <row r="117" spans="2:18" ht="15.75" x14ac:dyDescent="0.25">
      <c r="B117" s="520"/>
      <c r="C117" s="512"/>
      <c r="D117" s="551"/>
      <c r="E117" s="512"/>
      <c r="F117" s="513"/>
      <c r="G117" s="513"/>
      <c r="H117" s="513"/>
      <c r="I117" s="513"/>
      <c r="J117" s="513"/>
      <c r="K117" s="513"/>
      <c r="L117" s="513"/>
      <c r="M117" s="513"/>
      <c r="N117" s="513"/>
      <c r="O117" s="513"/>
      <c r="P117" s="513"/>
      <c r="Q117" s="513"/>
      <c r="R117" s="522"/>
    </row>
    <row r="118" spans="2:18" ht="15.75" x14ac:dyDescent="0.25">
      <c r="B118" s="520" t="s">
        <v>235</v>
      </c>
      <c r="C118" s="512" t="s">
        <v>236</v>
      </c>
      <c r="D118" s="551" t="str">
        <f>VLOOKUP(C118,'Cat. cuentas'!$A$1:$B$195,2,FALSE)</f>
        <v>ZAPATOS, UNIFORMES Y EQUIPO</v>
      </c>
      <c r="E118" s="512"/>
      <c r="F118" s="513">
        <f>'Gtos Transp 2014'!D18+'Gtos Transp 2014 (Otros)'!D18</f>
        <v>0</v>
      </c>
      <c r="G118" s="513">
        <f>'Gtos Transp 2014'!E18+'Gtos Transp 2014 (Otros)'!E18</f>
        <v>57400</v>
      </c>
      <c r="H118" s="513">
        <f>'Gtos Transp 2014'!F18+'Gtos Transp 2014 (Otros)'!F18</f>
        <v>57400</v>
      </c>
      <c r="I118" s="513">
        <f>'Gtos Transp 2014'!G18+'Gtos Transp 2014 (Otros)'!G18</f>
        <v>0</v>
      </c>
      <c r="J118" s="513">
        <f>'Gtos Transp 2014'!H18+'Gtos Transp 2014 (Otros)'!H18</f>
        <v>0</v>
      </c>
      <c r="K118" s="513">
        <f>'Gtos Transp 2014'!I18+'Gtos Transp 2014 (Otros)'!I18</f>
        <v>0</v>
      </c>
      <c r="L118" s="513">
        <f>'Gtos Transp 2014'!J18+'Gtos Transp 2014 (Otros)'!J18</f>
        <v>0</v>
      </c>
      <c r="M118" s="513">
        <f>'Gtos Transp 2014'!K18+'Gtos Transp 2014 (Otros)'!K18</f>
        <v>0</v>
      </c>
      <c r="N118" s="513">
        <f>'Gtos Transp 2014'!L18+'Gtos Transp 2014 (Otros)'!L18</f>
        <v>0</v>
      </c>
      <c r="O118" s="513">
        <f>'Gtos Transp 2014'!M18+'Gtos Transp 2014 (Otros)'!M18</f>
        <v>0</v>
      </c>
      <c r="P118" s="513">
        <f>'Gtos Transp 2014'!N18+'Gtos Transp 2014 (Otros)'!N18</f>
        <v>0</v>
      </c>
      <c r="Q118" s="513">
        <f>'Gtos Transp 2014'!O18+'Gtos Transp 2014 (Otros)'!O18</f>
        <v>0</v>
      </c>
      <c r="R118" s="522">
        <f t="shared" si="10"/>
        <v>114800</v>
      </c>
    </row>
    <row r="119" spans="2:18" ht="15.75" x14ac:dyDescent="0.25">
      <c r="B119" s="520" t="s">
        <v>237</v>
      </c>
      <c r="C119" s="512" t="s">
        <v>238</v>
      </c>
      <c r="D119" s="551" t="str">
        <f>VLOOKUP(C119,'Cat. cuentas'!$A$1:$B$195,2,FALSE)</f>
        <v>SEGURO DE VIDA</v>
      </c>
      <c r="E119" s="512"/>
      <c r="F119" s="513">
        <f>'Gtos Transp 2014'!D19+'Gtos Transp 2014 (Otros)'!D19</f>
        <v>1938.44</v>
      </c>
      <c r="G119" s="513">
        <f>'Gtos Transp 2014'!E19+'Gtos Transp 2014 (Otros)'!E19</f>
        <v>1944.8799999999999</v>
      </c>
      <c r="H119" s="513">
        <f>'Gtos Transp 2014'!F19+'Gtos Transp 2014 (Otros)'!F19</f>
        <v>1951.32</v>
      </c>
      <c r="I119" s="513">
        <f>'Gtos Transp 2014'!G19+'Gtos Transp 2014 (Otros)'!G19</f>
        <v>1957.7600000000002</v>
      </c>
      <c r="J119" s="513">
        <f>'Gtos Transp 2014'!H19+'Gtos Transp 2014 (Otros)'!H19</f>
        <v>1964.1999999999998</v>
      </c>
      <c r="K119" s="513">
        <f>'Gtos Transp 2014'!I19+'Gtos Transp 2014 (Otros)'!I19</f>
        <v>1970.64</v>
      </c>
      <c r="L119" s="513">
        <f>'Gtos Transp 2014'!J19+'Gtos Transp 2014 (Otros)'!J19</f>
        <v>1977.0800000000002</v>
      </c>
      <c r="M119" s="513">
        <f>'Gtos Transp 2014'!K19+'Gtos Transp 2014 (Otros)'!K19</f>
        <v>1983.52</v>
      </c>
      <c r="N119" s="513">
        <f>'Gtos Transp 2014'!L19+'Gtos Transp 2014 (Otros)'!L19</f>
        <v>1989.96</v>
      </c>
      <c r="O119" s="513">
        <f>'Gtos Transp 2014'!M19+'Gtos Transp 2014 (Otros)'!M19</f>
        <v>1996.4</v>
      </c>
      <c r="P119" s="513">
        <f>'Gtos Transp 2014'!N19+'Gtos Transp 2014 (Otros)'!N19</f>
        <v>2002.84</v>
      </c>
      <c r="Q119" s="513">
        <f>'Gtos Transp 2014'!O19+'Gtos Transp 2014 (Otros)'!O19</f>
        <v>2009.28</v>
      </c>
      <c r="R119" s="522">
        <f t="shared" si="10"/>
        <v>23686.32</v>
      </c>
    </row>
    <row r="120" spans="2:18" ht="15.75" x14ac:dyDescent="0.25">
      <c r="B120" s="520" t="s">
        <v>239</v>
      </c>
      <c r="C120" s="512" t="s">
        <v>240</v>
      </c>
      <c r="D120" s="551" t="str">
        <f>VLOOKUP(C120,'Cat. cuentas'!$A$1:$B$195,2,FALSE)</f>
        <v>GASTOS DE CAPACITACION</v>
      </c>
      <c r="E120" s="512"/>
      <c r="F120" s="513">
        <f>'Gtos Transp 2014'!D20+'Gtos Transp 2014 (Otros)'!D20</f>
        <v>0</v>
      </c>
      <c r="G120" s="513">
        <f>'Gtos Transp 2014'!E20+'Gtos Transp 2014 (Otros)'!E20</f>
        <v>0</v>
      </c>
      <c r="H120" s="513">
        <f>'Gtos Transp 2014'!F20+'Gtos Transp 2014 (Otros)'!F20</f>
        <v>17169</v>
      </c>
      <c r="I120" s="513">
        <f>'Gtos Transp 2014'!G20+'Gtos Transp 2014 (Otros)'!G20</f>
        <v>17169</v>
      </c>
      <c r="J120" s="513">
        <f>'Gtos Transp 2014'!H20+'Gtos Transp 2014 (Otros)'!H20</f>
        <v>17169</v>
      </c>
      <c r="K120" s="513">
        <f>'Gtos Transp 2014'!I20+'Gtos Transp 2014 (Otros)'!I20</f>
        <v>17169</v>
      </c>
      <c r="L120" s="513">
        <f>'Gtos Transp 2014'!J20+'Gtos Transp 2014 (Otros)'!J20</f>
        <v>17169</v>
      </c>
      <c r="M120" s="513">
        <f>'Gtos Transp 2014'!K20+'Gtos Transp 2014 (Otros)'!K20</f>
        <v>17169</v>
      </c>
      <c r="N120" s="513">
        <f>'Gtos Transp 2014'!L20+'Gtos Transp 2014 (Otros)'!L20</f>
        <v>17169</v>
      </c>
      <c r="O120" s="513">
        <f>'Gtos Transp 2014'!M20+'Gtos Transp 2014 (Otros)'!M20</f>
        <v>17169</v>
      </c>
      <c r="P120" s="513">
        <f>'Gtos Transp 2014'!N20+'Gtos Transp 2014 (Otros)'!N20</f>
        <v>0</v>
      </c>
      <c r="Q120" s="513">
        <f>'Gtos Transp 2014'!O20+'Gtos Transp 2014 (Otros)'!O20</f>
        <v>0</v>
      </c>
      <c r="R120" s="522">
        <f t="shared" si="10"/>
        <v>137352</v>
      </c>
    </row>
    <row r="121" spans="2:18" ht="15.75" x14ac:dyDescent="0.25">
      <c r="B121" s="520" t="s">
        <v>241</v>
      </c>
      <c r="C121" s="512" t="s">
        <v>242</v>
      </c>
      <c r="D121" s="551" t="str">
        <f>VLOOKUP(C121,'Cat. cuentas'!$A$1:$B$195,2,FALSE)</f>
        <v>GTOS DE VIAJE(HOSP.TRANS.VIAT)</v>
      </c>
      <c r="E121" s="512"/>
      <c r="F121" s="513">
        <f>'Gtos Transp 2014'!D21+'Gtos Transp 2014 (Otros)'!D21</f>
        <v>6020.0000000000009</v>
      </c>
      <c r="G121" s="513">
        <f>'Gtos Transp 2014'!E21+'Gtos Transp 2014 (Otros)'!E21</f>
        <v>6040</v>
      </c>
      <c r="H121" s="513">
        <f>'Gtos Transp 2014'!F21+'Gtos Transp 2014 (Otros)'!F21</f>
        <v>6060</v>
      </c>
      <c r="I121" s="513">
        <f>'Gtos Transp 2014'!G21+'Gtos Transp 2014 (Otros)'!G21</f>
        <v>9004</v>
      </c>
      <c r="J121" s="513">
        <f>'Gtos Transp 2014'!H21+'Gtos Transp 2014 (Otros)'!H21</f>
        <v>6100</v>
      </c>
      <c r="K121" s="513">
        <f>'Gtos Transp 2014'!I21+'Gtos Transp 2014 (Otros)'!I21</f>
        <v>6120</v>
      </c>
      <c r="L121" s="513">
        <f>'Gtos Transp 2014'!J21+'Gtos Transp 2014 (Otros)'!J21</f>
        <v>6140.0000000000009</v>
      </c>
      <c r="M121" s="513">
        <f>'Gtos Transp 2014'!K21+'Gtos Transp 2014 (Otros)'!K21</f>
        <v>9108</v>
      </c>
      <c r="N121" s="513">
        <f>'Gtos Transp 2014'!L21+'Gtos Transp 2014 (Otros)'!L21</f>
        <v>6180</v>
      </c>
      <c r="O121" s="513">
        <f>'Gtos Transp 2014'!M21+'Gtos Transp 2014 (Otros)'!M21</f>
        <v>6200.0000000000009</v>
      </c>
      <c r="P121" s="513">
        <f>'Gtos Transp 2014'!N21+'Gtos Transp 2014 (Otros)'!N21</f>
        <v>6220</v>
      </c>
      <c r="Q121" s="513">
        <f>'Gtos Transp 2014'!O21+'Gtos Transp 2014 (Otros)'!O21</f>
        <v>6240</v>
      </c>
      <c r="R121" s="522">
        <f t="shared" si="10"/>
        <v>79432</v>
      </c>
    </row>
    <row r="122" spans="2:18" ht="15.75" x14ac:dyDescent="0.25">
      <c r="B122" s="520" t="s">
        <v>243</v>
      </c>
      <c r="C122" s="512" t="s">
        <v>244</v>
      </c>
      <c r="D122" s="551" t="str">
        <f>VLOOKUP(C122,'Cat. cuentas'!$A$1:$B$195,2,FALSE)</f>
        <v>BECAS Y FOMENTO DEPORTIVO</v>
      </c>
      <c r="E122" s="512"/>
      <c r="F122" s="513">
        <f>'Gtos Transp 2014'!D22+'Gtos Transp 2014 (Otros)'!D22</f>
        <v>0</v>
      </c>
      <c r="G122" s="513">
        <f>'Gtos Transp 2014'!E22+'Gtos Transp 2014 (Otros)'!E22</f>
        <v>0</v>
      </c>
      <c r="H122" s="513">
        <f>'Gtos Transp 2014'!F22+'Gtos Transp 2014 (Otros)'!F22</f>
        <v>0</v>
      </c>
      <c r="I122" s="513">
        <f>'Gtos Transp 2014'!G22+'Gtos Transp 2014 (Otros)'!G22</f>
        <v>0</v>
      </c>
      <c r="J122" s="513">
        <f>'Gtos Transp 2014'!H22+'Gtos Transp 2014 (Otros)'!H22</f>
        <v>0</v>
      </c>
      <c r="K122" s="513">
        <f>'Gtos Transp 2014'!I22+'Gtos Transp 2014 (Otros)'!I22</f>
        <v>0</v>
      </c>
      <c r="L122" s="513">
        <f>'Gtos Transp 2014'!J22+'Gtos Transp 2014 (Otros)'!J22</f>
        <v>0</v>
      </c>
      <c r="M122" s="513">
        <f>'Gtos Transp 2014'!K22+'Gtos Transp 2014 (Otros)'!K22</f>
        <v>27000</v>
      </c>
      <c r="N122" s="513">
        <f>'Gtos Transp 2014'!L22+'Gtos Transp 2014 (Otros)'!L22</f>
        <v>0</v>
      </c>
      <c r="O122" s="513">
        <f>'Gtos Transp 2014'!M22+'Gtos Transp 2014 (Otros)'!M22</f>
        <v>0</v>
      </c>
      <c r="P122" s="513">
        <f>'Gtos Transp 2014'!N22+'Gtos Transp 2014 (Otros)'!N22</f>
        <v>0</v>
      </c>
      <c r="Q122" s="513">
        <f>'Gtos Transp 2014'!O22+'Gtos Transp 2014 (Otros)'!O22</f>
        <v>0</v>
      </c>
      <c r="R122" s="522">
        <f t="shared" si="10"/>
        <v>27000</v>
      </c>
    </row>
    <row r="123" spans="2:18" ht="15.75" x14ac:dyDescent="0.25">
      <c r="B123" s="520" t="s">
        <v>245</v>
      </c>
      <c r="C123" s="512" t="s">
        <v>246</v>
      </c>
      <c r="D123" s="551" t="str">
        <f>VLOOKUP(C123,'Cat. cuentas'!$A$1:$B$195,2,FALSE)</f>
        <v>MTTO PREV.VEHÍCULO UTILITARIO</v>
      </c>
      <c r="E123" s="512"/>
      <c r="F123" s="513">
        <f>'Gtos Transp 2014'!D23+'Gtos Transp 2014 (Otros)'!D23</f>
        <v>0</v>
      </c>
      <c r="G123" s="513">
        <f>'Gtos Transp 2014'!E23+'Gtos Transp 2014 (Otros)'!E23</f>
        <v>0</v>
      </c>
      <c r="H123" s="513">
        <f>'Gtos Transp 2014'!F23+'Gtos Transp 2014 (Otros)'!F23</f>
        <v>0</v>
      </c>
      <c r="I123" s="513">
        <f>'Gtos Transp 2014'!G23+'Gtos Transp 2014 (Otros)'!G23</f>
        <v>0</v>
      </c>
      <c r="J123" s="513">
        <f>'Gtos Transp 2014'!H23+'Gtos Transp 2014 (Otros)'!H23</f>
        <v>0</v>
      </c>
      <c r="K123" s="513">
        <f>'Gtos Transp 2014'!I23+'Gtos Transp 2014 (Otros)'!I23</f>
        <v>0</v>
      </c>
      <c r="L123" s="513">
        <f>'Gtos Transp 2014'!J23+'Gtos Transp 2014 (Otros)'!J23</f>
        <v>0</v>
      </c>
      <c r="M123" s="513">
        <f>'Gtos Transp 2014'!K23+'Gtos Transp 2014 (Otros)'!K23</f>
        <v>0</v>
      </c>
      <c r="N123" s="513">
        <f>'Gtos Transp 2014'!L23+'Gtos Transp 2014 (Otros)'!L23</f>
        <v>1500</v>
      </c>
      <c r="O123" s="513">
        <f>'Gtos Transp 2014'!M23+'Gtos Transp 2014 (Otros)'!M23</f>
        <v>0</v>
      </c>
      <c r="P123" s="513">
        <f>'Gtos Transp 2014'!N23+'Gtos Transp 2014 (Otros)'!N23</f>
        <v>0</v>
      </c>
      <c r="Q123" s="513">
        <f>'Gtos Transp 2014'!O23+'Gtos Transp 2014 (Otros)'!O23</f>
        <v>0</v>
      </c>
      <c r="R123" s="522">
        <f t="shared" si="10"/>
        <v>1500</v>
      </c>
    </row>
    <row r="124" spans="2:18" ht="15.75" x14ac:dyDescent="0.25">
      <c r="B124" s="520" t="s">
        <v>99</v>
      </c>
      <c r="C124" s="512" t="s">
        <v>247</v>
      </c>
      <c r="D124" s="551" t="str">
        <f>VLOOKUP(C124,'Cat. cuentas'!$A$1:$B$195,2,FALSE)</f>
        <v>PROGRAMAS Y GASTOS  SEGURIDAD</v>
      </c>
      <c r="E124" s="512"/>
      <c r="F124" s="513">
        <f>'Gtos Transp 2014'!D24+'Gtos Transp 2014 (Otros)'!D24</f>
        <v>0</v>
      </c>
      <c r="G124" s="513">
        <f>'Gtos Transp 2014'!E24+'Gtos Transp 2014 (Otros)'!E24</f>
        <v>0</v>
      </c>
      <c r="H124" s="513">
        <f>'Gtos Transp 2014'!F24+'Gtos Transp 2014 (Otros)'!F24</f>
        <v>0</v>
      </c>
      <c r="I124" s="513">
        <f>'Gtos Transp 2014'!G24+'Gtos Transp 2014 (Otros)'!G24</f>
        <v>0</v>
      </c>
      <c r="J124" s="513">
        <f>'Gtos Transp 2014'!H24+'Gtos Transp 2014 (Otros)'!H24</f>
        <v>0</v>
      </c>
      <c r="K124" s="513">
        <f>'Gtos Transp 2014'!I24+'Gtos Transp 2014 (Otros)'!I24</f>
        <v>0</v>
      </c>
      <c r="L124" s="513">
        <f>'Gtos Transp 2014'!J24+'Gtos Transp 2014 (Otros)'!J24</f>
        <v>0</v>
      </c>
      <c r="M124" s="513">
        <f>'Gtos Transp 2014'!K24+'Gtos Transp 2014 (Otros)'!K24</f>
        <v>0</v>
      </c>
      <c r="N124" s="513">
        <f>'Gtos Transp 2014'!L24+'Gtos Transp 2014 (Otros)'!L24</f>
        <v>0</v>
      </c>
      <c r="O124" s="513">
        <f>'Gtos Transp 2014'!M24+'Gtos Transp 2014 (Otros)'!M24</f>
        <v>0</v>
      </c>
      <c r="P124" s="513">
        <f>'Gtos Transp 2014'!N24+'Gtos Transp 2014 (Otros)'!N24</f>
        <v>0</v>
      </c>
      <c r="Q124" s="513">
        <f>'Gtos Transp 2014'!O24+'Gtos Transp 2014 (Otros)'!O24</f>
        <v>0</v>
      </c>
      <c r="R124" s="522">
        <f t="shared" si="10"/>
        <v>0</v>
      </c>
    </row>
    <row r="125" spans="2:18" ht="15.75" x14ac:dyDescent="0.25">
      <c r="B125" s="520" t="s">
        <v>248</v>
      </c>
      <c r="C125" s="512" t="s">
        <v>249</v>
      </c>
      <c r="D125" s="551" t="str">
        <f>VLOOKUP(C125,'Cat. cuentas'!$A$1:$B$195,2,FALSE)</f>
        <v>PAPELERÍA Y ARTICULOS DE ESC.</v>
      </c>
      <c r="E125" s="512"/>
      <c r="F125" s="513">
        <f>'Gtos Transp 2014'!D25+'Gtos Transp 2014 (Otros)'!D25</f>
        <v>602</v>
      </c>
      <c r="G125" s="513">
        <f>'Gtos Transp 2014'!E25+'Gtos Transp 2014 (Otros)'!E25</f>
        <v>604</v>
      </c>
      <c r="H125" s="513">
        <f>'Gtos Transp 2014'!F25+'Gtos Transp 2014 (Otros)'!F25</f>
        <v>606</v>
      </c>
      <c r="I125" s="513">
        <f>'Gtos Transp 2014'!G25+'Gtos Transp 2014 (Otros)'!G25</f>
        <v>608</v>
      </c>
      <c r="J125" s="513">
        <f>'Gtos Transp 2014'!H25+'Gtos Transp 2014 (Otros)'!H25</f>
        <v>610</v>
      </c>
      <c r="K125" s="513">
        <f>'Gtos Transp 2014'!I25+'Gtos Transp 2014 (Otros)'!I25</f>
        <v>612</v>
      </c>
      <c r="L125" s="513">
        <f>'Gtos Transp 2014'!J25+'Gtos Transp 2014 (Otros)'!J25</f>
        <v>614</v>
      </c>
      <c r="M125" s="513">
        <f>'Gtos Transp 2014'!K25+'Gtos Transp 2014 (Otros)'!K25</f>
        <v>616</v>
      </c>
      <c r="N125" s="513">
        <f>'Gtos Transp 2014'!L25+'Gtos Transp 2014 (Otros)'!L25</f>
        <v>618</v>
      </c>
      <c r="O125" s="513">
        <f>'Gtos Transp 2014'!M25+'Gtos Transp 2014 (Otros)'!M25</f>
        <v>620.00000000000011</v>
      </c>
      <c r="P125" s="513">
        <f>'Gtos Transp 2014'!N25+'Gtos Transp 2014 (Otros)'!N25</f>
        <v>622</v>
      </c>
      <c r="Q125" s="513">
        <f>'Gtos Transp 2014'!O25+'Gtos Transp 2014 (Otros)'!O25</f>
        <v>624</v>
      </c>
      <c r="R125" s="522">
        <f t="shared" si="10"/>
        <v>7356</v>
      </c>
    </row>
    <row r="126" spans="2:18" ht="15.75" x14ac:dyDescent="0.25">
      <c r="B126" s="520" t="s">
        <v>250</v>
      </c>
      <c r="C126" s="512" t="s">
        <v>251</v>
      </c>
      <c r="D126" s="551" t="str">
        <f>VLOOKUP(C126,'Cat. cuentas'!$A$1:$B$195,2,FALSE)</f>
        <v>TELEFONIA CELULAR</v>
      </c>
      <c r="E126" s="512"/>
      <c r="F126" s="513">
        <f>'Gtos Transp 2014'!D26+'Gtos Transp 2014 (Otros)'!D26</f>
        <v>7255.1033333333335</v>
      </c>
      <c r="G126" s="513">
        <f>'Gtos Transp 2014'!E26+'Gtos Transp 2014 (Otros)'!E26</f>
        <v>7279.206666666666</v>
      </c>
      <c r="H126" s="513">
        <f>'Gtos Transp 2014'!F26+'Gtos Transp 2014 (Otros)'!F26</f>
        <v>7303.31</v>
      </c>
      <c r="I126" s="513">
        <f>'Gtos Transp 2014'!G26+'Gtos Transp 2014 (Otros)'!G26</f>
        <v>7327.4133333333339</v>
      </c>
      <c r="J126" s="513">
        <f>'Gtos Transp 2014'!H26+'Gtos Transp 2014 (Otros)'!H26</f>
        <v>7351.5166666666664</v>
      </c>
      <c r="K126" s="513">
        <f>'Gtos Transp 2014'!I26+'Gtos Transp 2014 (Otros)'!I26</f>
        <v>7375.62</v>
      </c>
      <c r="L126" s="513">
        <f>'Gtos Transp 2014'!J26+'Gtos Transp 2014 (Otros)'!J26</f>
        <v>7399.7233333333343</v>
      </c>
      <c r="M126" s="513">
        <f>'Gtos Transp 2014'!K26+'Gtos Transp 2014 (Otros)'!K26</f>
        <v>7423.8266666666659</v>
      </c>
      <c r="N126" s="513">
        <f>'Gtos Transp 2014'!L26+'Gtos Transp 2014 (Otros)'!L26</f>
        <v>7447.93</v>
      </c>
      <c r="O126" s="513">
        <f>'Gtos Transp 2014'!M26+'Gtos Transp 2014 (Otros)'!M26</f>
        <v>7472.0333333333338</v>
      </c>
      <c r="P126" s="513">
        <f>'Gtos Transp 2014'!N26+'Gtos Transp 2014 (Otros)'!N26</f>
        <v>7496.1366666666663</v>
      </c>
      <c r="Q126" s="513">
        <f>'Gtos Transp 2014'!O26+'Gtos Transp 2014 (Otros)'!O26</f>
        <v>7520.2400000000007</v>
      </c>
      <c r="R126" s="522">
        <f t="shared" si="10"/>
        <v>88652.060000000027</v>
      </c>
    </row>
    <row r="127" spans="2:18" ht="15.75" x14ac:dyDescent="0.25">
      <c r="B127" s="561" t="s">
        <v>252</v>
      </c>
      <c r="C127" s="562" t="s">
        <v>253</v>
      </c>
      <c r="D127" s="551" t="s">
        <v>398</v>
      </c>
      <c r="E127" s="512"/>
      <c r="F127" s="513"/>
      <c r="G127" s="513"/>
      <c r="H127" s="513"/>
      <c r="I127" s="513"/>
      <c r="J127" s="513"/>
      <c r="K127" s="513"/>
      <c r="L127" s="513"/>
      <c r="M127" s="513"/>
      <c r="N127" s="513"/>
      <c r="O127" s="513"/>
      <c r="P127" s="513"/>
      <c r="Q127" s="513"/>
      <c r="R127" s="522"/>
    </row>
    <row r="128" spans="2:18" ht="15.75" x14ac:dyDescent="0.25">
      <c r="B128" s="561" t="s">
        <v>254</v>
      </c>
      <c r="C128" s="562" t="s">
        <v>255</v>
      </c>
      <c r="D128" s="551" t="s">
        <v>463</v>
      </c>
      <c r="E128" s="512"/>
      <c r="F128" s="513"/>
      <c r="G128" s="513"/>
      <c r="H128" s="513"/>
      <c r="I128" s="513"/>
      <c r="J128" s="513"/>
      <c r="K128" s="513"/>
      <c r="L128" s="513"/>
      <c r="M128" s="513"/>
      <c r="N128" s="513"/>
      <c r="O128" s="513"/>
      <c r="P128" s="513"/>
      <c r="Q128" s="513"/>
      <c r="R128" s="522"/>
    </row>
    <row r="129" spans="2:18" ht="15.75" x14ac:dyDescent="0.25">
      <c r="B129" s="561" t="s">
        <v>256</v>
      </c>
      <c r="C129" s="562" t="s">
        <v>257</v>
      </c>
      <c r="D129" s="551" t="s">
        <v>451</v>
      </c>
      <c r="E129" s="512"/>
      <c r="F129" s="513"/>
      <c r="G129" s="513"/>
      <c r="H129" s="513"/>
      <c r="I129" s="513"/>
      <c r="J129" s="513"/>
      <c r="K129" s="513"/>
      <c r="L129" s="513"/>
      <c r="M129" s="513"/>
      <c r="N129" s="513"/>
      <c r="O129" s="513"/>
      <c r="P129" s="513"/>
      <c r="Q129" s="513"/>
      <c r="R129" s="522"/>
    </row>
    <row r="130" spans="2:18" ht="15.75" x14ac:dyDescent="0.25">
      <c r="B130" s="520" t="s">
        <v>258</v>
      </c>
      <c r="C130" s="512" t="s">
        <v>259</v>
      </c>
      <c r="D130" s="551" t="str">
        <f>VLOOKUP(C130,'Cat. cuentas'!$A$1:$B$195,2,FALSE)</f>
        <v>SERVICIO LOCALIZADOR SATELITAL</v>
      </c>
      <c r="E130" s="512"/>
      <c r="F130" s="513">
        <f>'Gtos Transp 2014'!D27+'Gtos Transp 2014 (Otros)'!D27</f>
        <v>8145</v>
      </c>
      <c r="G130" s="513">
        <f>'Gtos Transp 2014'!E27+'Gtos Transp 2014 (Otros)'!E27</f>
        <v>8145</v>
      </c>
      <c r="H130" s="513">
        <f>'Gtos Transp 2014'!F27+'Gtos Transp 2014 (Otros)'!F27</f>
        <v>8145</v>
      </c>
      <c r="I130" s="513">
        <f>'Gtos Transp 2014'!G27+'Gtos Transp 2014 (Otros)'!G27</f>
        <v>8145</v>
      </c>
      <c r="J130" s="513">
        <f>'Gtos Transp 2014'!H27+'Gtos Transp 2014 (Otros)'!H27</f>
        <v>8145</v>
      </c>
      <c r="K130" s="513">
        <f>'Gtos Transp 2014'!I27+'Gtos Transp 2014 (Otros)'!I27</f>
        <v>8145</v>
      </c>
      <c r="L130" s="513">
        <f>'Gtos Transp 2014'!J27+'Gtos Transp 2014 (Otros)'!J27</f>
        <v>8145</v>
      </c>
      <c r="M130" s="513">
        <f>'Gtos Transp 2014'!K27+'Gtos Transp 2014 (Otros)'!K27</f>
        <v>8145</v>
      </c>
      <c r="N130" s="513">
        <f>'Gtos Transp 2014'!L27+'Gtos Transp 2014 (Otros)'!L27</f>
        <v>8145</v>
      </c>
      <c r="O130" s="513">
        <f>'Gtos Transp 2014'!M27+'Gtos Transp 2014 (Otros)'!M27</f>
        <v>8145</v>
      </c>
      <c r="P130" s="513">
        <f>'Gtos Transp 2014'!N27+'Gtos Transp 2014 (Otros)'!N27</f>
        <v>8145</v>
      </c>
      <c r="Q130" s="513">
        <f>'Gtos Transp 2014'!O27+'Gtos Transp 2014 (Otros)'!O27</f>
        <v>8145</v>
      </c>
      <c r="R130" s="522">
        <f t="shared" si="10"/>
        <v>97740</v>
      </c>
    </row>
    <row r="131" spans="2:18" ht="15.75" x14ac:dyDescent="0.25">
      <c r="B131" s="561" t="s">
        <v>260</v>
      </c>
      <c r="C131" s="512"/>
      <c r="D131" s="551"/>
      <c r="E131" s="512"/>
      <c r="F131" s="513"/>
      <c r="G131" s="513"/>
      <c r="H131" s="513"/>
      <c r="I131" s="513"/>
      <c r="J131" s="513"/>
      <c r="K131" s="513"/>
      <c r="L131" s="513"/>
      <c r="M131" s="513"/>
      <c r="N131" s="513"/>
      <c r="O131" s="513"/>
      <c r="P131" s="513"/>
      <c r="Q131" s="513"/>
      <c r="R131" s="522"/>
    </row>
    <row r="132" spans="2:18" ht="15.75" x14ac:dyDescent="0.25">
      <c r="B132" s="520" t="s">
        <v>261</v>
      </c>
      <c r="C132" s="512" t="s">
        <v>262</v>
      </c>
      <c r="D132" s="551" t="str">
        <f>VLOOKUP(C132,'Cat. cuentas'!$A$1:$B$195,2,FALSE)</f>
        <v>GASTOS DE COMEDOR</v>
      </c>
      <c r="E132" s="512"/>
      <c r="F132" s="513">
        <f>'Gtos Transp 2014'!D28+'Gtos Transp 2014 (Otros)'!D28</f>
        <v>4030</v>
      </c>
      <c r="G132" s="513">
        <f>'Gtos Transp 2014'!E28+'Gtos Transp 2014 (Otros)'!E28</f>
        <v>4030</v>
      </c>
      <c r="H132" s="513">
        <f>'Gtos Transp 2014'!F28+'Gtos Transp 2014 (Otros)'!F28</f>
        <v>4189.991</v>
      </c>
      <c r="I132" s="513">
        <f>'Gtos Transp 2014'!G28+'Gtos Transp 2014 (Otros)'!G28</f>
        <v>4189.991</v>
      </c>
      <c r="J132" s="513">
        <f>'Gtos Transp 2014'!H28+'Gtos Transp 2014 (Otros)'!H28</f>
        <v>4189.991</v>
      </c>
      <c r="K132" s="513">
        <f>'Gtos Transp 2014'!I28+'Gtos Transp 2014 (Otros)'!I28</f>
        <v>4189.991</v>
      </c>
      <c r="L132" s="513">
        <f>'Gtos Transp 2014'!J28+'Gtos Transp 2014 (Otros)'!J28</f>
        <v>4189.991</v>
      </c>
      <c r="M132" s="513">
        <f>'Gtos Transp 2014'!K28+'Gtos Transp 2014 (Otros)'!K28</f>
        <v>4189.991</v>
      </c>
      <c r="N132" s="513">
        <f>'Gtos Transp 2014'!L28+'Gtos Transp 2014 (Otros)'!L28</f>
        <v>4189.991</v>
      </c>
      <c r="O132" s="513">
        <f>'Gtos Transp 2014'!M28+'Gtos Transp 2014 (Otros)'!M28</f>
        <v>4189.991</v>
      </c>
      <c r="P132" s="513">
        <f>'Gtos Transp 2014'!N28+'Gtos Transp 2014 (Otros)'!N28</f>
        <v>4189.991</v>
      </c>
      <c r="Q132" s="513">
        <f>'Gtos Transp 2014'!O28+'Gtos Transp 2014 (Otros)'!O28</f>
        <v>4189.991</v>
      </c>
      <c r="R132" s="522">
        <f>SUM(F132:Q132)</f>
        <v>49959.910000000011</v>
      </c>
    </row>
    <row r="133" spans="2:18" ht="15.75" x14ac:dyDescent="0.25">
      <c r="B133" s="520"/>
      <c r="C133" s="512" t="s">
        <v>263</v>
      </c>
      <c r="D133" s="551" t="str">
        <f>VLOOKUP(C133,'Cat. cuentas'!$A$1:$B$195,2,FALSE)</f>
        <v>COCHES, PASAJES Y TAXIS</v>
      </c>
      <c r="E133" s="512"/>
      <c r="F133" s="513">
        <f>'Gtos Transp 2014'!D29+'Gtos Transp 2014 (Otros)'!D29</f>
        <v>166.352</v>
      </c>
      <c r="G133" s="513">
        <f>'Gtos Transp 2014'!E29+'Gtos Transp 2014 (Otros)'!E29</f>
        <v>166.352</v>
      </c>
      <c r="H133" s="513">
        <f>'Gtos Transp 2014'!F29+'Gtos Transp 2014 (Otros)'!F29</f>
        <v>166.352</v>
      </c>
      <c r="I133" s="513">
        <f>'Gtos Transp 2014'!G29+'Gtos Transp 2014 (Otros)'!G29</f>
        <v>166.352</v>
      </c>
      <c r="J133" s="513">
        <f>'Gtos Transp 2014'!H29+'Gtos Transp 2014 (Otros)'!H29</f>
        <v>166.352</v>
      </c>
      <c r="K133" s="513">
        <f>'Gtos Transp 2014'!I29+'Gtos Transp 2014 (Otros)'!I29</f>
        <v>166.352</v>
      </c>
      <c r="L133" s="513">
        <f>'Gtos Transp 2014'!J29+'Gtos Transp 2014 (Otros)'!J29</f>
        <v>166.352</v>
      </c>
      <c r="M133" s="513">
        <f>'Gtos Transp 2014'!K29+'Gtos Transp 2014 (Otros)'!K29</f>
        <v>166.352</v>
      </c>
      <c r="N133" s="513">
        <f>'Gtos Transp 2014'!L29+'Gtos Transp 2014 (Otros)'!L29</f>
        <v>166.352</v>
      </c>
      <c r="O133" s="513">
        <f>'Gtos Transp 2014'!M29+'Gtos Transp 2014 (Otros)'!M29</f>
        <v>166.352</v>
      </c>
      <c r="P133" s="513">
        <f>'Gtos Transp 2014'!N29+'Gtos Transp 2014 (Otros)'!N29</f>
        <v>166.352</v>
      </c>
      <c r="Q133" s="513">
        <f>'Gtos Transp 2014'!O29+'Gtos Transp 2014 (Otros)'!O29</f>
        <v>166.352</v>
      </c>
      <c r="R133" s="522">
        <f t="shared" si="10"/>
        <v>1996.2240000000004</v>
      </c>
    </row>
    <row r="134" spans="2:18" ht="15.75" x14ac:dyDescent="0.25">
      <c r="B134" s="520"/>
      <c r="C134" s="512" t="s">
        <v>264</v>
      </c>
      <c r="D134" s="551" t="str">
        <f>VLOOKUP(C134,'Cat. cuentas'!$A$1:$B$195,2,FALSE)</f>
        <v>FLETES DIESEL</v>
      </c>
      <c r="E134" s="512"/>
      <c r="F134" s="513">
        <f>'Gtos Transp 2014'!D30+'Gtos Transp 2014 (Otros)'!D30</f>
        <v>0</v>
      </c>
      <c r="G134" s="513">
        <f>'Gtos Transp 2014'!E30+'Gtos Transp 2014 (Otros)'!E30</f>
        <v>0</v>
      </c>
      <c r="H134" s="513">
        <f>'Gtos Transp 2014'!F30+'Gtos Transp 2014 (Otros)'!F30</f>
        <v>8713</v>
      </c>
      <c r="I134" s="513">
        <f>'Gtos Transp 2014'!G30+'Gtos Transp 2014 (Otros)'!G30</f>
        <v>8713</v>
      </c>
      <c r="J134" s="513">
        <f>'Gtos Transp 2014'!H30+'Gtos Transp 2014 (Otros)'!H30</f>
        <v>8713</v>
      </c>
      <c r="K134" s="513">
        <f>'Gtos Transp 2014'!I30+'Gtos Transp 2014 (Otros)'!I30</f>
        <v>8713</v>
      </c>
      <c r="L134" s="513">
        <f>'Gtos Transp 2014'!J30+'Gtos Transp 2014 (Otros)'!J30</f>
        <v>8713</v>
      </c>
      <c r="M134" s="513">
        <f>'Gtos Transp 2014'!K30+'Gtos Transp 2014 (Otros)'!K30</f>
        <v>8713</v>
      </c>
      <c r="N134" s="513">
        <f>'Gtos Transp 2014'!L30+'Gtos Transp 2014 (Otros)'!L30</f>
        <v>8713</v>
      </c>
      <c r="O134" s="513">
        <f>'Gtos Transp 2014'!M30+'Gtos Transp 2014 (Otros)'!M30</f>
        <v>8713</v>
      </c>
      <c r="P134" s="513">
        <f>'Gtos Transp 2014'!N30+'Gtos Transp 2014 (Otros)'!N30</f>
        <v>0</v>
      </c>
      <c r="Q134" s="513">
        <f>'Gtos Transp 2014'!O30+'Gtos Transp 2014 (Otros)'!O30</f>
        <v>0</v>
      </c>
      <c r="R134" s="522">
        <f t="shared" si="10"/>
        <v>69704</v>
      </c>
    </row>
    <row r="135" spans="2:18" ht="15.75" x14ac:dyDescent="0.25">
      <c r="B135" s="520"/>
      <c r="C135" s="512" t="s">
        <v>265</v>
      </c>
      <c r="D135" s="551" t="str">
        <f>VLOOKUP(C135,'Cat. cuentas'!$A$1:$B$195,2,FALSE)</f>
        <v>EXAMENES MEDICOS</v>
      </c>
      <c r="E135" s="512"/>
      <c r="F135" s="513">
        <f>'Gtos Transp 2014'!D31+'Gtos Transp 2014 (Otros)'!D31</f>
        <v>1400</v>
      </c>
      <c r="G135" s="513">
        <f>'Gtos Transp 2014'!E31+'Gtos Transp 2014 (Otros)'!E31</f>
        <v>1400</v>
      </c>
      <c r="H135" s="513">
        <f>'Gtos Transp 2014'!F31+'Gtos Transp 2014 (Otros)'!F31</f>
        <v>1400</v>
      </c>
      <c r="I135" s="513">
        <f>'Gtos Transp 2014'!G31+'Gtos Transp 2014 (Otros)'!G31</f>
        <v>1400</v>
      </c>
      <c r="J135" s="513">
        <f>'Gtos Transp 2014'!H31+'Gtos Transp 2014 (Otros)'!H31</f>
        <v>1400</v>
      </c>
      <c r="K135" s="513">
        <f>'Gtos Transp 2014'!I31+'Gtos Transp 2014 (Otros)'!I31</f>
        <v>1400</v>
      </c>
      <c r="L135" s="513">
        <f>'Gtos Transp 2014'!J31+'Gtos Transp 2014 (Otros)'!J31</f>
        <v>1400</v>
      </c>
      <c r="M135" s="513">
        <f>'Gtos Transp 2014'!K31+'Gtos Transp 2014 (Otros)'!K31</f>
        <v>1400</v>
      </c>
      <c r="N135" s="513">
        <f>'Gtos Transp 2014'!L31+'Gtos Transp 2014 (Otros)'!L31</f>
        <v>1400</v>
      </c>
      <c r="O135" s="513">
        <f>'Gtos Transp 2014'!M31+'Gtos Transp 2014 (Otros)'!M31</f>
        <v>1400</v>
      </c>
      <c r="P135" s="513">
        <f>'Gtos Transp 2014'!N31+'Gtos Transp 2014 (Otros)'!N31</f>
        <v>1400</v>
      </c>
      <c r="Q135" s="513">
        <f>'Gtos Transp 2014'!O31+'Gtos Transp 2014 (Otros)'!O31</f>
        <v>1400</v>
      </c>
      <c r="R135" s="522">
        <f t="shared" si="10"/>
        <v>16800</v>
      </c>
    </row>
    <row r="136" spans="2:18" ht="15.75" x14ac:dyDescent="0.25">
      <c r="B136" s="520"/>
      <c r="C136" s="512" t="s">
        <v>266</v>
      </c>
      <c r="D136" s="551" t="str">
        <f>VLOOKUP(C136,'Cat. cuentas'!$A$1:$B$195,2,FALSE)</f>
        <v>GASTOS DE CONTRATACION</v>
      </c>
      <c r="E136" s="512"/>
      <c r="F136" s="513">
        <f>'Gtos Transp 2014'!D32+'Gtos Transp 2014 (Otros)'!D32</f>
        <v>826.04165</v>
      </c>
      <c r="G136" s="513">
        <f>'Gtos Transp 2014'!E32+'Gtos Transp 2014 (Otros)'!E32</f>
        <v>0</v>
      </c>
      <c r="H136" s="513">
        <f>'Gtos Transp 2014'!F32+'Gtos Transp 2014 (Otros)'!F32</f>
        <v>0</v>
      </c>
      <c r="I136" s="513">
        <f>'Gtos Transp 2014'!G32+'Gtos Transp 2014 (Otros)'!G32</f>
        <v>0</v>
      </c>
      <c r="J136" s="513">
        <f>'Gtos Transp 2014'!H32+'Gtos Transp 2014 (Otros)'!H32</f>
        <v>0</v>
      </c>
      <c r="K136" s="513">
        <f>'Gtos Transp 2014'!I32+'Gtos Transp 2014 (Otros)'!I32</f>
        <v>0</v>
      </c>
      <c r="L136" s="513">
        <f>'Gtos Transp 2014'!J32+'Gtos Transp 2014 (Otros)'!J32</f>
        <v>0</v>
      </c>
      <c r="M136" s="513">
        <f>'Gtos Transp 2014'!K32+'Gtos Transp 2014 (Otros)'!K32</f>
        <v>0</v>
      </c>
      <c r="N136" s="513">
        <f>'Gtos Transp 2014'!L32+'Gtos Transp 2014 (Otros)'!L32</f>
        <v>0</v>
      </c>
      <c r="O136" s="513">
        <f>'Gtos Transp 2014'!M32+'Gtos Transp 2014 (Otros)'!M32</f>
        <v>0</v>
      </c>
      <c r="P136" s="513">
        <f>'Gtos Transp 2014'!N32+'Gtos Transp 2014 (Otros)'!N32</f>
        <v>0</v>
      </c>
      <c r="Q136" s="513">
        <f>'Gtos Transp 2014'!O32+'Gtos Transp 2014 (Otros)'!O32</f>
        <v>0</v>
      </c>
      <c r="R136" s="522">
        <f t="shared" si="10"/>
        <v>826.04165</v>
      </c>
    </row>
    <row r="137" spans="2:18" ht="15.75" x14ac:dyDescent="0.25">
      <c r="B137" s="520"/>
      <c r="C137" s="512" t="s">
        <v>267</v>
      </c>
      <c r="D137" s="551" t="str">
        <f>VLOOKUP(C137,'Cat. cuentas'!$A$1:$B$195,2,FALSE)</f>
        <v>TENENCIAS DE CAMIONETAS</v>
      </c>
      <c r="E137" s="512"/>
      <c r="F137" s="513">
        <f>'Gtos Transp 2014'!D33+'Gtos Transp 2014 (Otros)'!D33</f>
        <v>4341.4284736945265</v>
      </c>
      <c r="G137" s="513">
        <f>'Gtos Transp 2014'!E33+'Gtos Transp 2014 (Otros)'!E33</f>
        <v>4253.0315876929462</v>
      </c>
      <c r="H137" s="513">
        <f>'Gtos Transp 2014'!F33+'Gtos Transp 2014 (Otros)'!F33</f>
        <v>4411.9810598951753</v>
      </c>
      <c r="I137" s="513">
        <f>'Gtos Transp 2014'!G33+'Gtos Transp 2014 (Otros)'!G33</f>
        <v>4672.220921616934</v>
      </c>
      <c r="J137" s="513">
        <f>'Gtos Transp 2014'!H33+'Gtos Transp 2014 (Otros)'!H33</f>
        <v>4520.8904389671952</v>
      </c>
      <c r="K137" s="513">
        <f>'Gtos Transp 2014'!I33+'Gtos Transp 2014 (Otros)'!I33</f>
        <v>4557.7642816352154</v>
      </c>
      <c r="L137" s="513">
        <f>'Gtos Transp 2014'!J33+'Gtos Transp 2014 (Otros)'!J33</f>
        <v>4935.9500953929546</v>
      </c>
      <c r="M137" s="513">
        <f>'Gtos Transp 2014'!K33+'Gtos Transp 2014 (Otros)'!K33</f>
        <v>4849.7485122630296</v>
      </c>
      <c r="N137" s="513">
        <f>'Gtos Transp 2014'!L33+'Gtos Transp 2014 (Otros)'!L33</f>
        <v>4305.8858889608009</v>
      </c>
      <c r="O137" s="513">
        <f>'Gtos Transp 2014'!M33+'Gtos Transp 2014 (Otros)'!M33</f>
        <v>5578.2556763508856</v>
      </c>
      <c r="P137" s="513">
        <f>'Gtos Transp 2014'!N33+'Gtos Transp 2014 (Otros)'!N33</f>
        <v>4974.444488444803</v>
      </c>
      <c r="Q137" s="513">
        <f>'Gtos Transp 2014'!O33+'Gtos Transp 2014 (Otros)'!O33</f>
        <v>4990.4394867999317</v>
      </c>
      <c r="R137" s="522">
        <f>SUM(F137:Q137)</f>
        <v>56392.040911714394</v>
      </c>
    </row>
    <row r="138" spans="2:18" ht="15.75" x14ac:dyDescent="0.25">
      <c r="B138" s="520"/>
      <c r="C138" s="562" t="s">
        <v>263</v>
      </c>
      <c r="D138" s="551" t="s">
        <v>478</v>
      </c>
      <c r="E138" s="512"/>
      <c r="F138" s="513"/>
      <c r="G138" s="513"/>
      <c r="H138" s="513"/>
      <c r="I138" s="513"/>
      <c r="J138" s="513"/>
      <c r="K138" s="513"/>
      <c r="L138" s="513"/>
      <c r="M138" s="513"/>
      <c r="N138" s="513"/>
      <c r="O138" s="513"/>
      <c r="P138" s="513"/>
      <c r="Q138" s="513"/>
      <c r="R138" s="522"/>
    </row>
    <row r="139" spans="2:18" ht="15.75" x14ac:dyDescent="0.25">
      <c r="B139" s="520"/>
      <c r="C139" s="562" t="s">
        <v>268</v>
      </c>
      <c r="D139" s="551" t="s">
        <v>553</v>
      </c>
      <c r="E139" s="512"/>
      <c r="F139" s="513"/>
      <c r="G139" s="513"/>
      <c r="H139" s="513"/>
      <c r="I139" s="513"/>
      <c r="J139" s="513"/>
      <c r="K139" s="513"/>
      <c r="L139" s="513"/>
      <c r="M139" s="513"/>
      <c r="N139" s="513"/>
      <c r="O139" s="513"/>
      <c r="P139" s="513"/>
      <c r="Q139" s="513"/>
      <c r="R139" s="522"/>
    </row>
    <row r="140" spans="2:18" ht="15.75" x14ac:dyDescent="0.25">
      <c r="B140" s="520"/>
      <c r="C140" s="562" t="s">
        <v>269</v>
      </c>
      <c r="D140" s="551" t="s">
        <v>577</v>
      </c>
      <c r="E140" s="512"/>
      <c r="F140" s="513"/>
      <c r="G140" s="513"/>
      <c r="H140" s="513"/>
      <c r="I140" s="513"/>
      <c r="J140" s="513"/>
      <c r="K140" s="513"/>
      <c r="L140" s="513"/>
      <c r="M140" s="513"/>
      <c r="N140" s="513"/>
      <c r="O140" s="513"/>
      <c r="P140" s="513"/>
      <c r="Q140" s="513"/>
      <c r="R140" s="522"/>
    </row>
    <row r="141" spans="2:18" ht="15.75" x14ac:dyDescent="0.25">
      <c r="B141" s="516"/>
      <c r="C141" s="517"/>
      <c r="D141" s="517"/>
      <c r="E141" s="517"/>
      <c r="F141" s="513"/>
      <c r="G141" s="513"/>
      <c r="H141" s="513"/>
      <c r="I141" s="513"/>
      <c r="J141" s="513"/>
      <c r="K141" s="513"/>
      <c r="L141" s="513"/>
      <c r="M141" s="513"/>
      <c r="N141" s="513"/>
      <c r="O141" s="513"/>
      <c r="P141" s="513"/>
      <c r="Q141" s="513"/>
      <c r="R141" s="522"/>
    </row>
    <row r="142" spans="2:18" ht="15.75" x14ac:dyDescent="0.25">
      <c r="B142" s="516"/>
      <c r="C142" s="517"/>
      <c r="D142" s="517"/>
      <c r="E142" s="517"/>
      <c r="F142" s="513"/>
      <c r="G142" s="513"/>
      <c r="H142" s="513"/>
      <c r="I142" s="513"/>
      <c r="J142" s="513"/>
      <c r="K142" s="513"/>
      <c r="L142" s="513"/>
      <c r="M142" s="513"/>
      <c r="N142" s="513"/>
      <c r="O142" s="513"/>
      <c r="P142" s="513"/>
      <c r="Q142" s="513"/>
      <c r="R142" s="522"/>
    </row>
    <row r="143" spans="2:18" ht="15.75" x14ac:dyDescent="0.25">
      <c r="B143" s="516" t="s">
        <v>733</v>
      </c>
      <c r="C143" s="517"/>
      <c r="D143" s="517"/>
      <c r="E143" s="517"/>
      <c r="F143" s="100">
        <f t="shared" ref="F143:R143" si="11">SUM(F112:F137)</f>
        <v>364395.24071074172</v>
      </c>
      <c r="G143" s="100">
        <f t="shared" si="11"/>
        <v>547843.09550807334</v>
      </c>
      <c r="H143" s="100">
        <f t="shared" si="11"/>
        <v>448036.32931360899</v>
      </c>
      <c r="I143" s="100">
        <f t="shared" si="11"/>
        <v>394297.86250866408</v>
      </c>
      <c r="J143" s="100">
        <f t="shared" si="11"/>
        <v>391699.82535934768</v>
      </c>
      <c r="K143" s="100">
        <f t="shared" si="11"/>
        <v>392213.99253534904</v>
      </c>
      <c r="L143" s="100">
        <f t="shared" si="11"/>
        <v>393069.47168244008</v>
      </c>
      <c r="M143" s="100">
        <f t="shared" si="11"/>
        <v>423408.56343264348</v>
      </c>
      <c r="N143" s="100">
        <f t="shared" si="11"/>
        <v>394893.99414267461</v>
      </c>
      <c r="O143" s="100">
        <f t="shared" si="11"/>
        <v>395143.65726339805</v>
      </c>
      <c r="P143" s="100">
        <f t="shared" si="11"/>
        <v>369135.13940882531</v>
      </c>
      <c r="Q143" s="100">
        <f t="shared" si="11"/>
        <v>369628.42774051375</v>
      </c>
      <c r="R143" s="101">
        <f t="shared" si="11"/>
        <v>4883765.5996062802</v>
      </c>
    </row>
    <row r="144" spans="2:18" ht="15.75" x14ac:dyDescent="0.25">
      <c r="B144" s="516"/>
      <c r="C144" s="517"/>
      <c r="D144" s="517"/>
      <c r="E144" s="517"/>
      <c r="F144" s="517"/>
      <c r="G144" s="517"/>
      <c r="H144" s="517"/>
      <c r="I144" s="517"/>
      <c r="J144" s="517"/>
      <c r="K144" s="517"/>
      <c r="L144" s="517"/>
      <c r="M144" s="517"/>
      <c r="N144" s="517"/>
      <c r="O144" s="517"/>
      <c r="P144" s="517"/>
      <c r="Q144" s="517"/>
      <c r="R144" s="537"/>
    </row>
    <row r="145" spans="2:18" ht="15.75" x14ac:dyDescent="0.25">
      <c r="B145" s="525" t="s">
        <v>293</v>
      </c>
      <c r="C145" s="517"/>
      <c r="D145" s="526"/>
      <c r="E145" s="526"/>
      <c r="F145" s="543">
        <f t="shared" ref="F145:R145" si="12">F108+F143</f>
        <v>3985968.5619745678</v>
      </c>
      <c r="G145" s="543">
        <f t="shared" si="12"/>
        <v>4145066.2407170045</v>
      </c>
      <c r="H145" s="543">
        <f t="shared" si="12"/>
        <v>4198493.2822548617</v>
      </c>
      <c r="I145" s="543">
        <f t="shared" si="12"/>
        <v>4322031.3112868285</v>
      </c>
      <c r="J145" s="543">
        <f t="shared" si="12"/>
        <v>4276642.84791057</v>
      </c>
      <c r="K145" s="543">
        <f t="shared" si="12"/>
        <v>4299273.298194156</v>
      </c>
      <c r="L145" s="543">
        <f t="shared" si="12"/>
        <v>4544364.5778089724</v>
      </c>
      <c r="M145" s="543">
        <f t="shared" si="12"/>
        <v>4519400.2389318002</v>
      </c>
      <c r="N145" s="543">
        <f t="shared" si="12"/>
        <v>4158065.9651310388</v>
      </c>
      <c r="O145" s="543">
        <f t="shared" si="12"/>
        <v>4988049.8618514324</v>
      </c>
      <c r="P145" s="543">
        <f t="shared" si="12"/>
        <v>4579997.7137103379</v>
      </c>
      <c r="Q145" s="543">
        <f t="shared" si="12"/>
        <v>4602765.2683618572</v>
      </c>
      <c r="R145" s="544">
        <f t="shared" si="12"/>
        <v>52620119.168133445</v>
      </c>
    </row>
    <row r="146" spans="2:18" ht="15" x14ac:dyDescent="0.2">
      <c r="B146" s="520"/>
      <c r="C146" s="512"/>
      <c r="D146" s="512"/>
      <c r="E146" s="512"/>
      <c r="F146" s="521"/>
      <c r="G146" s="521"/>
      <c r="H146" s="521"/>
      <c r="I146" s="521"/>
      <c r="J146" s="521"/>
      <c r="K146" s="521"/>
      <c r="L146" s="521"/>
      <c r="M146" s="521"/>
      <c r="N146" s="521"/>
      <c r="O146" s="521"/>
      <c r="P146" s="521"/>
      <c r="Q146" s="521"/>
      <c r="R146" s="545"/>
    </row>
    <row r="147" spans="2:18" ht="16.5" thickBot="1" x14ac:dyDescent="0.3">
      <c r="B147" s="546" t="s">
        <v>334</v>
      </c>
      <c r="C147" s="547"/>
      <c r="D147" s="547"/>
      <c r="E147" s="547"/>
      <c r="F147" s="548">
        <f t="shared" ref="F147:R147" si="13">F87+F145</f>
        <v>4982549.4409370571</v>
      </c>
      <c r="G147" s="548">
        <f t="shared" si="13"/>
        <v>5150217.637931671</v>
      </c>
      <c r="H147" s="548">
        <f t="shared" si="13"/>
        <v>5231103.6770480154</v>
      </c>
      <c r="I147" s="548">
        <f t="shared" si="13"/>
        <v>5350431.5046427539</v>
      </c>
      <c r="J147" s="548">
        <f t="shared" si="13"/>
        <v>5332426.3373456653</v>
      </c>
      <c r="K147" s="548">
        <f t="shared" si="13"/>
        <v>5325161.0906756101</v>
      </c>
      <c r="L147" s="548">
        <f t="shared" si="13"/>
        <v>5607204.7849956937</v>
      </c>
      <c r="M147" s="548">
        <f t="shared" si="13"/>
        <v>5576211.5071931779</v>
      </c>
      <c r="N147" s="548">
        <f t="shared" si="13"/>
        <v>5157915.1147782775</v>
      </c>
      <c r="O147" s="548">
        <f t="shared" si="13"/>
        <v>6136843.7225197386</v>
      </c>
      <c r="P147" s="548">
        <f t="shared" si="13"/>
        <v>5653300.2296070252</v>
      </c>
      <c r="Q147" s="548">
        <f t="shared" si="13"/>
        <v>5664964.3149809251</v>
      </c>
      <c r="R147" s="549">
        <f t="shared" si="13"/>
        <v>65168329.362655625</v>
      </c>
    </row>
    <row r="148" spans="2:18" ht="13.5" thickTop="1" x14ac:dyDescent="0.2">
      <c r="B148" s="82"/>
      <c r="C148" s="82"/>
      <c r="D148" s="82"/>
      <c r="E148" s="82"/>
      <c r="F148" s="550"/>
      <c r="G148" s="550"/>
      <c r="H148" s="550"/>
      <c r="I148" s="550"/>
      <c r="J148" s="550"/>
      <c r="K148" s="550"/>
      <c r="L148" s="550"/>
      <c r="M148" s="82"/>
      <c r="N148" s="82"/>
      <c r="O148" s="82"/>
      <c r="P148" s="82"/>
      <c r="Q148" s="82"/>
      <c r="R148" s="82"/>
    </row>
    <row r="150" spans="2:18" x14ac:dyDescent="0.2">
      <c r="D150" t="s">
        <v>771</v>
      </c>
      <c r="F150" s="17">
        <f>F94/'Premisas Presupuesto 2014'!D76</f>
        <v>158881.39935236782</v>
      </c>
      <c r="G150" s="17">
        <f>G94/'Premisas Presupuesto 2014'!E76</f>
        <v>155792.36881289497</v>
      </c>
      <c r="H150" s="17">
        <f>H94/'Premisas Presupuesto 2014'!F76</f>
        <v>160130.23493265425</v>
      </c>
      <c r="I150" s="17">
        <f>I94/'Premisas Presupuesto 2014'!G76</f>
        <v>167462.61158352249</v>
      </c>
      <c r="J150" s="17">
        <f>J94/'Premisas Presupuesto 2014'!H76</f>
        <v>162503.71165280719</v>
      </c>
      <c r="K150" s="17">
        <f>K94/'Premisas Presupuesto 2014'!I76</f>
        <v>163157.53790506106</v>
      </c>
      <c r="L150" s="17">
        <f>L94/'Premisas Presupuesto 2014'!J76</f>
        <v>173894.14352270879</v>
      </c>
      <c r="M150" s="17">
        <f>M94/'Premisas Presupuesto 2014'!K76</f>
        <v>170881.21494857225</v>
      </c>
      <c r="N150" s="17">
        <f>N94/'Premisas Presupuesto 2014'!L76</f>
        <v>154449.74501725711</v>
      </c>
      <c r="O150" s="17">
        <f>O94/'Premisas Presupuesto 2014'!M76</f>
        <v>191281.26149827155</v>
      </c>
      <c r="P150" s="17">
        <f>P94/'Premisas Presupuesto 2014'!N76</f>
        <v>173140.94919599363</v>
      </c>
      <c r="Q150" s="17">
        <f>Q94/'Premisas Presupuesto 2014'!O76</f>
        <v>173140.94919599363</v>
      </c>
      <c r="R150">
        <f>'Gtos Transp 2014'!P34+'Gtos Transp 2014 (Otros)'!P34</f>
        <v>4883765.5996062793</v>
      </c>
    </row>
    <row r="151" spans="2:18" x14ac:dyDescent="0.2">
      <c r="D151" t="s">
        <v>772</v>
      </c>
      <c r="F151">
        <f>(Edo.Res.detalle!D7+Edo.Res.detalle!D11)</f>
        <v>292654.39628050081</v>
      </c>
      <c r="G151">
        <f>(Edo.Res.detalle!E7+Edo.Res.detalle!E11)</f>
        <v>286964.50198635174</v>
      </c>
      <c r="H151">
        <f>(Edo.Res.detalle!F7+Edo.Res.detalle!F11)</f>
        <v>294954.71100766264</v>
      </c>
      <c r="I151">
        <f>(Edo.Res.detalle!G7+Edo.Res.detalle!G11)</f>
        <v>308460.71152633888</v>
      </c>
      <c r="J151">
        <f>(Edo.Res.detalle!H7+Edo.Res.detalle!H11)</f>
        <v>299326.57832160586</v>
      </c>
      <c r="K151">
        <f>(Edo.Res.detalle!I7+Edo.Res.detalle!I11)</f>
        <v>300530.90512075083</v>
      </c>
      <c r="L151">
        <f>(Edo.Res.detalle!J7+Edo.Res.detalle!J11)</f>
        <v>320307.38523700368</v>
      </c>
      <c r="M151">
        <f>(Edo.Res.detalle!K7+Edo.Res.detalle!K11)</f>
        <v>314757.66830038064</v>
      </c>
      <c r="N151">
        <f>(Edo.Res.detalle!L7+Edo.Res.detalle!L11)</f>
        <v>284491.43240145466</v>
      </c>
      <c r="O151">
        <f>(Edo.Res.detalle!M7+Edo.Res.detalle!M11)</f>
        <v>352333.89390911732</v>
      </c>
      <c r="P151">
        <f>(Edo.Res.detalle!N7+Edo.Res.detalle!N11)</f>
        <v>318920.0256602047</v>
      </c>
      <c r="Q151">
        <f>(Edo.Res.detalle!O7+Edo.Res.detalle!O11)</f>
        <v>318920.0256602047</v>
      </c>
    </row>
    <row r="152" spans="2:18" x14ac:dyDescent="0.2">
      <c r="D152" t="s">
        <v>773</v>
      </c>
      <c r="F152" s="17">
        <f>F151/F150</f>
        <v>1.8419676404753378</v>
      </c>
      <c r="G152" s="17">
        <f t="shared" ref="G152:Q152" si="14">G151/G150</f>
        <v>1.8419676404753378</v>
      </c>
      <c r="H152" s="17">
        <f t="shared" si="14"/>
        <v>1.8419676404753378</v>
      </c>
      <c r="I152" s="17">
        <f t="shared" si="14"/>
        <v>1.8419676404753378</v>
      </c>
      <c r="J152" s="17">
        <f t="shared" si="14"/>
        <v>1.8419676404753373</v>
      </c>
      <c r="K152" s="17">
        <f t="shared" si="14"/>
        <v>1.8419676404753378</v>
      </c>
      <c r="L152" s="17">
        <f t="shared" si="14"/>
        <v>1.8419676404753378</v>
      </c>
      <c r="M152" s="17">
        <f t="shared" si="14"/>
        <v>1.8419676404753378</v>
      </c>
      <c r="N152" s="17">
        <f t="shared" si="14"/>
        <v>1.841967640475338</v>
      </c>
      <c r="O152" s="17">
        <f t="shared" si="14"/>
        <v>1.8419676404753378</v>
      </c>
      <c r="P152" s="17">
        <f t="shared" si="14"/>
        <v>1.8419676404753378</v>
      </c>
      <c r="Q152" s="17">
        <f t="shared" si="14"/>
        <v>1.8419676404753378</v>
      </c>
      <c r="R152" s="563">
        <f>R143-R150</f>
        <v>0</v>
      </c>
    </row>
  </sheetData>
  <pageMargins left="0.7" right="0.7" top="0.75" bottom="0.75" header="0.3" footer="0.3"/>
  <pageSetup scale="3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workbookViewId="0">
      <pane xSplit="1" topLeftCell="B1" activePane="topRight" state="frozen"/>
      <selection activeCell="F11" sqref="F11:Q16"/>
      <selection pane="topRight" activeCell="C26" sqref="C26:H26"/>
    </sheetView>
  </sheetViews>
  <sheetFormatPr baseColWidth="10" defaultColWidth="11.42578125" defaultRowHeight="0" customHeight="1" zeroHeight="1" x14ac:dyDescent="0.2"/>
  <cols>
    <col min="1" max="1" width="27" style="145" customWidth="1"/>
    <col min="2" max="2" width="12.42578125" style="14" customWidth="1"/>
    <col min="3" max="3" width="10.7109375" style="14" customWidth="1"/>
    <col min="4" max="4" width="12" style="14" customWidth="1"/>
    <col min="5" max="5" width="11.85546875" style="14" customWidth="1"/>
    <col min="6" max="6" width="11.140625" style="14" customWidth="1"/>
    <col min="7" max="11" width="13.42578125" style="14" bestFit="1" customWidth="1"/>
    <col min="12" max="12" width="10.7109375" style="14" customWidth="1"/>
    <col min="13" max="13" width="13.42578125" style="14" bestFit="1" customWidth="1"/>
    <col min="14" max="14" width="13" style="14" customWidth="1"/>
    <col min="15" max="15" width="2.7109375" style="14" customWidth="1"/>
    <col min="16" max="17" width="13.5703125" style="14" customWidth="1"/>
    <col min="18" max="18" width="10.7109375" style="14" customWidth="1"/>
    <col min="19" max="19" width="24.140625" style="14" customWidth="1"/>
    <col min="20" max="65" width="8.7109375" style="14" customWidth="1"/>
    <col min="66" max="71" width="10.28515625" style="14" customWidth="1"/>
    <col min="72" max="73" width="14.28515625" style="14" customWidth="1"/>
    <col min="74" max="16384" width="11.42578125" style="14"/>
  </cols>
  <sheetData>
    <row r="1" spans="1:16" ht="12" x14ac:dyDescent="0.2">
      <c r="A1" s="14"/>
    </row>
    <row r="2" spans="1:16" ht="23.25" x14ac:dyDescent="0.35">
      <c r="A2" s="84" t="s">
        <v>49</v>
      </c>
    </row>
    <row r="3" spans="1:16" ht="10.5" customHeight="1" x14ac:dyDescent="0.25">
      <c r="A3" s="74"/>
    </row>
    <row r="4" spans="1:16" ht="15" x14ac:dyDescent="0.25">
      <c r="A4" s="110"/>
      <c r="B4" s="14" t="str">
        <f>caratula!B26</f>
        <v>PRESUPUESTO  2014</v>
      </c>
    </row>
    <row r="5" spans="1:16" ht="15.75" x14ac:dyDescent="0.25">
      <c r="A5" s="74" t="s">
        <v>737</v>
      </c>
    </row>
    <row r="6" spans="1:16" ht="15.75" x14ac:dyDescent="0.25">
      <c r="A6" s="74" t="s">
        <v>52</v>
      </c>
    </row>
    <row r="7" spans="1:16" ht="12" x14ac:dyDescent="0.2">
      <c r="A7" s="14"/>
    </row>
    <row r="8" spans="1:16" ht="12" x14ac:dyDescent="0.2">
      <c r="A8" s="206" t="s">
        <v>197</v>
      </c>
      <c r="B8" s="14">
        <f>'Premisas Presupuesto 2014'!D56</f>
        <v>26</v>
      </c>
      <c r="C8" s="14">
        <f>'Premisas Presupuesto 2014'!E56</f>
        <v>23</v>
      </c>
      <c r="D8" s="14">
        <f>'Premisas Presupuesto 2014'!F56</f>
        <v>25</v>
      </c>
      <c r="E8" s="14">
        <f>'Premisas Presupuesto 2014'!G56</f>
        <v>25</v>
      </c>
      <c r="F8" s="14">
        <f>'Premisas Presupuesto 2014'!H56</f>
        <v>26</v>
      </c>
      <c r="G8" s="14">
        <f>'Premisas Presupuesto 2014'!I56</f>
        <v>25</v>
      </c>
      <c r="H8" s="14">
        <f>'Premisas Presupuesto 2014'!J56</f>
        <v>27</v>
      </c>
      <c r="I8" s="14">
        <f>'Premisas Presupuesto 2014'!K56</f>
        <v>26</v>
      </c>
      <c r="J8" s="14">
        <f>'Premisas Presupuesto 2014'!L56</f>
        <v>25</v>
      </c>
      <c r="K8" s="14">
        <f>'Premisas Presupuesto 2014'!M56</f>
        <v>27</v>
      </c>
      <c r="L8" s="14">
        <f>'Premisas Presupuesto 2014'!N56</f>
        <v>24</v>
      </c>
      <c r="M8" s="14">
        <f>'Premisas Presupuesto 2014'!O56</f>
        <v>26</v>
      </c>
    </row>
    <row r="9" spans="1:16" ht="12" x14ac:dyDescent="0.2">
      <c r="A9" s="14"/>
    </row>
    <row r="10" spans="1:16" ht="28.5" customHeight="1" x14ac:dyDescent="0.2">
      <c r="A10" s="137" t="s">
        <v>204</v>
      </c>
      <c r="B10" s="137" t="s">
        <v>5</v>
      </c>
      <c r="C10" s="137" t="s">
        <v>6</v>
      </c>
      <c r="D10" s="137" t="s">
        <v>7</v>
      </c>
      <c r="E10" s="137" t="s">
        <v>8</v>
      </c>
      <c r="F10" s="137" t="s">
        <v>9</v>
      </c>
      <c r="G10" s="137" t="s">
        <v>10</v>
      </c>
      <c r="H10" s="137" t="s">
        <v>11</v>
      </c>
      <c r="I10" s="137" t="s">
        <v>12</v>
      </c>
      <c r="J10" s="137" t="s">
        <v>13</v>
      </c>
      <c r="K10" s="137" t="s">
        <v>14</v>
      </c>
      <c r="L10" s="137" t="s">
        <v>15</v>
      </c>
      <c r="M10" s="137" t="s">
        <v>16</v>
      </c>
      <c r="N10" s="140" t="s">
        <v>20</v>
      </c>
    </row>
    <row r="11" spans="1:16" ht="12.75" x14ac:dyDescent="0.2">
      <c r="A11" s="228" t="s">
        <v>100</v>
      </c>
      <c r="B11" s="221">
        <f>'Premisas Presupuesto 2014'!D60</f>
        <v>17896.561572742881</v>
      </c>
      <c r="C11" s="221">
        <f>'Premisas Presupuesto 2014'!E60</f>
        <v>17474.111781935626</v>
      </c>
      <c r="D11" s="221">
        <f>'Premisas Presupuesto 2014'!F60</f>
        <v>18067.349890599613</v>
      </c>
      <c r="E11" s="221">
        <f>'Premisas Presupuesto 2014'!G60</f>
        <v>19070.111418107168</v>
      </c>
      <c r="F11" s="221">
        <f>'Premisas Presupuesto 2014'!H60</f>
        <v>18391.941936907322</v>
      </c>
      <c r="G11" s="221">
        <f>'Premisas Presupuesto 2014'!I60</f>
        <v>18481.357939746867</v>
      </c>
      <c r="H11" s="221">
        <f>'Premisas Presupuesto 2014'!J60</f>
        <v>19949.675180122638</v>
      </c>
      <c r="I11" s="221">
        <f>'Premisas Presupuesto 2014'!K60</f>
        <v>19537.632945642697</v>
      </c>
      <c r="J11" s="221">
        <f>'Premisas Presupuesto 2014'!L60</f>
        <v>17290.497170700077</v>
      </c>
      <c r="K11" s="221">
        <f>'Premisas Presupuesto 2014'!M60</f>
        <v>22327.503517414174</v>
      </c>
      <c r="L11" s="221">
        <f>'Premisas Presupuesto 2014'!N60</f>
        <v>19846.669793257046</v>
      </c>
      <c r="M11" s="221">
        <f>'Premisas Presupuesto 2014'!O60</f>
        <v>19846.669793257046</v>
      </c>
      <c r="N11" s="139">
        <f>SUM(B11:M11)</f>
        <v>228180.08294043317</v>
      </c>
      <c r="P11" s="176"/>
    </row>
    <row r="12" spans="1:16" ht="12.75" x14ac:dyDescent="0.2">
      <c r="A12" s="199" t="s">
        <v>152</v>
      </c>
      <c r="B12" s="135">
        <f>'Premisas Presupuesto 2014'!D61</f>
        <v>2679.0853116851663</v>
      </c>
      <c r="C12" s="135">
        <f>'Premisas Presupuesto 2014'!E61</f>
        <v>2615.8452851093389</v>
      </c>
      <c r="D12" s="135">
        <f>'Premisas Presupuesto 2014'!F61</f>
        <v>2704.6520369981595</v>
      </c>
      <c r="E12" s="135">
        <f>'Premisas Presupuesto 2014'!G61</f>
        <v>2854.7637592163583</v>
      </c>
      <c r="F12" s="135">
        <f>'Premisas Presupuesto 2014'!H61</f>
        <v>2753.2429230193748</v>
      </c>
      <c r="G12" s="135">
        <f>'Premisas Presupuesto 2014'!I61</f>
        <v>2766.6283489775028</v>
      </c>
      <c r="H12" s="135">
        <f>'Premisas Presupuesto 2014'!J61</f>
        <v>2986.4329821521828</v>
      </c>
      <c r="I12" s="135">
        <f>'Premisas Presupuesto 2014'!K61</f>
        <v>2924.7509493381021</v>
      </c>
      <c r="J12" s="135">
        <f>'Premisas Presupuesto 2014'!L61</f>
        <v>2588.3584851465375</v>
      </c>
      <c r="K12" s="135">
        <f>'Premisas Presupuesto 2014'!M61</f>
        <v>3342.3899041705931</v>
      </c>
      <c r="L12" s="135">
        <f>'Premisas Presupuesto 2014'!N61</f>
        <v>2971.0132481516384</v>
      </c>
      <c r="M12" s="135">
        <f>'Premisas Presupuesto 2014'!O61</f>
        <v>2971.0132481516384</v>
      </c>
      <c r="N12" s="139">
        <f t="shared" ref="N12:N23" si="0">SUM(B12:M12)</f>
        <v>34158.176482116593</v>
      </c>
      <c r="P12" s="176"/>
    </row>
    <row r="13" spans="1:16" ht="12.75" x14ac:dyDescent="0.2">
      <c r="A13" s="199" t="s">
        <v>161</v>
      </c>
      <c r="B13" s="135">
        <f>'Premisas Presupuesto 2014'!D62</f>
        <v>24840.626893928929</v>
      </c>
      <c r="C13" s="135">
        <f>'Premisas Presupuesto 2014'!E62</f>
        <v>24254.261876704393</v>
      </c>
      <c r="D13" s="135">
        <f>'Premisas Presupuesto 2014'!F62</f>
        <v>25077.682982299684</v>
      </c>
      <c r="E13" s="135">
        <f>'Premisas Presupuesto 2014'!G62</f>
        <v>26469.527156788434</v>
      </c>
      <c r="F13" s="135">
        <f>'Premisas Presupuesto 2014'!H62</f>
        <v>25528.220359677638</v>
      </c>
      <c r="G13" s="135">
        <f>'Premisas Presupuesto 2014'!I62</f>
        <v>25652.330768029296</v>
      </c>
      <c r="H13" s="135">
        <f>'Premisas Presupuesto 2014'!J62</f>
        <v>27690.37145991555</v>
      </c>
      <c r="I13" s="135">
        <f>'Premisas Presupuesto 2014'!K62</f>
        <v>27118.452246850298</v>
      </c>
      <c r="J13" s="135">
        <f>'Premisas Presupuesto 2014'!L62</f>
        <v>23999.402750193589</v>
      </c>
      <c r="K13" s="135">
        <f>'Premisas Presupuesto 2014'!M62</f>
        <v>30990.823689489705</v>
      </c>
      <c r="L13" s="135">
        <f>'Premisas Presupuesto 2014'!N62</f>
        <v>27547.398835101965</v>
      </c>
      <c r="M13" s="135">
        <f>'Premisas Presupuesto 2014'!O62</f>
        <v>27547.398835101965</v>
      </c>
      <c r="N13" s="139">
        <f t="shared" si="0"/>
        <v>316716.49785408145</v>
      </c>
      <c r="P13" s="176"/>
    </row>
    <row r="14" spans="1:16" ht="12.75" x14ac:dyDescent="0.2">
      <c r="A14" s="199" t="s">
        <v>101</v>
      </c>
      <c r="B14" s="135">
        <f>'Premisas Presupuesto 2014'!D63</f>
        <v>4837.3540747506831</v>
      </c>
      <c r="C14" s="135">
        <f>'Premisas Presupuesto 2014'!E63</f>
        <v>4723.1679385684438</v>
      </c>
      <c r="D14" s="135">
        <f>'Premisas Presupuesto 2014'!F63</f>
        <v>4883.5173314157146</v>
      </c>
      <c r="E14" s="135">
        <f>'Premisas Presupuesto 2014'!G63</f>
        <v>5154.5589245941328</v>
      </c>
      <c r="F14" s="135">
        <f>'Premisas Presupuesto 2014'!H63</f>
        <v>4971.2529923389657</v>
      </c>
      <c r="G14" s="135">
        <f>'Premisas Presupuesto 2014'!I63</f>
        <v>4995.4217056376465</v>
      </c>
      <c r="H14" s="135">
        <f>'Premisas Presupuesto 2014'!J63</f>
        <v>5392.3007573419791</v>
      </c>
      <c r="I14" s="135">
        <f>'Premisas Presupuesto 2014'!K63</f>
        <v>5280.9277333211739</v>
      </c>
      <c r="J14" s="135">
        <f>'Premisas Presupuesto 2014'!L63</f>
        <v>4673.5377968099938</v>
      </c>
      <c r="K14" s="135">
        <f>'Premisas Presupuesto 2014'!M63</f>
        <v>6035.016261641611</v>
      </c>
      <c r="L14" s="135">
        <f>'Premisas Presupuesto 2014'!N63</f>
        <v>5364.4588992369881</v>
      </c>
      <c r="M14" s="135">
        <f>'Premisas Presupuesto 2014'!O63</f>
        <v>5364.4588992369881</v>
      </c>
      <c r="N14" s="139">
        <f t="shared" si="0"/>
        <v>61675.973314894327</v>
      </c>
      <c r="P14" s="176"/>
    </row>
    <row r="15" spans="1:16" ht="12.75" x14ac:dyDescent="0.2">
      <c r="A15" s="199" t="s">
        <v>39</v>
      </c>
      <c r="B15" s="135">
        <f>'Premisas Presupuesto 2014'!D64</f>
        <v>4198.2021032969506</v>
      </c>
      <c r="C15" s="135">
        <f>'Premisas Presupuesto 2014'!E64</f>
        <v>4099.1032013600816</v>
      </c>
      <c r="D15" s="135">
        <f>'Premisas Presupuesto 2014'!F64</f>
        <v>4238.265881600415</v>
      </c>
      <c r="E15" s="135">
        <f>'Premisas Presupuesto 2014'!G64</f>
        <v>4473.4951761649727</v>
      </c>
      <c r="F15" s="135">
        <f>'Premisas Presupuesto 2014'!H64</f>
        <v>4314.4091678950253</v>
      </c>
      <c r="G15" s="135">
        <f>'Premisas Presupuesto 2014'!I64</f>
        <v>4335.3845071893129</v>
      </c>
      <c r="H15" s="135">
        <f>'Premisas Presupuesto 2014'!J64</f>
        <v>4679.8245551726741</v>
      </c>
      <c r="I15" s="135">
        <f>'Premisas Presupuesto 2014'!K64</f>
        <v>4583.1670733201008</v>
      </c>
      <c r="J15" s="135">
        <f>'Premisas Presupuesto 2014'!L64</f>
        <v>4056.0306120276614</v>
      </c>
      <c r="K15" s="135">
        <f>'Premisas Presupuesto 2014'!M64</f>
        <v>5237.6190726458117</v>
      </c>
      <c r="L15" s="135">
        <f>'Premisas Presupuesto 2014'!N64</f>
        <v>4655.6613979073882</v>
      </c>
      <c r="M15" s="135">
        <f>'Premisas Presupuesto 2014'!O64</f>
        <v>4655.6613979073882</v>
      </c>
      <c r="N15" s="139">
        <f t="shared" si="0"/>
        <v>53526.824146487779</v>
      </c>
      <c r="P15" s="176"/>
    </row>
    <row r="16" spans="1:16" ht="12.75" x14ac:dyDescent="0.2">
      <c r="A16" s="199" t="s">
        <v>44</v>
      </c>
      <c r="B16" s="220">
        <f>'Premisas Presupuesto 2014'!D65</f>
        <v>810.5044398079217</v>
      </c>
      <c r="C16" s="220">
        <f>'Premisas Presupuesto 2014'!E65</f>
        <v>791.37241661712665</v>
      </c>
      <c r="D16" s="220">
        <f>'Premisas Presupuesto 2014'!F65</f>
        <v>818.23914847402853</v>
      </c>
      <c r="E16" s="220">
        <f>'Premisas Presupuesto 2014'!G65</f>
        <v>863.65249040621745</v>
      </c>
      <c r="F16" s="220">
        <f>'Premisas Presupuesto 2014'!H65</f>
        <v>832.93936301464839</v>
      </c>
      <c r="G16" s="220">
        <f>'Premisas Presupuesto 2014'!I65</f>
        <v>836.98885972924131</v>
      </c>
      <c r="H16" s="220">
        <f>'Premisas Presupuesto 2014'!J65</f>
        <v>903.48641779556897</v>
      </c>
      <c r="I16" s="220">
        <f>'Premisas Presupuesto 2014'!K65</f>
        <v>884.82573489975471</v>
      </c>
      <c r="J16" s="220">
        <f>'Premisas Presupuesto 2014'!L65</f>
        <v>783.05682722219638</v>
      </c>
      <c r="K16" s="220">
        <f>'Premisas Presupuesto 2014'!M65</f>
        <v>1011.1741664528939</v>
      </c>
      <c r="L16" s="220">
        <f>'Premisas Presupuesto 2014'!N65</f>
        <v>898.8214812914614</v>
      </c>
      <c r="M16" s="220">
        <f>'Premisas Presupuesto 2014'!O65</f>
        <v>898.8214812914614</v>
      </c>
      <c r="N16" s="139">
        <f t="shared" si="0"/>
        <v>10333.882827002521</v>
      </c>
      <c r="P16" s="176"/>
    </row>
    <row r="17" spans="1:18" ht="12.75" x14ac:dyDescent="0.2">
      <c r="A17" s="199" t="s">
        <v>45</v>
      </c>
      <c r="B17" s="220">
        <f>'Premisas Presupuesto 2014'!D66</f>
        <v>0</v>
      </c>
      <c r="C17" s="220">
        <f>'Premisas Presupuesto 2014'!E66</f>
        <v>0</v>
      </c>
      <c r="D17" s="220">
        <f>'Premisas Presupuesto 2014'!F66</f>
        <v>0</v>
      </c>
      <c r="E17" s="220">
        <f>'Premisas Presupuesto 2014'!G66</f>
        <v>0</v>
      </c>
      <c r="F17" s="220">
        <f>'Premisas Presupuesto 2014'!H66</f>
        <v>0</v>
      </c>
      <c r="G17" s="220">
        <f>'Premisas Presupuesto 2014'!I66</f>
        <v>0</v>
      </c>
      <c r="H17" s="220">
        <f>'Premisas Presupuesto 2014'!J66</f>
        <v>0</v>
      </c>
      <c r="I17" s="220">
        <f>'Premisas Presupuesto 2014'!K66</f>
        <v>0</v>
      </c>
      <c r="J17" s="220">
        <f>'Premisas Presupuesto 2014'!L66</f>
        <v>0</v>
      </c>
      <c r="K17" s="220">
        <f>'Premisas Presupuesto 2014'!M66</f>
        <v>0</v>
      </c>
      <c r="L17" s="220">
        <f>'Premisas Presupuesto 2014'!N66</f>
        <v>0</v>
      </c>
      <c r="M17" s="220">
        <f>'Premisas Presupuesto 2014'!O66</f>
        <v>0</v>
      </c>
      <c r="N17" s="139">
        <f t="shared" si="0"/>
        <v>0</v>
      </c>
      <c r="P17" s="176"/>
    </row>
    <row r="18" spans="1:18" ht="12.75" x14ac:dyDescent="0.2">
      <c r="A18" s="199" t="s">
        <v>154</v>
      </c>
      <c r="B18" s="220">
        <f>'Premisas Presupuesto 2014'!D67</f>
        <v>0</v>
      </c>
      <c r="C18" s="220">
        <f>'Premisas Presupuesto 2014'!E67</f>
        <v>0</v>
      </c>
      <c r="D18" s="220">
        <f>'Premisas Presupuesto 2014'!F67</f>
        <v>0</v>
      </c>
      <c r="E18" s="220">
        <f>'Premisas Presupuesto 2014'!G67</f>
        <v>0</v>
      </c>
      <c r="F18" s="220">
        <f>'Premisas Presupuesto 2014'!H67</f>
        <v>0</v>
      </c>
      <c r="G18" s="220">
        <f>'Premisas Presupuesto 2014'!I67</f>
        <v>0</v>
      </c>
      <c r="H18" s="220">
        <f>'Premisas Presupuesto 2014'!J67</f>
        <v>0</v>
      </c>
      <c r="I18" s="220">
        <f>'Premisas Presupuesto 2014'!K67</f>
        <v>0</v>
      </c>
      <c r="J18" s="220">
        <f>'Premisas Presupuesto 2014'!L67</f>
        <v>0</v>
      </c>
      <c r="K18" s="220">
        <f>'Premisas Presupuesto 2014'!M67</f>
        <v>0</v>
      </c>
      <c r="L18" s="220">
        <f>'Premisas Presupuesto 2014'!N67</f>
        <v>0</v>
      </c>
      <c r="M18" s="220">
        <f>'Premisas Presupuesto 2014'!O67</f>
        <v>0</v>
      </c>
      <c r="N18" s="139">
        <f t="shared" si="0"/>
        <v>0</v>
      </c>
      <c r="P18" s="176"/>
    </row>
    <row r="19" spans="1:18" ht="12.75" x14ac:dyDescent="0.2">
      <c r="A19" s="199" t="s">
        <v>41</v>
      </c>
      <c r="B19" s="220">
        <f>'Premisas Presupuesto 2014'!D68</f>
        <v>7245.9435796629114</v>
      </c>
      <c r="C19" s="220">
        <f>'Premisas Presupuesto 2014'!E68</f>
        <v>7074.9024924134001</v>
      </c>
      <c r="D19" s="220">
        <f>'Premisas Presupuesto 2014'!F68</f>
        <v>7315.0921985317009</v>
      </c>
      <c r="E19" s="220">
        <f>'Premisas Presupuesto 2014'!G68</f>
        <v>7721.0893741703239</v>
      </c>
      <c r="F19" s="220">
        <f>'Premisas Presupuesto 2014'!H68</f>
        <v>7446.5127311515043</v>
      </c>
      <c r="G19" s="220">
        <f>'Premisas Presupuesto 2014'!I68</f>
        <v>7482.7154010923668</v>
      </c>
      <c r="H19" s="220">
        <f>'Premisas Presupuesto 2014'!J68</f>
        <v>8077.2063505166007</v>
      </c>
      <c r="I19" s="220">
        <f>'Premisas Presupuesto 2014'!K68</f>
        <v>7910.3790652112984</v>
      </c>
      <c r="J19" s="220">
        <f>'Premisas Presupuesto 2014'!L68</f>
        <v>7000.5607755418823</v>
      </c>
      <c r="K19" s="220">
        <f>'Premisas Presupuesto 2014'!M68</f>
        <v>9039.9393260161778</v>
      </c>
      <c r="L19" s="220">
        <f>'Premisas Presupuesto 2014'!N68</f>
        <v>8035.5016231254913</v>
      </c>
      <c r="M19" s="220">
        <f>'Premisas Presupuesto 2014'!O68</f>
        <v>8035.5016231254913</v>
      </c>
      <c r="N19" s="139">
        <f t="shared" si="0"/>
        <v>92385.344540559134</v>
      </c>
      <c r="P19" s="176"/>
    </row>
    <row r="20" spans="1:18" ht="12.75" x14ac:dyDescent="0.2">
      <c r="A20" s="199" t="s">
        <v>102</v>
      </c>
      <c r="B20" s="220">
        <f>'Premisas Presupuesto 2014'!D69</f>
        <v>21077.043552557716</v>
      </c>
      <c r="C20" s="220">
        <f>'Premisas Presupuesto 2014'!E69</f>
        <v>20579.267124637317</v>
      </c>
      <c r="D20" s="220">
        <f>'Premisas Presupuesto 2014'!F69</f>
        <v>21278.24217219841</v>
      </c>
      <c r="E20" s="220">
        <f>'Premisas Presupuesto 2014'!G69</f>
        <v>22459.068372109592</v>
      </c>
      <c r="F20" s="220">
        <f>'Premisas Presupuesto 2014'!H69</f>
        <v>21661.028365314516</v>
      </c>
      <c r="G20" s="220">
        <f>'Premisas Presupuesto 2014'!I69</f>
        <v>21765.271447482108</v>
      </c>
      <c r="H20" s="220">
        <f>'Premisas Presupuesto 2014'!J69</f>
        <v>23494.645795273431</v>
      </c>
      <c r="I20" s="220">
        <f>'Premisas Presupuesto 2014'!K69</f>
        <v>23008.886323590643</v>
      </c>
      <c r="J20" s="220">
        <f>'Premisas Presupuesto 2014'!L69</f>
        <v>20363.258783926995</v>
      </c>
      <c r="K20" s="220">
        <f>'Premisas Presupuesto 2014'!M69</f>
        <v>26295.175886211873</v>
      </c>
      <c r="L20" s="220">
        <f>'Premisas Presupuesto 2014'!N69</f>
        <v>23373.711898854999</v>
      </c>
      <c r="M20" s="220">
        <f>'Premisas Presupuesto 2014'!O69</f>
        <v>23370.711898854999</v>
      </c>
      <c r="N20" s="139">
        <f t="shared" si="0"/>
        <v>268726.31162101257</v>
      </c>
      <c r="P20" s="176"/>
    </row>
    <row r="21" spans="1:18" ht="12.75" x14ac:dyDescent="0.2">
      <c r="A21" s="199" t="s">
        <v>153</v>
      </c>
      <c r="B21" s="220">
        <f>'Premisas Presupuesto 2014'!D70</f>
        <v>1208.704089347478</v>
      </c>
      <c r="C21" s="220">
        <f>'Premisas Presupuesto 2014'!E70</f>
        <v>1180.1725310580687</v>
      </c>
      <c r="D21" s="220">
        <f>'Premisas Presupuesto 2014'!F70</f>
        <v>1220.2388491038221</v>
      </c>
      <c r="E21" s="220">
        <f>'Premisas Presupuesto 2014'!G70</f>
        <v>1287.9636997133764</v>
      </c>
      <c r="F21" s="220">
        <f>'Premisas Presupuesto 2014'!H70</f>
        <v>1242.1612576149257</v>
      </c>
      <c r="G21" s="220">
        <f>'Premisas Presupuesto 2014'!I70</f>
        <v>1248.2002661611191</v>
      </c>
      <c r="H21" s="220">
        <f>'Premisas Presupuesto 2014'!J70</f>
        <v>1347.3679775501394</v>
      </c>
      <c r="I21" s="220">
        <f>'Premisas Presupuesto 2014'!K70</f>
        <v>1319.5393283554076</v>
      </c>
      <c r="J21" s="220">
        <f>'Premisas Presupuesto 2014'!L70</f>
        <v>1167.7715047177703</v>
      </c>
      <c r="K21" s="220">
        <f>'Premisas Presupuesto 2014'!M70</f>
        <v>1507.9625601110677</v>
      </c>
      <c r="L21" s="220">
        <f>'Premisas Presupuesto 2014'!N70</f>
        <v>1340.4111645431713</v>
      </c>
      <c r="M21" s="220">
        <f>'Premisas Presupuesto 2014'!O70</f>
        <v>1340.4111645431713</v>
      </c>
      <c r="N21" s="139">
        <f t="shared" si="0"/>
        <v>15410.904392819515</v>
      </c>
      <c r="P21" s="176"/>
    </row>
    <row r="22" spans="1:18" ht="12.75" x14ac:dyDescent="0.2">
      <c r="A22" s="199" t="s">
        <v>37</v>
      </c>
      <c r="B22" s="135">
        <f>'Premisas Presupuesto 2014'!D71</f>
        <v>9324.4542264868123</v>
      </c>
      <c r="C22" s="135">
        <f>'Premisas Presupuesto 2014'!E71</f>
        <v>9104.3497264486268</v>
      </c>
      <c r="D22" s="135">
        <f>'Premisas Presupuesto 2014'!F71</f>
        <v>9413.4382386279631</v>
      </c>
      <c r="E22" s="135">
        <f>'Premisas Presupuesto 2014'!G71</f>
        <v>9935.896361397583</v>
      </c>
      <c r="F22" s="135">
        <f>'Premisas Presupuesto 2014'!H71</f>
        <v>9582.5569637962417</v>
      </c>
      <c r="G22" s="135">
        <f>'Premisas Presupuesto 2014'!I71</f>
        <v>9629.1444282208395</v>
      </c>
      <c r="H22" s="135">
        <f>'Premisas Presupuesto 2014'!J71</f>
        <v>10394.166068953078</v>
      </c>
      <c r="I22" s="135">
        <f>'Premisas Presupuesto 2014'!K71</f>
        <v>10179.484106768836</v>
      </c>
      <c r="J22" s="135">
        <f>'Premisas Presupuesto 2014'!L71</f>
        <v>9008.6829677351743</v>
      </c>
      <c r="K22" s="135">
        <f>'Premisas Presupuesto 2014'!M71</f>
        <v>11633.060557114808</v>
      </c>
      <c r="L22" s="135">
        <f>'Premisas Presupuesto 2014'!N71</f>
        <v>10340.498272990941</v>
      </c>
      <c r="M22" s="135">
        <f>'Premisas Presupuesto 2014'!O71</f>
        <v>10340.498272990941</v>
      </c>
      <c r="N22" s="139">
        <f t="shared" si="0"/>
        <v>118886.23019153184</v>
      </c>
      <c r="P22" s="176"/>
    </row>
    <row r="23" spans="1:18" ht="12.75" x14ac:dyDescent="0.2">
      <c r="A23" s="136" t="s">
        <v>19</v>
      </c>
      <c r="B23" s="138">
        <f t="shared" ref="B23:M23" si="1">SUM(B11:B22)</f>
        <v>94118.479844267436</v>
      </c>
      <c r="C23" s="138">
        <f t="shared" si="1"/>
        <v>91896.554374852407</v>
      </c>
      <c r="D23" s="138">
        <f t="shared" si="1"/>
        <v>95016.718729849526</v>
      </c>
      <c r="E23" s="138">
        <f t="shared" si="1"/>
        <v>100290.12673266814</v>
      </c>
      <c r="F23" s="138">
        <f t="shared" si="1"/>
        <v>96724.266060730166</v>
      </c>
      <c r="G23" s="138">
        <f t="shared" si="1"/>
        <v>97193.443672266309</v>
      </c>
      <c r="H23" s="138">
        <f t="shared" si="1"/>
        <v>104915.47754479384</v>
      </c>
      <c r="I23" s="138">
        <f t="shared" si="1"/>
        <v>102748.04550729833</v>
      </c>
      <c r="J23" s="138">
        <f t="shared" si="1"/>
        <v>90931.157674021873</v>
      </c>
      <c r="K23" s="138">
        <f t="shared" si="1"/>
        <v>117420.66494126871</v>
      </c>
      <c r="L23" s="138">
        <f t="shared" si="1"/>
        <v>104374.14661446109</v>
      </c>
      <c r="M23" s="138">
        <f t="shared" si="1"/>
        <v>104371.14661446109</v>
      </c>
      <c r="N23" s="139">
        <f t="shared" si="0"/>
        <v>1200000.2283109389</v>
      </c>
      <c r="P23" s="176"/>
    </row>
    <row r="24" spans="1:18" ht="12.75" x14ac:dyDescent="0.2">
      <c r="A24" s="14"/>
      <c r="D24"/>
      <c r="H24"/>
      <c r="I24"/>
      <c r="J24"/>
      <c r="K24"/>
      <c r="L24"/>
      <c r="M24"/>
      <c r="N24"/>
    </row>
    <row r="25" spans="1:18" ht="12.75" x14ac:dyDescent="0.2">
      <c r="A25" s="14"/>
      <c r="D25"/>
      <c r="H25"/>
      <c r="I25"/>
      <c r="J25"/>
      <c r="K25"/>
      <c r="L25"/>
      <c r="M25"/>
      <c r="N25"/>
    </row>
    <row r="26" spans="1:18" ht="12.75" x14ac:dyDescent="0.2">
      <c r="A26" s="14"/>
      <c r="C26" s="14">
        <v>1.0429200000000001</v>
      </c>
      <c r="D26"/>
      <c r="H26" s="144">
        <v>1.0126999999999999</v>
      </c>
      <c r="I26"/>
      <c r="J26"/>
      <c r="K26"/>
      <c r="L26"/>
      <c r="M26"/>
      <c r="N26"/>
    </row>
    <row r="27" spans="1:18" ht="12.75" x14ac:dyDescent="0.2">
      <c r="A27" s="137" t="s">
        <v>114</v>
      </c>
      <c r="B27" s="137" t="s">
        <v>5</v>
      </c>
      <c r="C27" s="137" t="s">
        <v>6</v>
      </c>
      <c r="D27" s="137" t="s">
        <v>7</v>
      </c>
      <c r="E27" s="137" t="s">
        <v>8</v>
      </c>
      <c r="F27" s="137" t="s">
        <v>9</v>
      </c>
      <c r="G27" s="137" t="s">
        <v>10</v>
      </c>
      <c r="H27" s="137" t="s">
        <v>11</v>
      </c>
      <c r="I27" s="137" t="s">
        <v>12</v>
      </c>
      <c r="J27" s="137" t="s">
        <v>13</v>
      </c>
      <c r="K27" s="137" t="s">
        <v>14</v>
      </c>
      <c r="L27" s="137" t="s">
        <v>15</v>
      </c>
      <c r="M27" s="137" t="s">
        <v>16</v>
      </c>
      <c r="N27" s="140" t="s">
        <v>20</v>
      </c>
      <c r="P27" s="177"/>
    </row>
    <row r="28" spans="1:18" ht="12.75" x14ac:dyDescent="0.2">
      <c r="A28" s="228" t="s">
        <v>100</v>
      </c>
      <c r="B28" s="227">
        <f>B11*'Información Op. 2013'!$N$67</f>
        <v>5828047.6634224709</v>
      </c>
      <c r="C28" s="227">
        <f>(C11*'Información Op. 2013'!$N$67)*$C$26</f>
        <v>5934711.3598075649</v>
      </c>
      <c r="D28" s="227">
        <f>(D11*'Información Op. 2013'!$N$67)*$C$26</f>
        <v>6136192.0980845485</v>
      </c>
      <c r="E28" s="227">
        <f>(E11*'Información Op. 2013'!$N$67)*$C$26</f>
        <v>6476758.7776813442</v>
      </c>
      <c r="F28" s="227">
        <f>(F11*'Información Op. 2013'!$N$67)*$C$26</f>
        <v>6246432.9005107395</v>
      </c>
      <c r="G28" s="227">
        <f>(G11*'Información Op. 2013'!$N$67)*$C$26</f>
        <v>6276801.1489472073</v>
      </c>
      <c r="H28" s="227">
        <f>((H11*'Información Op. 2013'!$N$67)*$C$26)*$H$26</f>
        <v>6861532.5959873181</v>
      </c>
      <c r="I28" s="227">
        <f>((I11*'Información Op. 2013'!$N$67)*$C$26)*$H$26</f>
        <v>6719813.9365464589</v>
      </c>
      <c r="J28" s="227">
        <f>((J11*'Información Op. 2013'!$N$67)*$C$26)*$H$26</f>
        <v>5946929.4044343317</v>
      </c>
      <c r="K28" s="227">
        <f>((K11*'Información Op. 2013'!$N$67)*$C$26)*$H$26</f>
        <v>7679367.7986498959</v>
      </c>
      <c r="L28" s="227">
        <f>((L11*'Información Op. 2013'!$N$67)*$C$26)*$H$26</f>
        <v>6826104.7099110195</v>
      </c>
      <c r="M28" s="227">
        <f>((M11*'Información Op. 2013'!$N$67)*$C$26)*$H$26</f>
        <v>6826104.7099110195</v>
      </c>
      <c r="N28" s="139">
        <f>SUM(B28:M28)</f>
        <v>77758797.103893921</v>
      </c>
      <c r="P28" s="176"/>
      <c r="R28" s="172"/>
    </row>
    <row r="29" spans="1:18" ht="12.75" x14ac:dyDescent="0.2">
      <c r="A29" s="199" t="s">
        <v>152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9">
        <f t="shared" ref="N29:N40" si="2">SUM(B29:M29)</f>
        <v>0</v>
      </c>
      <c r="P29" s="176"/>
      <c r="R29" s="172"/>
    </row>
    <row r="30" spans="1:18" ht="12.75" x14ac:dyDescent="0.2">
      <c r="A30" s="199" t="s">
        <v>161</v>
      </c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9">
        <f t="shared" si="2"/>
        <v>0</v>
      </c>
      <c r="P30" s="176"/>
      <c r="R30" s="172"/>
    </row>
    <row r="31" spans="1:18" ht="12.75" x14ac:dyDescent="0.2">
      <c r="A31" s="199" t="s">
        <v>101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9">
        <f t="shared" si="2"/>
        <v>0</v>
      </c>
      <c r="P31" s="176"/>
      <c r="R31" s="172"/>
    </row>
    <row r="32" spans="1:18" ht="12.75" x14ac:dyDescent="0.2">
      <c r="A32" s="199" t="s">
        <v>39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9">
        <f t="shared" si="2"/>
        <v>0</v>
      </c>
      <c r="P32" s="176"/>
      <c r="R32" s="172"/>
    </row>
    <row r="33" spans="1:18" ht="12.75" x14ac:dyDescent="0.2">
      <c r="A33" s="199" t="s">
        <v>44</v>
      </c>
      <c r="B33" s="224">
        <f>'Vol e Ingresos 2014'!B16*'Información Op. 2013'!O8</f>
        <v>140690.87285496347</v>
      </c>
      <c r="C33" s="224">
        <f>(C16*'Información Op. 2013'!O8)*$C$26</f>
        <v>143265.76747028017</v>
      </c>
      <c r="D33" s="224">
        <f>(D16*'Información Op. 2013'!O8)*$C$26</f>
        <v>148129.57479799943</v>
      </c>
      <c r="E33" s="224">
        <f>(E16*'Información Op. 2013'!O8)*$C$26</f>
        <v>156350.95975998385</v>
      </c>
      <c r="F33" s="224">
        <f>(F16*'Información Op. 2013'!O8)*$C$26</f>
        <v>150790.82185932909</v>
      </c>
      <c r="G33" s="224">
        <f>(G16*'Información Op. 2013'!O8)*$C$26</f>
        <v>151523.92076763388</v>
      </c>
      <c r="H33" s="224">
        <f>((H16*'Información Op. 2013'!O8)*$C$26)*$H$26</f>
        <v>165639.51872098158</v>
      </c>
      <c r="I33" s="224">
        <f>((I16*'Información Op. 2013'!O8)*$C$26)*$H$26</f>
        <v>162218.38645713506</v>
      </c>
      <c r="J33" s="224">
        <f>((J16*'Información Op. 2013'!O8)*$C$26)*$H$26</f>
        <v>143560.7148458669</v>
      </c>
      <c r="K33" s="224">
        <f>((K16*'Información Op. 2013'!O8)*$C$26)*$H$26</f>
        <v>185382.31341984044</v>
      </c>
      <c r="L33" s="224">
        <f>((L16*'Información Op. 2013'!O8)*$C$26)*$H$26</f>
        <v>164784.27859541372</v>
      </c>
      <c r="M33" s="224">
        <f>((M16*'Información Op. 2013'!O8)*$C$26)*$H$26</f>
        <v>164784.27859541372</v>
      </c>
      <c r="N33" s="139">
        <f t="shared" si="2"/>
        <v>1877121.4081448414</v>
      </c>
      <c r="P33" s="176"/>
      <c r="R33" s="172"/>
    </row>
    <row r="34" spans="1:18" ht="12.75" x14ac:dyDescent="0.2">
      <c r="A34" s="199" t="s">
        <v>45</v>
      </c>
      <c r="B34" s="224">
        <f>'Vol e Ingresos 2014'!B17*'Información Op. 2013'!O9</f>
        <v>0</v>
      </c>
      <c r="C34" s="224">
        <f>(C17*'Información Op. 2013'!O9)*$C$26</f>
        <v>0</v>
      </c>
      <c r="D34" s="224">
        <f>(D17*'Información Op. 2013'!O9)*$C$26</f>
        <v>0</v>
      </c>
      <c r="E34" s="224">
        <f>(E17*'Información Op. 2013'!O9)*$C$26</f>
        <v>0</v>
      </c>
      <c r="F34" s="224">
        <f>(F17*'Información Op. 2013'!O9)*$C$26</f>
        <v>0</v>
      </c>
      <c r="G34" s="224">
        <f>(G17*'Información Op. 2013'!O9)*$C$26</f>
        <v>0</v>
      </c>
      <c r="H34" s="224">
        <f>((H17*'Información Op. 2013'!O9)*$C$26)*$H$26</f>
        <v>0</v>
      </c>
      <c r="I34" s="224">
        <f>((I17*'Información Op. 2013'!O9)*$C$26)*$H$26</f>
        <v>0</v>
      </c>
      <c r="J34" s="224">
        <f>((J17*'Información Op. 2013'!O9)*$C$26)*$H$26</f>
        <v>0</v>
      </c>
      <c r="K34" s="224">
        <f>((K17*'Información Op. 2013'!O9)*$C$26)*$H$26</f>
        <v>0</v>
      </c>
      <c r="L34" s="224">
        <f>((L17*'Información Op. 2013'!O9)*$C$26)*$H$26</f>
        <v>0</v>
      </c>
      <c r="M34" s="224">
        <f>((M17*'Información Op. 2013'!O9)*$C$26)*$H$26</f>
        <v>0</v>
      </c>
      <c r="N34" s="139">
        <f t="shared" si="2"/>
        <v>0</v>
      </c>
      <c r="P34" s="176"/>
      <c r="R34" s="172"/>
    </row>
    <row r="35" spans="1:18" ht="12.75" x14ac:dyDescent="0.2">
      <c r="A35" s="199" t="s">
        <v>154</v>
      </c>
      <c r="B35" s="224">
        <f>'Vol e Ingresos 2014'!B18*'Información Op. 2013'!O10</f>
        <v>0</v>
      </c>
      <c r="C35" s="224">
        <f>(C18*'Información Op. 2013'!O10)*$C$26</f>
        <v>0</v>
      </c>
      <c r="D35" s="224">
        <f>(D18*'Información Op. 2013'!O10)*$C$26</f>
        <v>0</v>
      </c>
      <c r="E35" s="224">
        <f>(E18*'Información Op. 2013'!O10)*$C$26</f>
        <v>0</v>
      </c>
      <c r="F35" s="224">
        <f>(F18*'Información Op. 2013'!O10)*$C$26</f>
        <v>0</v>
      </c>
      <c r="G35" s="224">
        <f>(G18*'Información Op. 2013'!O10)*$C$26</f>
        <v>0</v>
      </c>
      <c r="H35" s="224">
        <f>((H18*'Información Op. 2013'!O10)*$C$26)*$H$26</f>
        <v>0</v>
      </c>
      <c r="I35" s="224">
        <f>((I18*'Información Op. 2013'!O10)*$C$26)*$H$26</f>
        <v>0</v>
      </c>
      <c r="J35" s="224">
        <f>((J18*'Información Op. 2013'!O10)*$C$26)*$H$26</f>
        <v>0</v>
      </c>
      <c r="K35" s="224">
        <f>((K18*'Información Op. 2013'!O10)*$C$26)*$H$26</f>
        <v>0</v>
      </c>
      <c r="L35" s="224">
        <f>((L18*'Información Op. 2013'!O10)*$C$26)*$H$26</f>
        <v>0</v>
      </c>
      <c r="M35" s="224">
        <f>((M18*'Información Op. 2013'!O10)*$C$26)*$H$26</f>
        <v>0</v>
      </c>
      <c r="N35" s="139">
        <f t="shared" si="2"/>
        <v>0</v>
      </c>
      <c r="P35" s="176"/>
      <c r="R35" s="172"/>
    </row>
    <row r="36" spans="1:18" ht="12.75" x14ac:dyDescent="0.2">
      <c r="A36" s="199" t="s">
        <v>41</v>
      </c>
      <c r="B36" s="224">
        <f>'Vol e Ingresos 2014'!B19*'Información Op. 2013'!O11</f>
        <v>891417.29345306417</v>
      </c>
      <c r="C36" s="224">
        <f>(C19*'Información Op. 2013'!O11)*$C$26</f>
        <v>907731.82432727877</v>
      </c>
      <c r="D36" s="224">
        <f>(D19*'Información Op. 2013'!O11)*$C$26</f>
        <v>938548.90489527176</v>
      </c>
      <c r="E36" s="224">
        <f>(E19*'Información Op. 2013'!O11)*$C$26</f>
        <v>990639.59551741974</v>
      </c>
      <c r="F36" s="224">
        <f>(F19*'Información Op. 2013'!O11)*$C$26</f>
        <v>955410.56482019078</v>
      </c>
      <c r="G36" s="224">
        <f>(G19*'Información Op. 2013'!O11)*$C$26</f>
        <v>960055.47910221468</v>
      </c>
      <c r="H36" s="224">
        <f>((H19*'Información Op. 2013'!O11)*$C$26)*$H$26</f>
        <v>1049491.9000135865</v>
      </c>
      <c r="I36" s="224">
        <f>((I19*'Información Op. 2013'!O11)*$C$26)*$H$26</f>
        <v>1027815.6078611678</v>
      </c>
      <c r="J36" s="224">
        <f>((J19*'Información Op. 2013'!O11)*$C$26)*$H$26</f>
        <v>909600.61073766381</v>
      </c>
      <c r="K36" s="224">
        <f>((K19*'Información Op. 2013'!O11)*$C$26)*$H$26</f>
        <v>1174582.2364265176</v>
      </c>
      <c r="L36" s="224">
        <f>((L19*'Información Op. 2013'!O11)*$C$26)*$H$26</f>
        <v>1044073.0990457934</v>
      </c>
      <c r="M36" s="224">
        <f>((M19*'Información Op. 2013'!O11)*$C$26)*$H$26</f>
        <v>1044073.0990457934</v>
      </c>
      <c r="N36" s="139">
        <f t="shared" si="2"/>
        <v>11893440.21524596</v>
      </c>
      <c r="P36" s="176"/>
      <c r="R36" s="172"/>
    </row>
    <row r="37" spans="1:18" ht="12.75" x14ac:dyDescent="0.2">
      <c r="A37" s="199" t="s">
        <v>102</v>
      </c>
      <c r="B37" s="224">
        <f>'Vol e Ingresos 2014'!B20*'Información Op. 2013'!O12</f>
        <v>5557786.7577764634</v>
      </c>
      <c r="C37" s="224">
        <f>(C20*'Información Op. 2013'!O12)*$C$26</f>
        <v>5659435.141635227</v>
      </c>
      <c r="D37" s="224">
        <f>(D20*'Información Op. 2013'!O12)*$C$26</f>
        <v>5851657.9221324753</v>
      </c>
      <c r="E37" s="224">
        <f>(E20*'Información Op. 2013'!O12)*$C$26</f>
        <v>6176392.9698611833</v>
      </c>
      <c r="F37" s="224">
        <f>(F20*'Información Op. 2013'!O12)*$C$26</f>
        <v>5956926.667609835</v>
      </c>
      <c r="G37" s="224">
        <f>(G20*'Información Op. 2013'!O12)*$C$26</f>
        <v>5985594.2075624783</v>
      </c>
      <c r="H37" s="224">
        <f>((H20*'Información Op. 2013'!O12)*$C$26)*$H$26</f>
        <v>6543240.6714970525</v>
      </c>
      <c r="I37" s="224">
        <f>((I20*'Información Op. 2013'!O12)*$C$26)*$H$26</f>
        <v>6407957.0345622431</v>
      </c>
      <c r="J37" s="224">
        <f>((J20*'Información Op. 2013'!O12)*$C$26)*$H$26</f>
        <v>5671151.8122148411</v>
      </c>
      <c r="K37" s="224">
        <f>((K20*'Información Op. 2013'!O12)*$C$26)*$H$26</f>
        <v>7323186.1344955303</v>
      </c>
      <c r="L37" s="224">
        <f>((L20*'Información Op. 2013'!O12)*$C$26)*$H$26</f>
        <v>6509560.6749351602</v>
      </c>
      <c r="M37" s="224">
        <f>((M20*'Información Op. 2013'!O12)*$C$26)*$H$26</f>
        <v>6508725.177256857</v>
      </c>
      <c r="N37" s="139">
        <f t="shared" si="2"/>
        <v>74151615.171539351</v>
      </c>
      <c r="P37" s="176"/>
      <c r="R37" s="172"/>
    </row>
    <row r="38" spans="1:18" ht="12.75" x14ac:dyDescent="0.2">
      <c r="A38" s="199" t="s">
        <v>153</v>
      </c>
      <c r="B38" s="224">
        <f>'Vol e Ingresos 2014'!B21*'Información Op. 2013'!O13</f>
        <v>168565.49610228365</v>
      </c>
      <c r="C38" s="224">
        <f>(C21*'Información Op. 2013'!O13)*$C$26</f>
        <v>171650.54618004814</v>
      </c>
      <c r="D38" s="224">
        <f>(D21*'Información Op. 2013'!O13)*$C$26</f>
        <v>177478.00377204214</v>
      </c>
      <c r="E38" s="224">
        <f>(E21*'Información Op. 2013'!O13)*$C$26</f>
        <v>187328.26489163446</v>
      </c>
      <c r="F38" s="224">
        <f>(F21*'Información Op. 2013'!O13)*$C$26</f>
        <v>180666.51502398544</v>
      </c>
      <c r="G38" s="224">
        <f>(G21*'Información Op. 2013'!O13)*$C$26</f>
        <v>181544.86042523853</v>
      </c>
      <c r="H38" s="224">
        <f>((H21*'Información Op. 2013'!O13)*$C$26)*$H$26</f>
        <v>198457.13571007049</v>
      </c>
      <c r="I38" s="224">
        <f>((I21*'Información Op. 2013'!O13)*$C$26)*$H$26</f>
        <v>194358.18568165385</v>
      </c>
      <c r="J38" s="224">
        <f>((J21*'Información Op. 2013'!O13)*$C$26)*$H$26</f>
        <v>172003.93051608175</v>
      </c>
      <c r="K38" s="224">
        <f>((K21*'Información Op. 2013'!O13)*$C$26)*$H$26</f>
        <v>222111.50585737516</v>
      </c>
      <c r="L38" s="224">
        <f>((L21*'Información Op. 2013'!O13)*$C$26)*$H$26</f>
        <v>197432.44965100012</v>
      </c>
      <c r="M38" s="224">
        <f>((M21*'Información Op. 2013'!O13)*$C$26)*$H$26</f>
        <v>197432.44965100012</v>
      </c>
      <c r="N38" s="139">
        <f t="shared" si="2"/>
        <v>2249029.3434624141</v>
      </c>
      <c r="P38" s="176"/>
      <c r="R38" s="172"/>
    </row>
    <row r="39" spans="1:18" ht="12.75" x14ac:dyDescent="0.2">
      <c r="A39" s="199" t="s">
        <v>37</v>
      </c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9">
        <f t="shared" si="2"/>
        <v>0</v>
      </c>
      <c r="P39" s="176"/>
      <c r="R39" s="172"/>
    </row>
    <row r="40" spans="1:18" ht="12.75" x14ac:dyDescent="0.2">
      <c r="A40" s="136" t="s">
        <v>19</v>
      </c>
      <c r="B40" s="138">
        <f t="shared" ref="B40:M40" si="3">SUM(B28:B39)</f>
        <v>12586508.083609244</v>
      </c>
      <c r="C40" s="138">
        <f t="shared" si="3"/>
        <v>12816794.639420399</v>
      </c>
      <c r="D40" s="138">
        <f t="shared" si="3"/>
        <v>13252006.503682338</v>
      </c>
      <c r="E40" s="138">
        <f t="shared" si="3"/>
        <v>13987470.567711566</v>
      </c>
      <c r="F40" s="138">
        <f t="shared" si="3"/>
        <v>13490227.469824081</v>
      </c>
      <c r="G40" s="138">
        <f t="shared" si="3"/>
        <v>13555519.616804773</v>
      </c>
      <c r="H40" s="138">
        <f t="shared" si="3"/>
        <v>14818361.82192901</v>
      </c>
      <c r="I40" s="138">
        <f t="shared" si="3"/>
        <v>14512163.151108658</v>
      </c>
      <c r="J40" s="138">
        <f t="shared" si="3"/>
        <v>12843246.472748784</v>
      </c>
      <c r="K40" s="138">
        <f t="shared" si="3"/>
        <v>16584629.988849159</v>
      </c>
      <c r="L40" s="138">
        <f t="shared" si="3"/>
        <v>14741955.212138388</v>
      </c>
      <c r="M40" s="138">
        <f t="shared" si="3"/>
        <v>14741119.714460084</v>
      </c>
      <c r="N40" s="139">
        <f t="shared" si="2"/>
        <v>167930003.24228647</v>
      </c>
      <c r="P40" s="176">
        <f>N40*0.16</f>
        <v>26868800.518765837</v>
      </c>
    </row>
    <row r="41" spans="1:18" ht="12.75" x14ac:dyDescent="0.2">
      <c r="A41" s="14"/>
      <c r="D41"/>
      <c r="H41"/>
      <c r="I41"/>
      <c r="J41"/>
      <c r="K41"/>
      <c r="L41"/>
      <c r="M41"/>
      <c r="N41"/>
      <c r="P41" s="176">
        <f>P40/12</f>
        <v>2239066.7098971531</v>
      </c>
    </row>
    <row r="42" spans="1:18" ht="12.75" x14ac:dyDescent="0.2">
      <c r="A42" s="14"/>
      <c r="D42"/>
      <c r="H42"/>
      <c r="I42"/>
      <c r="J42"/>
      <c r="K42"/>
      <c r="L42"/>
      <c r="M42"/>
      <c r="N42"/>
    </row>
    <row r="43" spans="1:18" ht="12.75" x14ac:dyDescent="0.2">
      <c r="A43" s="137" t="s">
        <v>115</v>
      </c>
      <c r="B43" s="137" t="s">
        <v>5</v>
      </c>
      <c r="C43" s="137" t="s">
        <v>6</v>
      </c>
      <c r="D43" s="137" t="s">
        <v>7</v>
      </c>
      <c r="E43" s="137" t="s">
        <v>8</v>
      </c>
      <c r="F43" s="137" t="s">
        <v>9</v>
      </c>
      <c r="G43" s="137" t="s">
        <v>10</v>
      </c>
      <c r="H43" s="137" t="s">
        <v>11</v>
      </c>
      <c r="I43" s="137" t="s">
        <v>12</v>
      </c>
      <c r="J43" s="137" t="s">
        <v>13</v>
      </c>
      <c r="K43" s="137" t="s">
        <v>14</v>
      </c>
      <c r="L43" s="137" t="s">
        <v>15</v>
      </c>
      <c r="M43" s="137" t="s">
        <v>16</v>
      </c>
      <c r="N43" s="140" t="s">
        <v>20</v>
      </c>
    </row>
    <row r="44" spans="1:18" ht="12.75" x14ac:dyDescent="0.2">
      <c r="A44" s="228" t="s">
        <v>100</v>
      </c>
      <c r="B44" s="223">
        <f>B11/'Información Op. 2013'!$N$129</f>
        <v>525.63571579846723</v>
      </c>
      <c r="C44" s="229">
        <f>C11/'Información Op. 2013'!$N$129</f>
        <v>513.22804199602683</v>
      </c>
      <c r="D44" s="229">
        <f>D11/'Información Op. 2013'!$N$129</f>
        <v>530.65189945708505</v>
      </c>
      <c r="E44" s="229">
        <f>E11/'Información Op. 2013'!$N$129</f>
        <v>560.10377327900233</v>
      </c>
      <c r="F44" s="229">
        <f>F11/'Información Op. 2013'!$N$129</f>
        <v>540.1854163793131</v>
      </c>
      <c r="G44" s="229">
        <f>G11/'Información Op. 2013'!$N$129</f>
        <v>542.81163284359673</v>
      </c>
      <c r="H44" s="229">
        <f>H11/'Información Op. 2013'!$N$129</f>
        <v>585.93723440270446</v>
      </c>
      <c r="I44" s="229">
        <f>I11/'Información Op. 2013'!$N$129</f>
        <v>573.83523849808728</v>
      </c>
      <c r="J44" s="229">
        <f>J11/'Información Op. 2013'!$N$129</f>
        <v>507.83514028048995</v>
      </c>
      <c r="K44" s="229">
        <f>K11/'Información Op. 2013'!$N$129</f>
        <v>655.77587324055344</v>
      </c>
      <c r="L44" s="229">
        <f>L11/'Información Op. 2013'!$N$129</f>
        <v>582.9118873249364</v>
      </c>
      <c r="M44" s="229">
        <f>M11/'Información Op. 2013'!$N$129</f>
        <v>582.9118873249364</v>
      </c>
      <c r="N44" s="139">
        <f>SUM(B44:M44)</f>
        <v>6701.8237408251998</v>
      </c>
      <c r="P44" s="176"/>
    </row>
    <row r="45" spans="1:18" ht="12.75" x14ac:dyDescent="0.2">
      <c r="A45" s="199" t="s">
        <v>152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39">
        <f t="shared" ref="N45:N56" si="4">SUM(B45:M45)</f>
        <v>0</v>
      </c>
      <c r="P45" s="176"/>
    </row>
    <row r="46" spans="1:18" ht="12.75" x14ac:dyDescent="0.2">
      <c r="A46" s="199" t="s">
        <v>161</v>
      </c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39">
        <f t="shared" si="4"/>
        <v>0</v>
      </c>
      <c r="P46" s="176"/>
    </row>
    <row r="47" spans="1:18" ht="12.75" x14ac:dyDescent="0.2">
      <c r="A47" s="199" t="s">
        <v>101</v>
      </c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39">
        <f t="shared" si="4"/>
        <v>0</v>
      </c>
      <c r="P47" s="176"/>
    </row>
    <row r="48" spans="1:18" ht="12.75" x14ac:dyDescent="0.2">
      <c r="A48" s="199" t="s">
        <v>39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39">
        <f t="shared" si="4"/>
        <v>0</v>
      </c>
      <c r="P48" s="176"/>
    </row>
    <row r="49" spans="1:16" ht="12.75" x14ac:dyDescent="0.2">
      <c r="A49" s="199" t="s">
        <v>44</v>
      </c>
      <c r="B49" s="226">
        <f>B16/'Información Op. 2013'!$N$134</f>
        <v>29.365755171196014</v>
      </c>
      <c r="C49" s="226">
        <f>C16/'Información Op. 2013'!$N$134</f>
        <v>28.672574133120914</v>
      </c>
      <c r="D49" s="226">
        <f>D16/'Información Op. 2013'!$N$134</f>
        <v>29.645994920485048</v>
      </c>
      <c r="E49" s="226">
        <f>E16/'Información Op. 2013'!$N$134</f>
        <v>31.291386376949511</v>
      </c>
      <c r="F49" s="226">
        <f>F16/'Información Op. 2013'!$N$134</f>
        <v>30.178605082702298</v>
      </c>
      <c r="G49" s="226">
        <f>G16/'Información Op. 2013'!$N$134</f>
        <v>30.32532424085457</v>
      </c>
      <c r="H49" s="226">
        <f>H16/'Información Op. 2013'!$N$134</f>
        <v>32.734627526251678</v>
      </c>
      <c r="I49" s="226">
        <f>I16/'Información Op. 2013'!$N$134</f>
        <v>32.058523832883054</v>
      </c>
      <c r="J49" s="226">
        <f>J16/'Información Op. 2013'!$N$134</f>
        <v>28.371288229821499</v>
      </c>
      <c r="K49" s="226">
        <f>K16/'Información Op. 2013'!$N$134</f>
        <v>36.636311350164753</v>
      </c>
      <c r="L49" s="226">
        <f>L16/'Información Op. 2013'!$N$134</f>
        <v>32.565610089035339</v>
      </c>
      <c r="M49" s="226">
        <f>M16/'Información Op. 2013'!$N$134</f>
        <v>32.565610089035339</v>
      </c>
      <c r="N49" s="139">
        <f t="shared" si="4"/>
        <v>374.4116110425</v>
      </c>
      <c r="P49" s="176"/>
    </row>
    <row r="50" spans="1:16" ht="12.75" x14ac:dyDescent="0.2">
      <c r="A50" s="199" t="s">
        <v>45</v>
      </c>
      <c r="B50" s="226">
        <f>B17/'Información Op. 2013'!N135</f>
        <v>0</v>
      </c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139">
        <f t="shared" si="4"/>
        <v>0</v>
      </c>
      <c r="P50" s="176"/>
    </row>
    <row r="51" spans="1:16" ht="12.75" x14ac:dyDescent="0.2">
      <c r="A51" s="199" t="s">
        <v>154</v>
      </c>
      <c r="B51" s="226">
        <f>B18/'Información Op. 2013'!N136</f>
        <v>0</v>
      </c>
      <c r="C51" s="22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139">
        <f t="shared" si="4"/>
        <v>0</v>
      </c>
      <c r="P51" s="176"/>
    </row>
    <row r="52" spans="1:16" ht="12.75" x14ac:dyDescent="0.2">
      <c r="A52" s="199" t="s">
        <v>41</v>
      </c>
      <c r="B52" s="226">
        <f>B19/'Información Op. 2013'!$N$137</f>
        <v>268.53937690709171</v>
      </c>
      <c r="C52" s="226">
        <f>C19/'Información Op. 2013'!$N$137</f>
        <v>262.20048308456597</v>
      </c>
      <c r="D52" s="226">
        <f>D19/'Información Op. 2013'!$N$137</f>
        <v>271.1020696497082</v>
      </c>
      <c r="E52" s="226">
        <f>E19/'Información Op. 2013'!$N$137</f>
        <v>286.14858876393885</v>
      </c>
      <c r="F52" s="226">
        <f>F19/'Información Op. 2013'!$N$137</f>
        <v>275.97259997533376</v>
      </c>
      <c r="G52" s="226">
        <f>G19/'Información Op. 2013'!$N$137</f>
        <v>277.31429444499241</v>
      </c>
      <c r="H52" s="226">
        <f>H19/'Información Op. 2013'!$N$137</f>
        <v>299.346515284161</v>
      </c>
      <c r="I52" s="226">
        <f>I19/'Información Op. 2013'!$N$137</f>
        <v>293.16378769948506</v>
      </c>
      <c r="J52" s="226">
        <f>J19/'Información Op. 2013'!$N$137</f>
        <v>259.44533075590135</v>
      </c>
      <c r="K52" s="226">
        <f>K19/'Información Op. 2013'!$N$137</f>
        <v>335.0260248644156</v>
      </c>
      <c r="L52" s="226">
        <f>L19/'Información Op. 2013'!$N$137</f>
        <v>297.8009109905916</v>
      </c>
      <c r="M52" s="226">
        <f>M19/'Información Op. 2013'!$N$137</f>
        <v>297.8009109905916</v>
      </c>
      <c r="N52" s="139">
        <f t="shared" si="4"/>
        <v>3423.860893410777</v>
      </c>
      <c r="P52" s="176"/>
    </row>
    <row r="53" spans="1:16" ht="12.75" x14ac:dyDescent="0.2">
      <c r="A53" s="199" t="s">
        <v>102</v>
      </c>
      <c r="B53" s="226">
        <f>B20/'Información Op. 2013'!$N$138</f>
        <v>645.10637488958082</v>
      </c>
      <c r="C53" s="226">
        <f>C20/'Información Op. 2013'!$N$138</f>
        <v>629.87090099019485</v>
      </c>
      <c r="D53" s="226">
        <f>D20/'Información Op. 2013'!$N$138</f>
        <v>651.26447347800661</v>
      </c>
      <c r="E53" s="226">
        <f>E20/'Información Op. 2013'!$N$138</f>
        <v>687.40609397140372</v>
      </c>
      <c r="F53" s="226">
        <f>F20/'Información Op. 2013'!$N$138</f>
        <v>662.98043415262168</v>
      </c>
      <c r="G53" s="226">
        <f>G20/'Información Op. 2013'!$N$138</f>
        <v>666.17100861230631</v>
      </c>
      <c r="H53" s="226">
        <f>H20/'Información Op. 2013'!$N$138</f>
        <v>719.10207617634853</v>
      </c>
      <c r="I53" s="226">
        <f>I20/'Información Op. 2013'!$N$138</f>
        <v>704.23440599935475</v>
      </c>
      <c r="J53" s="226">
        <f>J20/'Información Op. 2013'!$N$138</f>
        <v>623.25952035352873</v>
      </c>
      <c r="K53" s="226">
        <f>K20/'Información Op. 2013'!$N$138</f>
        <v>804.81807378433609</v>
      </c>
      <c r="L53" s="226">
        <f>L20/'Información Op. 2013'!$N$138</f>
        <v>715.40064493314651</v>
      </c>
      <c r="M53" s="226">
        <f>M20/'Información Op. 2013'!$N$138</f>
        <v>715.30882374770169</v>
      </c>
      <c r="N53" s="139">
        <f t="shared" si="4"/>
        <v>8224.9228310885301</v>
      </c>
      <c r="P53" s="176"/>
    </row>
    <row r="54" spans="1:16" ht="12.75" x14ac:dyDescent="0.2">
      <c r="A54" s="199" t="s">
        <v>153</v>
      </c>
      <c r="B54" s="226">
        <f>B21/'Información Op. 2013'!$N$139</f>
        <v>47.505089507220234</v>
      </c>
      <c r="C54" s="226">
        <f>C21/'Información Op. 2013'!$N$139</f>
        <v>46.38372800752466</v>
      </c>
      <c r="D54" s="226">
        <f>D21/'Información Op. 2013'!$N$139</f>
        <v>47.958434374254836</v>
      </c>
      <c r="E54" s="226">
        <f>E21/'Información Op. 2013'!$N$139</f>
        <v>50.620190149240962</v>
      </c>
      <c r="F54" s="226">
        <f>F21/'Información Op. 2013'!$N$139</f>
        <v>48.820039780997554</v>
      </c>
      <c r="G54" s="226">
        <f>G21/'Información Op. 2013'!$N$139</f>
        <v>49.057387899573591</v>
      </c>
      <c r="H54" s="226">
        <f>H21/'Información Op. 2013'!$N$139</f>
        <v>52.954926633230741</v>
      </c>
      <c r="I54" s="226">
        <f>I21/'Información Op. 2013'!$N$139</f>
        <v>51.861191216504842</v>
      </c>
      <c r="J54" s="226">
        <f>J21/'Información Op. 2013'!$N$139</f>
        <v>45.896336700198731</v>
      </c>
      <c r="K54" s="226">
        <f>K21/'Información Op. 2013'!$N$139</f>
        <v>59.266694820471791</v>
      </c>
      <c r="L54" s="226">
        <f>L21/'Información Op. 2013'!$N$139</f>
        <v>52.681506507086034</v>
      </c>
      <c r="M54" s="226">
        <f>M21/'Información Op. 2013'!$N$139</f>
        <v>52.681506507086034</v>
      </c>
      <c r="N54" s="139">
        <f t="shared" si="4"/>
        <v>605.68703210339004</v>
      </c>
      <c r="P54" s="176"/>
    </row>
    <row r="55" spans="1:16" ht="12.75" x14ac:dyDescent="0.2">
      <c r="A55" s="199" t="s">
        <v>37</v>
      </c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39">
        <f t="shared" si="4"/>
        <v>0</v>
      </c>
      <c r="P55" s="176"/>
    </row>
    <row r="56" spans="1:16" ht="12.75" x14ac:dyDescent="0.2">
      <c r="A56" s="136" t="s">
        <v>19</v>
      </c>
      <c r="B56" s="138">
        <f t="shared" ref="B56:M56" si="5">SUM(B44:B55)</f>
        <v>1516.1523122735559</v>
      </c>
      <c r="C56" s="138">
        <f t="shared" si="5"/>
        <v>1480.3557282114332</v>
      </c>
      <c r="D56" s="138">
        <f t="shared" si="5"/>
        <v>1530.6228718795396</v>
      </c>
      <c r="E56" s="138">
        <f t="shared" si="5"/>
        <v>1615.5700325405353</v>
      </c>
      <c r="F56" s="138">
        <f t="shared" si="5"/>
        <v>1558.1370953709686</v>
      </c>
      <c r="G56" s="138">
        <f t="shared" si="5"/>
        <v>1565.6796480413234</v>
      </c>
      <c r="H56" s="138">
        <f t="shared" si="5"/>
        <v>1690.0753800226964</v>
      </c>
      <c r="I56" s="138">
        <f t="shared" si="5"/>
        <v>1655.153147246315</v>
      </c>
      <c r="J56" s="138">
        <f t="shared" si="5"/>
        <v>1464.8076163199403</v>
      </c>
      <c r="K56" s="138">
        <f t="shared" si="5"/>
        <v>1891.5229780599416</v>
      </c>
      <c r="L56" s="138">
        <f t="shared" si="5"/>
        <v>1681.3605598447957</v>
      </c>
      <c r="M56" s="138">
        <f t="shared" si="5"/>
        <v>1681.2687386593511</v>
      </c>
      <c r="N56" s="139">
        <f t="shared" si="4"/>
        <v>19330.706108470393</v>
      </c>
      <c r="P56" s="176"/>
    </row>
    <row r="57" spans="1:16" ht="12.75" x14ac:dyDescent="0.2">
      <c r="A57" s="14"/>
      <c r="D57"/>
      <c r="H57"/>
      <c r="I57"/>
      <c r="J57"/>
      <c r="K57"/>
      <c r="L57"/>
      <c r="M57"/>
      <c r="N57"/>
    </row>
    <row r="58" spans="1:16" ht="12.75" x14ac:dyDescent="0.2">
      <c r="A58" s="14"/>
      <c r="D58"/>
      <c r="H58"/>
      <c r="I58"/>
      <c r="J58"/>
      <c r="K58"/>
      <c r="L58"/>
      <c r="M58"/>
      <c r="N58"/>
    </row>
    <row r="59" spans="1:16" ht="27.75" customHeight="1" x14ac:dyDescent="0.2">
      <c r="A59" s="146" t="s">
        <v>116</v>
      </c>
      <c r="B59" s="137" t="s">
        <v>5</v>
      </c>
      <c r="C59" s="137" t="s">
        <v>6</v>
      </c>
      <c r="D59" s="137" t="s">
        <v>7</v>
      </c>
      <c r="E59" s="137" t="s">
        <v>8</v>
      </c>
      <c r="F59" s="137" t="s">
        <v>9</v>
      </c>
      <c r="G59" s="137" t="s">
        <v>10</v>
      </c>
      <c r="H59" s="137" t="s">
        <v>11</v>
      </c>
      <c r="I59" s="137" t="s">
        <v>12</v>
      </c>
      <c r="J59" s="137" t="s">
        <v>13</v>
      </c>
      <c r="K59" s="137" t="s">
        <v>14</v>
      </c>
      <c r="L59" s="137" t="s">
        <v>15</v>
      </c>
      <c r="M59" s="137" t="s">
        <v>16</v>
      </c>
      <c r="N59" s="142"/>
    </row>
    <row r="60" spans="1:16" ht="15.75" customHeight="1" x14ac:dyDescent="0.2">
      <c r="A60" s="228" t="s">
        <v>100</v>
      </c>
      <c r="B60" s="147">
        <f>B44/B8</f>
        <v>20.216758299941048</v>
      </c>
      <c r="C60" s="227">
        <f>C44/C8</f>
        <v>22.314262695479428</v>
      </c>
      <c r="D60" s="227">
        <f t="shared" ref="D60:M60" si="6">D44/D8</f>
        <v>21.226075978283401</v>
      </c>
      <c r="E60" s="227">
        <f t="shared" si="6"/>
        <v>22.404150931160093</v>
      </c>
      <c r="F60" s="227">
        <f t="shared" si="6"/>
        <v>20.776362168435121</v>
      </c>
      <c r="G60" s="227">
        <f t="shared" si="6"/>
        <v>21.71246531374387</v>
      </c>
      <c r="H60" s="227">
        <f t="shared" si="6"/>
        <v>21.701379051952017</v>
      </c>
      <c r="I60" s="227">
        <f t="shared" si="6"/>
        <v>22.07058609608028</v>
      </c>
      <c r="J60" s="227">
        <f t="shared" si="6"/>
        <v>20.313405611219597</v>
      </c>
      <c r="K60" s="227">
        <f t="shared" si="6"/>
        <v>24.287995305205683</v>
      </c>
      <c r="L60" s="227">
        <f t="shared" si="6"/>
        <v>24.287995305205683</v>
      </c>
      <c r="M60" s="227">
        <f t="shared" si="6"/>
        <v>22.419687974036016</v>
      </c>
      <c r="N60" s="143"/>
    </row>
    <row r="61" spans="1:16" ht="15.75" customHeight="1" x14ac:dyDescent="0.2">
      <c r="A61" s="199" t="s">
        <v>152</v>
      </c>
      <c r="B61" s="147">
        <f>B45/'Premisas Presupuesto 2014'!D$56</f>
        <v>0</v>
      </c>
      <c r="C61" s="147">
        <f>C45/'Premisas Presupuesto 2014'!E$56</f>
        <v>0</v>
      </c>
      <c r="D61" s="147">
        <f>D45/'Premisas Presupuesto 2014'!F$56</f>
        <v>0</v>
      </c>
      <c r="E61" s="147">
        <f>E45/'Premisas Presupuesto 2014'!G$56</f>
        <v>0</v>
      </c>
      <c r="F61" s="147">
        <f>F45/'Premisas Presupuesto 2014'!H$56</f>
        <v>0</v>
      </c>
      <c r="G61" s="147">
        <f>G45/'Premisas Presupuesto 2014'!I$56</f>
        <v>0</v>
      </c>
      <c r="H61" s="147">
        <f>H45/'Premisas Presupuesto 2014'!J$56</f>
        <v>0</v>
      </c>
      <c r="I61" s="147">
        <f>I45/'Premisas Presupuesto 2014'!K$56</f>
        <v>0</v>
      </c>
      <c r="J61" s="147">
        <f>J45/'Premisas Presupuesto 2014'!L$56</f>
        <v>0</v>
      </c>
      <c r="K61" s="147">
        <f>K45/'Premisas Presupuesto 2014'!M$56</f>
        <v>0</v>
      </c>
      <c r="L61" s="147">
        <f>L45/'Premisas Presupuesto 2014'!N$56</f>
        <v>0</v>
      </c>
      <c r="M61" s="147">
        <f>M45/'Premisas Presupuesto 2014'!O$56</f>
        <v>0</v>
      </c>
      <c r="N61" s="143"/>
    </row>
    <row r="62" spans="1:16" ht="15.75" customHeight="1" x14ac:dyDescent="0.2">
      <c r="A62" s="199" t="s">
        <v>161</v>
      </c>
      <c r="B62" s="147">
        <f>B46/'Premisas Presupuesto 2014'!D$56</f>
        <v>0</v>
      </c>
      <c r="C62" s="147">
        <f>C46/'Premisas Presupuesto 2014'!E$56</f>
        <v>0</v>
      </c>
      <c r="D62" s="147">
        <f>D46/'Premisas Presupuesto 2014'!F$56</f>
        <v>0</v>
      </c>
      <c r="E62" s="147">
        <f>E46/'Premisas Presupuesto 2014'!G$56</f>
        <v>0</v>
      </c>
      <c r="F62" s="147">
        <f>F46/'Premisas Presupuesto 2014'!H$56</f>
        <v>0</v>
      </c>
      <c r="G62" s="147">
        <f>G46/'Premisas Presupuesto 2014'!I$56</f>
        <v>0</v>
      </c>
      <c r="H62" s="147">
        <f>H46/'Premisas Presupuesto 2014'!J$56</f>
        <v>0</v>
      </c>
      <c r="I62" s="147">
        <f>I46/'Premisas Presupuesto 2014'!K$56</f>
        <v>0</v>
      </c>
      <c r="J62" s="147">
        <f>J46/'Premisas Presupuesto 2014'!L$56</f>
        <v>0</v>
      </c>
      <c r="K62" s="147">
        <f>K46/'Premisas Presupuesto 2014'!M$56</f>
        <v>0</v>
      </c>
      <c r="L62" s="147">
        <f>L46/'Premisas Presupuesto 2014'!N$56</f>
        <v>0</v>
      </c>
      <c r="M62" s="147">
        <f>M46/'Premisas Presupuesto 2014'!O$56</f>
        <v>0</v>
      </c>
      <c r="N62" s="143"/>
    </row>
    <row r="63" spans="1:16" ht="15.75" customHeight="1" x14ac:dyDescent="0.2">
      <c r="A63" s="199" t="s">
        <v>101</v>
      </c>
      <c r="B63" s="147">
        <f>B47/'Premisas Presupuesto 2014'!D$56</f>
        <v>0</v>
      </c>
      <c r="C63" s="147">
        <f>C47/'Premisas Presupuesto 2014'!E$56</f>
        <v>0</v>
      </c>
      <c r="D63" s="147">
        <f>D47/'Premisas Presupuesto 2014'!F$56</f>
        <v>0</v>
      </c>
      <c r="E63" s="147">
        <f>E47/'Premisas Presupuesto 2014'!G$56</f>
        <v>0</v>
      </c>
      <c r="F63" s="147">
        <f>F47/'Premisas Presupuesto 2014'!H$56</f>
        <v>0</v>
      </c>
      <c r="G63" s="147">
        <f>G47/'Premisas Presupuesto 2014'!I$56</f>
        <v>0</v>
      </c>
      <c r="H63" s="147">
        <f>H47/'Premisas Presupuesto 2014'!J$56</f>
        <v>0</v>
      </c>
      <c r="I63" s="147">
        <f>I47/'Premisas Presupuesto 2014'!K$56</f>
        <v>0</v>
      </c>
      <c r="J63" s="147">
        <f>J47/'Premisas Presupuesto 2014'!L$56</f>
        <v>0</v>
      </c>
      <c r="K63" s="147">
        <f>K47/'Premisas Presupuesto 2014'!M$56</f>
        <v>0</v>
      </c>
      <c r="L63" s="147">
        <f>L47/'Premisas Presupuesto 2014'!N$56</f>
        <v>0</v>
      </c>
      <c r="M63" s="147">
        <f>M47/'Premisas Presupuesto 2014'!O$56</f>
        <v>0</v>
      </c>
      <c r="N63" s="143"/>
    </row>
    <row r="64" spans="1:16" ht="15.75" customHeight="1" x14ac:dyDescent="0.2">
      <c r="A64" s="199" t="s">
        <v>39</v>
      </c>
      <c r="B64" s="147">
        <f>B48/'Premisas Presupuesto 2014'!D$56</f>
        <v>0</v>
      </c>
      <c r="C64" s="147">
        <f>C48/'Premisas Presupuesto 2014'!E$56</f>
        <v>0</v>
      </c>
      <c r="D64" s="147">
        <f>D48/'Premisas Presupuesto 2014'!F$56</f>
        <v>0</v>
      </c>
      <c r="E64" s="147">
        <f>E48/'Premisas Presupuesto 2014'!G$56</f>
        <v>0</v>
      </c>
      <c r="F64" s="147">
        <f>F48/'Premisas Presupuesto 2014'!H$56</f>
        <v>0</v>
      </c>
      <c r="G64" s="147">
        <f>G48/'Premisas Presupuesto 2014'!I$56</f>
        <v>0</v>
      </c>
      <c r="H64" s="147">
        <f>H48/'Premisas Presupuesto 2014'!J$56</f>
        <v>0</v>
      </c>
      <c r="I64" s="147">
        <f>I48/'Premisas Presupuesto 2014'!K$56</f>
        <v>0</v>
      </c>
      <c r="J64" s="147">
        <f>J48/'Premisas Presupuesto 2014'!L$56</f>
        <v>0</v>
      </c>
      <c r="K64" s="147">
        <f>K48/'Premisas Presupuesto 2014'!M$56</f>
        <v>0</v>
      </c>
      <c r="L64" s="147">
        <f>L48/'Premisas Presupuesto 2014'!N$56</f>
        <v>0</v>
      </c>
      <c r="M64" s="147">
        <f>M48/'Premisas Presupuesto 2014'!O$56</f>
        <v>0</v>
      </c>
      <c r="N64" s="143"/>
    </row>
    <row r="65" spans="1:14" ht="15.75" customHeight="1" x14ac:dyDescent="0.2">
      <c r="A65" s="199" t="s">
        <v>44</v>
      </c>
      <c r="B65" s="225">
        <f>B49/B$8</f>
        <v>1.1294521219690774</v>
      </c>
      <c r="C65" s="225">
        <f t="shared" ref="C65:M65" si="7">C49/C$8</f>
        <v>1.2466336579617789</v>
      </c>
      <c r="D65" s="225">
        <f t="shared" si="7"/>
        <v>1.1858397968194019</v>
      </c>
      <c r="E65" s="225">
        <f t="shared" si="7"/>
        <v>1.2516554550779804</v>
      </c>
      <c r="F65" s="225">
        <f t="shared" si="7"/>
        <v>1.1607155801039346</v>
      </c>
      <c r="G65" s="225">
        <f t="shared" si="7"/>
        <v>1.2130129696341827</v>
      </c>
      <c r="H65" s="225">
        <f t="shared" si="7"/>
        <v>1.2123936120833956</v>
      </c>
      <c r="I65" s="225">
        <f t="shared" si="7"/>
        <v>1.2330201474185789</v>
      </c>
      <c r="J65" s="225">
        <f t="shared" si="7"/>
        <v>1.13485152919286</v>
      </c>
      <c r="K65" s="225">
        <f t="shared" si="7"/>
        <v>1.3569004203764723</v>
      </c>
      <c r="L65" s="225">
        <f t="shared" si="7"/>
        <v>1.3569004203764725</v>
      </c>
      <c r="M65" s="225">
        <f t="shared" si="7"/>
        <v>1.2525234649628976</v>
      </c>
      <c r="N65" s="143"/>
    </row>
    <row r="66" spans="1:14" ht="15.75" customHeight="1" x14ac:dyDescent="0.2">
      <c r="A66" s="199" t="s">
        <v>45</v>
      </c>
      <c r="B66" s="225">
        <f t="shared" ref="B66:M66" si="8">B50/B$8</f>
        <v>0</v>
      </c>
      <c r="C66" s="225">
        <f t="shared" si="8"/>
        <v>0</v>
      </c>
      <c r="D66" s="225">
        <f t="shared" si="8"/>
        <v>0</v>
      </c>
      <c r="E66" s="225">
        <f t="shared" si="8"/>
        <v>0</v>
      </c>
      <c r="F66" s="225">
        <f t="shared" si="8"/>
        <v>0</v>
      </c>
      <c r="G66" s="225">
        <f t="shared" si="8"/>
        <v>0</v>
      </c>
      <c r="H66" s="225">
        <f t="shared" si="8"/>
        <v>0</v>
      </c>
      <c r="I66" s="225">
        <f t="shared" si="8"/>
        <v>0</v>
      </c>
      <c r="J66" s="225">
        <f t="shared" si="8"/>
        <v>0</v>
      </c>
      <c r="K66" s="225">
        <f t="shared" si="8"/>
        <v>0</v>
      </c>
      <c r="L66" s="225">
        <f t="shared" si="8"/>
        <v>0</v>
      </c>
      <c r="M66" s="225">
        <f t="shared" si="8"/>
        <v>0</v>
      </c>
      <c r="N66" s="143"/>
    </row>
    <row r="67" spans="1:14" ht="15.75" customHeight="1" x14ac:dyDescent="0.2">
      <c r="A67" s="199" t="s">
        <v>154</v>
      </c>
      <c r="B67" s="225">
        <f t="shared" ref="B67:M67" si="9">B51/B$8</f>
        <v>0</v>
      </c>
      <c r="C67" s="225">
        <f t="shared" si="9"/>
        <v>0</v>
      </c>
      <c r="D67" s="225">
        <f t="shared" si="9"/>
        <v>0</v>
      </c>
      <c r="E67" s="225">
        <f t="shared" si="9"/>
        <v>0</v>
      </c>
      <c r="F67" s="225">
        <f t="shared" si="9"/>
        <v>0</v>
      </c>
      <c r="G67" s="225">
        <f t="shared" si="9"/>
        <v>0</v>
      </c>
      <c r="H67" s="225">
        <f t="shared" si="9"/>
        <v>0</v>
      </c>
      <c r="I67" s="225">
        <f t="shared" si="9"/>
        <v>0</v>
      </c>
      <c r="J67" s="225">
        <f t="shared" si="9"/>
        <v>0</v>
      </c>
      <c r="K67" s="225">
        <f t="shared" si="9"/>
        <v>0</v>
      </c>
      <c r="L67" s="225">
        <f t="shared" si="9"/>
        <v>0</v>
      </c>
      <c r="M67" s="225">
        <f t="shared" si="9"/>
        <v>0</v>
      </c>
      <c r="N67" s="143"/>
    </row>
    <row r="68" spans="1:14" ht="12.75" x14ac:dyDescent="0.2">
      <c r="A68" s="199" t="s">
        <v>41</v>
      </c>
      <c r="B68" s="225">
        <f>B52/B$8</f>
        <v>10.328437573349682</v>
      </c>
      <c r="C68" s="225">
        <f t="shared" ref="C68:M68" si="10">C52/C$8</f>
        <v>11.400021003676782</v>
      </c>
      <c r="D68" s="225">
        <f t="shared" si="10"/>
        <v>10.844082785988327</v>
      </c>
      <c r="E68" s="225">
        <f t="shared" si="10"/>
        <v>11.445943550557553</v>
      </c>
      <c r="F68" s="225">
        <f t="shared" si="10"/>
        <v>10.614330768282068</v>
      </c>
      <c r="G68" s="225">
        <f t="shared" si="10"/>
        <v>11.092571777799696</v>
      </c>
      <c r="H68" s="225">
        <f t="shared" si="10"/>
        <v>11.086907973487444</v>
      </c>
      <c r="I68" s="225">
        <f t="shared" si="10"/>
        <v>11.27553029613404</v>
      </c>
      <c r="J68" s="225">
        <f t="shared" si="10"/>
        <v>10.377813230236054</v>
      </c>
      <c r="K68" s="225">
        <f t="shared" si="10"/>
        <v>12.408371291274651</v>
      </c>
      <c r="L68" s="225">
        <f t="shared" si="10"/>
        <v>12.40837129127465</v>
      </c>
      <c r="M68" s="225">
        <f t="shared" si="10"/>
        <v>11.453881191945831</v>
      </c>
      <c r="N68" s="143"/>
    </row>
    <row r="69" spans="1:14" ht="12.75" x14ac:dyDescent="0.2">
      <c r="A69" s="199" t="s">
        <v>102</v>
      </c>
      <c r="B69" s="225">
        <f t="shared" ref="B69:M69" si="11">B53/B$8</f>
        <v>24.811783649599263</v>
      </c>
      <c r="C69" s="225">
        <f t="shared" si="11"/>
        <v>27.385691347399778</v>
      </c>
      <c r="D69" s="225">
        <f t="shared" si="11"/>
        <v>26.050578939120264</v>
      </c>
      <c r="E69" s="225">
        <f t="shared" si="11"/>
        <v>27.496243758856149</v>
      </c>
      <c r="F69" s="225">
        <f t="shared" si="11"/>
        <v>25.499247467408527</v>
      </c>
      <c r="G69" s="225">
        <f t="shared" si="11"/>
        <v>26.646840344492251</v>
      </c>
      <c r="H69" s="225">
        <f t="shared" si="11"/>
        <v>26.63341022875365</v>
      </c>
      <c r="I69" s="225">
        <f t="shared" si="11"/>
        <v>27.085938692282873</v>
      </c>
      <c r="J69" s="225">
        <f t="shared" si="11"/>
        <v>24.930380814141149</v>
      </c>
      <c r="K69" s="225">
        <f t="shared" si="11"/>
        <v>29.808076806827263</v>
      </c>
      <c r="L69" s="225">
        <f t="shared" si="11"/>
        <v>29.808360205547771</v>
      </c>
      <c r="M69" s="225">
        <f t="shared" si="11"/>
        <v>27.511877836450065</v>
      </c>
      <c r="N69" s="143"/>
    </row>
    <row r="70" spans="1:14" ht="12.75" x14ac:dyDescent="0.2">
      <c r="A70" s="199" t="s">
        <v>153</v>
      </c>
      <c r="B70" s="225">
        <f t="shared" ref="B70:M70" si="12">B54/B$8</f>
        <v>1.8271188272007781</v>
      </c>
      <c r="C70" s="225">
        <f>C54/C$8</f>
        <v>2.0166838264141158</v>
      </c>
      <c r="D70" s="225">
        <f t="shared" si="12"/>
        <v>1.9183373749701935</v>
      </c>
      <c r="E70" s="225">
        <f t="shared" si="12"/>
        <v>2.0248076059696385</v>
      </c>
      <c r="F70" s="225">
        <f t="shared" si="12"/>
        <v>1.8776938377306751</v>
      </c>
      <c r="G70" s="225">
        <f t="shared" si="12"/>
        <v>1.9622955159829436</v>
      </c>
      <c r="H70" s="225">
        <f t="shared" si="12"/>
        <v>1.961293579008546</v>
      </c>
      <c r="I70" s="225">
        <f t="shared" si="12"/>
        <v>1.9946612006348017</v>
      </c>
      <c r="J70" s="225">
        <f t="shared" si="12"/>
        <v>1.8358534680079492</v>
      </c>
      <c r="K70" s="225">
        <f t="shared" si="12"/>
        <v>2.1950627711285851</v>
      </c>
      <c r="L70" s="225">
        <f t="shared" si="12"/>
        <v>2.1950627711285846</v>
      </c>
      <c r="M70" s="225">
        <f t="shared" si="12"/>
        <v>2.026211788734078</v>
      </c>
      <c r="N70" s="143"/>
    </row>
    <row r="71" spans="1:14" ht="12.75" x14ac:dyDescent="0.2">
      <c r="A71" s="199" t="s">
        <v>37</v>
      </c>
      <c r="B71" s="147">
        <f>B55/'Premisas Presupuesto 2014'!D$56</f>
        <v>0</v>
      </c>
      <c r="C71" s="147">
        <f>C55/'Premisas Presupuesto 2014'!E$56</f>
        <v>0</v>
      </c>
      <c r="D71" s="147">
        <f>D55/'Premisas Presupuesto 2014'!F$56</f>
        <v>0</v>
      </c>
      <c r="E71" s="147">
        <f>E55/'Premisas Presupuesto 2014'!G$56</f>
        <v>0</v>
      </c>
      <c r="F71" s="147">
        <f>F55/'Premisas Presupuesto 2014'!H$56</f>
        <v>0</v>
      </c>
      <c r="G71" s="147">
        <f>G55/'Premisas Presupuesto 2014'!I$56</f>
        <v>0</v>
      </c>
      <c r="H71" s="147">
        <f>H55/'Premisas Presupuesto 2014'!J$56</f>
        <v>0</v>
      </c>
      <c r="I71" s="147">
        <f>I55/'Premisas Presupuesto 2014'!K$56</f>
        <v>0</v>
      </c>
      <c r="J71" s="147">
        <f>J55/'Premisas Presupuesto 2014'!L$56</f>
        <v>0</v>
      </c>
      <c r="K71" s="147">
        <f>K55/'Premisas Presupuesto 2014'!M$56</f>
        <v>0</v>
      </c>
      <c r="L71" s="147">
        <f>L55/'Premisas Presupuesto 2014'!N$56</f>
        <v>0</v>
      </c>
      <c r="M71" s="147">
        <f>M55/'Premisas Presupuesto 2014'!O$56</f>
        <v>0</v>
      </c>
      <c r="N71" s="143"/>
    </row>
    <row r="72" spans="1:14" ht="12.75" x14ac:dyDescent="0.2">
      <c r="A72" s="136" t="s">
        <v>19</v>
      </c>
      <c r="B72" s="138">
        <f t="shared" ref="B72:M72" si="13">SUM(B60:B71)</f>
        <v>58.313550472059845</v>
      </c>
      <c r="C72" s="138">
        <f t="shared" si="13"/>
        <v>64.363292530931886</v>
      </c>
      <c r="D72" s="138">
        <f t="shared" si="13"/>
        <v>61.224914875181589</v>
      </c>
      <c r="E72" s="138">
        <f t="shared" si="13"/>
        <v>64.622801301621422</v>
      </c>
      <c r="F72" s="138">
        <f t="shared" si="13"/>
        <v>59.928349821960325</v>
      </c>
      <c r="G72" s="138">
        <f t="shared" si="13"/>
        <v>62.627185921652938</v>
      </c>
      <c r="H72" s="138">
        <f t="shared" si="13"/>
        <v>62.595384445285056</v>
      </c>
      <c r="I72" s="138">
        <f t="shared" si="13"/>
        <v>63.659736432550574</v>
      </c>
      <c r="J72" s="138">
        <f t="shared" si="13"/>
        <v>58.592304652797608</v>
      </c>
      <c r="K72" s="138">
        <f t="shared" si="13"/>
        <v>70.056406594812657</v>
      </c>
      <c r="L72" s="138">
        <f t="shared" si="13"/>
        <v>70.056689993533169</v>
      </c>
      <c r="M72" s="138">
        <f t="shared" si="13"/>
        <v>64.664182256128882</v>
      </c>
      <c r="N72" s="143"/>
    </row>
    <row r="73" spans="1:14" ht="15.75" customHeight="1" x14ac:dyDescent="0.2">
      <c r="A73" s="144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3"/>
    </row>
    <row r="74" spans="1:14" ht="15.75" customHeight="1" x14ac:dyDescent="0.2">
      <c r="A74" s="144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3"/>
    </row>
    <row r="75" spans="1:14" ht="15.75" customHeight="1" x14ac:dyDescent="0.2">
      <c r="A75" s="146" t="s">
        <v>207</v>
      </c>
      <c r="B75" s="137" t="s">
        <v>5</v>
      </c>
      <c r="C75" s="137" t="s">
        <v>6</v>
      </c>
      <c r="D75" s="137" t="s">
        <v>7</v>
      </c>
      <c r="E75" s="137" t="s">
        <v>8</v>
      </c>
      <c r="F75" s="137" t="s">
        <v>9</v>
      </c>
      <c r="G75" s="137" t="s">
        <v>10</v>
      </c>
      <c r="H75" s="137" t="s">
        <v>11</v>
      </c>
      <c r="I75" s="137" t="s">
        <v>12</v>
      </c>
      <c r="J75" s="137" t="s">
        <v>13</v>
      </c>
      <c r="K75" s="137" t="s">
        <v>14</v>
      </c>
      <c r="L75" s="137" t="s">
        <v>15</v>
      </c>
      <c r="M75" s="137" t="s">
        <v>16</v>
      </c>
      <c r="N75" s="143"/>
    </row>
    <row r="76" spans="1:14" ht="15.75" customHeight="1" x14ac:dyDescent="0.2">
      <c r="A76" s="228" t="s">
        <v>100</v>
      </c>
      <c r="B76" s="207">
        <f>B44*'Información Op. 2013'!$O$34</f>
        <v>241045.3166115972</v>
      </c>
      <c r="C76" s="207">
        <f>C44*'Información Op. 2013'!$O$34</f>
        <v>235355.42231744813</v>
      </c>
      <c r="D76" s="207">
        <f>D44*'Información Op. 2013'!$O$34</f>
        <v>243345.63133875901</v>
      </c>
      <c r="E76" s="207">
        <f>E44*'Información Op. 2013'!$O$34</f>
        <v>256851.63185743525</v>
      </c>
      <c r="F76" s="207">
        <f>F44*'Información Op. 2013'!$O$34</f>
        <v>247717.49865270226</v>
      </c>
      <c r="G76" s="207">
        <f>G44*'Información Op. 2013'!$O$34</f>
        <v>248921.82545184722</v>
      </c>
      <c r="H76" s="207">
        <f>H44*'Información Op. 2013'!$O$34</f>
        <v>268698.30556810007</v>
      </c>
      <c r="I76" s="207">
        <f>I44*'Información Op. 2013'!$O$34</f>
        <v>263148.58863147703</v>
      </c>
      <c r="J76" s="207">
        <f>J44*'Información Op. 2013'!$O$34</f>
        <v>232882.35273255102</v>
      </c>
      <c r="K76" s="207">
        <f>K44*'Información Op. 2013'!$O$34</f>
        <v>300724.81424021372</v>
      </c>
      <c r="L76" s="207">
        <f>L44*'Información Op. 2013'!$O$34</f>
        <v>267310.94599130109</v>
      </c>
      <c r="M76" s="207">
        <f>M44*'Información Op. 2013'!$O$34</f>
        <v>267310.94599130109</v>
      </c>
      <c r="N76" s="143">
        <f>SUM(B76:M76)</f>
        <v>3073313.2793847332</v>
      </c>
    </row>
    <row r="77" spans="1:14" ht="15.75" customHeight="1" x14ac:dyDescent="0.2">
      <c r="A77" s="199" t="s">
        <v>152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3"/>
    </row>
    <row r="78" spans="1:14" ht="15.75" customHeight="1" x14ac:dyDescent="0.2">
      <c r="A78" s="199" t="s">
        <v>161</v>
      </c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3"/>
    </row>
    <row r="79" spans="1:14" ht="15.75" customHeight="1" x14ac:dyDescent="0.2">
      <c r="A79" s="199" t="s">
        <v>101</v>
      </c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3"/>
    </row>
    <row r="80" spans="1:14" ht="15.75" customHeight="1" x14ac:dyDescent="0.2">
      <c r="A80" s="199" t="s">
        <v>39</v>
      </c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3"/>
    </row>
    <row r="81" spans="1:14" ht="15.75" customHeight="1" x14ac:dyDescent="0.2">
      <c r="A81" s="199" t="s">
        <v>44</v>
      </c>
      <c r="B81" s="226">
        <f>B49*'Información Op. 2013'!$O$39</f>
        <v>3886.0651282755107</v>
      </c>
      <c r="C81" s="226">
        <f>C49*'Información Op. 2013'!$O$39</f>
        <v>3794.334245008879</v>
      </c>
      <c r="D81" s="226">
        <f>D49*'Información Op. 2013'!$O$39</f>
        <v>3923.1501584720772</v>
      </c>
      <c r="E81" s="226">
        <f>E49*'Información Op. 2013'!$O$39</f>
        <v>4140.8901186417643</v>
      </c>
      <c r="F81" s="226">
        <f>F49*'Información Op. 2013'!$O$39</f>
        <v>3993.6321796661987</v>
      </c>
      <c r="G81" s="226">
        <f>G49*'Información Op. 2013'!$O$39</f>
        <v>4013.047999243171</v>
      </c>
      <c r="H81" s="226">
        <f>H49*'Información Op. 2013'!$O$39</f>
        <v>4331.8788764414157</v>
      </c>
      <c r="I81" s="226">
        <f>I49*'Información Op. 2013'!$O$39</f>
        <v>4242.4078932986013</v>
      </c>
      <c r="J81" s="226">
        <f>J49*'Información Op. 2013'!$O$39</f>
        <v>3754.4641093482346</v>
      </c>
      <c r="K81" s="226">
        <f>K49*'Información Op. 2013'!$O$39</f>
        <v>4848.2012853586366</v>
      </c>
      <c r="L81" s="226">
        <f>L49*'Información Op. 2013'!$O$39</f>
        <v>4309.5122536521212</v>
      </c>
      <c r="M81" s="226">
        <f>M49*'Información Op. 2013'!$O$39</f>
        <v>4309.5122536521212</v>
      </c>
      <c r="N81" s="143">
        <f>SUM(B81:M81)</f>
        <v>49547.096501058732</v>
      </c>
    </row>
    <row r="82" spans="1:14" ht="15.75" customHeight="1" x14ac:dyDescent="0.2">
      <c r="A82" s="199" t="s">
        <v>45</v>
      </c>
      <c r="B82" s="226">
        <f>B50*'Información Op. 2013'!$O$39</f>
        <v>0</v>
      </c>
      <c r="C82" s="225"/>
      <c r="D82" s="225"/>
      <c r="E82" s="225"/>
      <c r="F82" s="225"/>
      <c r="G82" s="225"/>
      <c r="H82" s="225"/>
      <c r="I82" s="225"/>
      <c r="J82" s="225"/>
      <c r="K82" s="225"/>
      <c r="L82" s="225"/>
      <c r="M82" s="225"/>
      <c r="N82" s="143">
        <f t="shared" ref="N82:N88" si="14">SUM(B82:M82)</f>
        <v>0</v>
      </c>
    </row>
    <row r="83" spans="1:14" ht="15.75" customHeight="1" x14ac:dyDescent="0.2">
      <c r="A83" s="199" t="s">
        <v>154</v>
      </c>
      <c r="B83" s="226">
        <f>B51*'Información Op. 2013'!$O$39</f>
        <v>0</v>
      </c>
      <c r="C83" s="225"/>
      <c r="D83" s="225"/>
      <c r="E83" s="225"/>
      <c r="F83" s="225"/>
      <c r="G83" s="225"/>
      <c r="H83" s="225"/>
      <c r="I83" s="225"/>
      <c r="J83" s="225"/>
      <c r="K83" s="225"/>
      <c r="L83" s="225"/>
      <c r="M83" s="225"/>
      <c r="N83" s="143">
        <f t="shared" si="14"/>
        <v>0</v>
      </c>
    </row>
    <row r="84" spans="1:14" ht="15.75" customHeight="1" x14ac:dyDescent="0.2">
      <c r="A84" s="199" t="s">
        <v>41</v>
      </c>
      <c r="B84" s="226">
        <f>B52*'Información Op. 2013'!$O$42</f>
        <v>13840.538133705311</v>
      </c>
      <c r="C84" s="226">
        <f>C52*'Información Op. 2013'!$O$42</f>
        <v>13513.831105906815</v>
      </c>
      <c r="D84" s="226">
        <f>D52*'Información Op. 2013'!$O$42</f>
        <v>13972.619495618297</v>
      </c>
      <c r="E84" s="226">
        <f>E52*'Información Op. 2013'!$O$42</f>
        <v>14748.11813562626</v>
      </c>
      <c r="F84" s="226">
        <f>F52*'Información Op. 2013'!$O$42</f>
        <v>14223.64696682045</v>
      </c>
      <c r="G84" s="226">
        <f>G52*'Información Op. 2013'!$O$42</f>
        <v>14292.797992956615</v>
      </c>
      <c r="H84" s="226">
        <f>H52*'Información Op. 2013'!$O$42</f>
        <v>15428.34018496904</v>
      </c>
      <c r="I84" s="226">
        <f>I52*'Información Op. 2013'!$O$42</f>
        <v>15109.681975913818</v>
      </c>
      <c r="J84" s="226">
        <f>J52*'Información Op. 2013'!$O$42</f>
        <v>13371.830363564126</v>
      </c>
      <c r="K84" s="226">
        <f>K52*'Información Op. 2013'!$O$42</f>
        <v>17267.264586392186</v>
      </c>
      <c r="L84" s="226">
        <f>L52*'Información Op. 2013'!$O$42</f>
        <v>15348.679632348607</v>
      </c>
      <c r="M84" s="226">
        <f>M52*'Información Op. 2013'!$O$42</f>
        <v>15348.679632348607</v>
      </c>
      <c r="N84" s="143">
        <f t="shared" si="14"/>
        <v>176466.02820617016</v>
      </c>
    </row>
    <row r="85" spans="1:14" ht="15.75" customHeight="1" x14ac:dyDescent="0.2">
      <c r="A85" s="199" t="s">
        <v>102</v>
      </c>
      <c r="B85" s="226">
        <f>B53*'Información Op. 2013'!$O$43</f>
        <v>241706.51874605924</v>
      </c>
      <c r="C85" s="226">
        <f>C53*'Información Op. 2013'!$O$43</f>
        <v>235998.1371503924</v>
      </c>
      <c r="D85" s="226">
        <f>D53*'Información Op. 2013'!$O$43</f>
        <v>244013.81662721594</v>
      </c>
      <c r="E85" s="226">
        <f>E53*'Información Op. 2013'!$O$43</f>
        <v>257555.25042996745</v>
      </c>
      <c r="F85" s="226">
        <f>F53*'Información Op. 2013'!$O$43</f>
        <v>248403.51757988697</v>
      </c>
      <c r="G85" s="226">
        <f>G53*'Información Op. 2013'!$O$43</f>
        <v>249598.95243446031</v>
      </c>
      <c r="H85" s="226">
        <f>H53*'Información Op. 2013'!$O$43</f>
        <v>269431.00583279628</v>
      </c>
      <c r="I85" s="226">
        <f>I53*'Información Op. 2013'!$O$43</f>
        <v>263860.43183101108</v>
      </c>
      <c r="J85" s="226">
        <f>J53*'Información Op. 2013'!$O$43</f>
        <v>233521.00491298863</v>
      </c>
      <c r="K85" s="226">
        <f>K53*'Información Op. 2013'!$O$43</f>
        <v>301546.81833925057</v>
      </c>
      <c r="L85" s="226">
        <f>L53*'Información Op. 2013'!$O$43</f>
        <v>268044.16469310765</v>
      </c>
      <c r="M85" s="226">
        <f>M53*'Información Op. 2013'!$O$43</f>
        <v>268009.76140716154</v>
      </c>
      <c r="N85" s="143">
        <f t="shared" si="14"/>
        <v>3081689.3799842983</v>
      </c>
    </row>
    <row r="86" spans="1:14" ht="12.75" x14ac:dyDescent="0.2">
      <c r="A86" s="199" t="s">
        <v>153</v>
      </c>
      <c r="B86" s="226">
        <f>B54*'Información Op. 2013'!$O$44</f>
        <v>2076.8313456770738</v>
      </c>
      <c r="C86" s="226">
        <f>C54*'Información Op. 2013'!$O$44</f>
        <v>2027.8075729284876</v>
      </c>
      <c r="D86" s="226">
        <f>D54*'Información Op. 2013'!$O$44</f>
        <v>2096.6507132443357</v>
      </c>
      <c r="E86" s="226">
        <f>E54*'Información Op. 2013'!$O$44</f>
        <v>2213.0175675197702</v>
      </c>
      <c r="F86" s="226">
        <f>F54*'Información Op. 2013'!$O$44</f>
        <v>2134.3184481100106</v>
      </c>
      <c r="G86" s="226">
        <f>G54*'Información Op. 2013'!$O$44</f>
        <v>2144.6948523565761</v>
      </c>
      <c r="H86" s="226">
        <f>H54*'Información Op. 2013'!$O$44</f>
        <v>2315.0877659794296</v>
      </c>
      <c r="I86" s="226">
        <f>I54*'Información Op. 2013'!$O$44</f>
        <v>2267.271752560735</v>
      </c>
      <c r="J86" s="226">
        <f>J54*'Información Op. 2013'!$O$44</f>
        <v>2006.4997603306149</v>
      </c>
      <c r="K86" s="226">
        <f>K54*'Información Op. 2013'!$O$44</f>
        <v>2591.0261581366999</v>
      </c>
      <c r="L86" s="226">
        <f>L54*'Información Op. 2013'!$O$44</f>
        <v>2303.1343627881779</v>
      </c>
      <c r="M86" s="226">
        <f>M54*'Información Op. 2013'!$O$44</f>
        <v>2303.1343627881779</v>
      </c>
      <c r="N86" s="143">
        <f t="shared" si="14"/>
        <v>26479.474662420092</v>
      </c>
    </row>
    <row r="87" spans="1:14" ht="12.75" x14ac:dyDescent="0.2">
      <c r="A87" s="199" t="s">
        <v>37</v>
      </c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3">
        <f t="shared" si="14"/>
        <v>0</v>
      </c>
    </row>
    <row r="88" spans="1:14" ht="12.75" x14ac:dyDescent="0.2">
      <c r="A88" s="136" t="s">
        <v>19</v>
      </c>
      <c r="B88" s="138">
        <f>SUM(B81:B86)</f>
        <v>261509.95335371714</v>
      </c>
      <c r="C88" s="138">
        <f t="shared" ref="C88:M88" si="15">SUM(C81:C86)</f>
        <v>255334.11007423658</v>
      </c>
      <c r="D88" s="138">
        <f t="shared" si="15"/>
        <v>264006.23699455062</v>
      </c>
      <c r="E88" s="138">
        <f t="shared" si="15"/>
        <v>278657.27625175525</v>
      </c>
      <c r="F88" s="138">
        <f t="shared" si="15"/>
        <v>268755.11517448362</v>
      </c>
      <c r="G88" s="138">
        <f t="shared" si="15"/>
        <v>270049.49327901669</v>
      </c>
      <c r="H88" s="138">
        <f t="shared" si="15"/>
        <v>291506.31266018614</v>
      </c>
      <c r="I88" s="138">
        <f t="shared" si="15"/>
        <v>285479.79345278424</v>
      </c>
      <c r="J88" s="138">
        <f t="shared" si="15"/>
        <v>252653.79914623161</v>
      </c>
      <c r="K88" s="138">
        <f t="shared" si="15"/>
        <v>326253.31036913814</v>
      </c>
      <c r="L88" s="138">
        <f t="shared" si="15"/>
        <v>290005.49094189657</v>
      </c>
      <c r="M88" s="138">
        <f t="shared" si="15"/>
        <v>289971.08765595045</v>
      </c>
      <c r="N88" s="143">
        <f t="shared" si="14"/>
        <v>3334181.9793539471</v>
      </c>
    </row>
    <row r="89" spans="1:14" ht="12.75" x14ac:dyDescent="0.2">
      <c r="A89" s="144"/>
    </row>
    <row r="90" spans="1:14" ht="12.75" x14ac:dyDescent="0.2">
      <c r="A90" s="144"/>
    </row>
    <row r="91" spans="1:14" ht="12.75" hidden="1" x14ac:dyDescent="0.2">
      <c r="A91" s="200" t="s">
        <v>180</v>
      </c>
      <c r="B91" s="201" t="s">
        <v>5</v>
      </c>
      <c r="C91" s="201" t="s">
        <v>6</v>
      </c>
      <c r="D91" s="201" t="s">
        <v>7</v>
      </c>
      <c r="E91" s="201" t="s">
        <v>8</v>
      </c>
      <c r="F91" s="201" t="s">
        <v>9</v>
      </c>
      <c r="G91" s="201" t="s">
        <v>10</v>
      </c>
      <c r="H91" s="201" t="s">
        <v>11</v>
      </c>
      <c r="I91" s="201" t="s">
        <v>12</v>
      </c>
      <c r="J91" s="201" t="s">
        <v>13</v>
      </c>
      <c r="K91" s="201" t="s">
        <v>14</v>
      </c>
      <c r="L91" s="201" t="s">
        <v>15</v>
      </c>
      <c r="M91" s="202" t="s">
        <v>16</v>
      </c>
      <c r="N91" s="143"/>
    </row>
    <row r="92" spans="1:14" ht="12.75" hidden="1" x14ac:dyDescent="0.2">
      <c r="A92" s="203" t="s">
        <v>181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143"/>
    </row>
    <row r="93" spans="1:14" ht="12.75" hidden="1" x14ac:dyDescent="0.2">
      <c r="A93" s="203" t="s">
        <v>182</v>
      </c>
      <c r="B93" s="208">
        <v>1</v>
      </c>
      <c r="C93" s="208">
        <v>1</v>
      </c>
      <c r="D93" s="208">
        <v>1</v>
      </c>
      <c r="E93" s="208">
        <v>1</v>
      </c>
      <c r="F93" s="208">
        <v>1</v>
      </c>
      <c r="G93" s="208">
        <v>1</v>
      </c>
      <c r="H93" s="208">
        <v>1</v>
      </c>
      <c r="I93" s="208">
        <v>1</v>
      </c>
      <c r="J93" s="208">
        <v>1</v>
      </c>
      <c r="K93" s="208">
        <v>1</v>
      </c>
      <c r="L93" s="208">
        <v>1</v>
      </c>
      <c r="M93" s="208">
        <v>1</v>
      </c>
      <c r="N93" s="143"/>
    </row>
    <row r="94" spans="1:14" ht="12.75" hidden="1" x14ac:dyDescent="0.2">
      <c r="A94" s="203" t="s">
        <v>184</v>
      </c>
      <c r="B94" s="208">
        <v>0</v>
      </c>
      <c r="C94" s="208">
        <v>0</v>
      </c>
      <c r="D94" s="208">
        <v>0</v>
      </c>
      <c r="E94" s="208">
        <v>0</v>
      </c>
      <c r="F94" s="208">
        <v>0</v>
      </c>
      <c r="G94" s="208">
        <v>0</v>
      </c>
      <c r="H94" s="208">
        <v>0</v>
      </c>
      <c r="I94" s="208">
        <v>0</v>
      </c>
      <c r="J94" s="208">
        <v>0</v>
      </c>
      <c r="K94" s="208">
        <v>0</v>
      </c>
      <c r="L94" s="208">
        <v>0</v>
      </c>
      <c r="M94" s="208">
        <v>0</v>
      </c>
      <c r="N94" s="143"/>
    </row>
    <row r="95" spans="1:14" ht="12.75" hidden="1" x14ac:dyDescent="0.2">
      <c r="A95" s="203" t="s">
        <v>183</v>
      </c>
      <c r="B95" s="208">
        <v>0</v>
      </c>
      <c r="C95" s="208">
        <v>0</v>
      </c>
      <c r="D95" s="208">
        <v>0</v>
      </c>
      <c r="E95" s="208">
        <v>0</v>
      </c>
      <c r="F95" s="208">
        <v>0</v>
      </c>
      <c r="G95" s="208">
        <v>0</v>
      </c>
      <c r="H95" s="208">
        <v>0</v>
      </c>
      <c r="I95" s="208">
        <v>0</v>
      </c>
      <c r="J95" s="208">
        <v>0</v>
      </c>
      <c r="K95" s="208">
        <v>0</v>
      </c>
      <c r="L95" s="208">
        <v>0</v>
      </c>
      <c r="M95" s="208">
        <v>0</v>
      </c>
      <c r="N95" s="143"/>
    </row>
    <row r="96" spans="1:14" ht="12.75" hidden="1" x14ac:dyDescent="0.2">
      <c r="A96" s="203" t="s">
        <v>185</v>
      </c>
      <c r="B96" s="208">
        <v>0</v>
      </c>
      <c r="C96" s="208">
        <v>0</v>
      </c>
      <c r="D96" s="208">
        <v>0</v>
      </c>
      <c r="E96" s="208">
        <v>0</v>
      </c>
      <c r="F96" s="208">
        <v>0</v>
      </c>
      <c r="G96" s="208">
        <v>0</v>
      </c>
      <c r="H96" s="208">
        <v>0</v>
      </c>
      <c r="I96" s="208">
        <v>0</v>
      </c>
      <c r="J96" s="208">
        <v>0</v>
      </c>
      <c r="K96" s="208">
        <v>0</v>
      </c>
      <c r="L96" s="208">
        <v>0</v>
      </c>
      <c r="M96" s="208">
        <v>0</v>
      </c>
      <c r="N96" s="143"/>
    </row>
    <row r="97" spans="1:14" ht="12.75" hidden="1" x14ac:dyDescent="0.2">
      <c r="A97" s="203" t="s">
        <v>186</v>
      </c>
      <c r="B97" s="208">
        <v>0</v>
      </c>
      <c r="C97" s="208">
        <v>0</v>
      </c>
      <c r="D97" s="208">
        <v>0</v>
      </c>
      <c r="E97" s="208">
        <v>0</v>
      </c>
      <c r="F97" s="208">
        <v>0</v>
      </c>
      <c r="G97" s="208">
        <v>0</v>
      </c>
      <c r="H97" s="208">
        <v>0</v>
      </c>
      <c r="I97" s="208">
        <v>0</v>
      </c>
      <c r="J97" s="208">
        <v>0</v>
      </c>
      <c r="K97" s="208">
        <v>0</v>
      </c>
      <c r="L97" s="208">
        <v>0</v>
      </c>
      <c r="M97" s="208">
        <v>0</v>
      </c>
      <c r="N97" s="143"/>
    </row>
    <row r="98" spans="1:14" ht="12.75" hidden="1" x14ac:dyDescent="0.2">
      <c r="A98" s="203" t="s">
        <v>187</v>
      </c>
      <c r="B98" s="208">
        <v>0</v>
      </c>
      <c r="C98" s="208">
        <v>0</v>
      </c>
      <c r="D98" s="208">
        <v>0</v>
      </c>
      <c r="E98" s="208">
        <v>0</v>
      </c>
      <c r="F98" s="208">
        <v>0</v>
      </c>
      <c r="G98" s="208">
        <v>0</v>
      </c>
      <c r="H98" s="208">
        <v>0</v>
      </c>
      <c r="I98" s="208">
        <v>0</v>
      </c>
      <c r="J98" s="208">
        <v>0</v>
      </c>
      <c r="K98" s="208">
        <v>0</v>
      </c>
      <c r="L98" s="208">
        <v>0</v>
      </c>
      <c r="M98" s="208">
        <v>0</v>
      </c>
      <c r="N98" s="143"/>
    </row>
    <row r="99" spans="1:14" ht="12.75" hidden="1" x14ac:dyDescent="0.2">
      <c r="A99" s="203" t="s">
        <v>187</v>
      </c>
      <c r="B99" s="208">
        <v>6</v>
      </c>
      <c r="C99" s="208">
        <v>6</v>
      </c>
      <c r="D99" s="208">
        <v>6</v>
      </c>
      <c r="E99" s="208">
        <v>6</v>
      </c>
      <c r="F99" s="208">
        <v>6</v>
      </c>
      <c r="G99" s="208">
        <v>6</v>
      </c>
      <c r="H99" s="208">
        <v>6</v>
      </c>
      <c r="I99" s="208">
        <v>6</v>
      </c>
      <c r="J99" s="208">
        <v>6</v>
      </c>
      <c r="K99" s="208">
        <v>6</v>
      </c>
      <c r="L99" s="208">
        <v>6</v>
      </c>
      <c r="M99" s="208">
        <v>6</v>
      </c>
      <c r="N99" s="143"/>
    </row>
    <row r="100" spans="1:14" ht="12.75" hidden="1" x14ac:dyDescent="0.2">
      <c r="A100" s="203" t="s">
        <v>188</v>
      </c>
      <c r="B100" s="208">
        <v>30</v>
      </c>
      <c r="C100" s="208">
        <v>30</v>
      </c>
      <c r="D100" s="208">
        <v>30</v>
      </c>
      <c r="E100" s="208">
        <v>30</v>
      </c>
      <c r="F100" s="208">
        <v>30</v>
      </c>
      <c r="G100" s="208">
        <v>30</v>
      </c>
      <c r="H100" s="208">
        <v>30</v>
      </c>
      <c r="I100" s="208">
        <v>30</v>
      </c>
      <c r="J100" s="208">
        <v>30</v>
      </c>
      <c r="K100" s="208">
        <v>30</v>
      </c>
      <c r="L100" s="208">
        <v>30</v>
      </c>
      <c r="M100" s="208">
        <v>30</v>
      </c>
      <c r="N100" s="143"/>
    </row>
    <row r="101" spans="1:14" ht="12.75" hidden="1" x14ac:dyDescent="0.2">
      <c r="A101" s="203" t="s">
        <v>189</v>
      </c>
      <c r="B101" s="208">
        <v>6</v>
      </c>
      <c r="C101" s="208">
        <v>6</v>
      </c>
      <c r="D101" s="208">
        <v>6</v>
      </c>
      <c r="E101" s="208">
        <v>6</v>
      </c>
      <c r="F101" s="208">
        <v>6</v>
      </c>
      <c r="G101" s="208">
        <v>6</v>
      </c>
      <c r="H101" s="208">
        <v>6</v>
      </c>
      <c r="I101" s="208">
        <v>6</v>
      </c>
      <c r="J101" s="208">
        <v>6</v>
      </c>
      <c r="K101" s="208">
        <v>6</v>
      </c>
      <c r="L101" s="208">
        <v>6</v>
      </c>
      <c r="M101" s="208">
        <v>6</v>
      </c>
      <c r="N101" s="143"/>
    </row>
    <row r="102" spans="1:14" ht="12.75" hidden="1" x14ac:dyDescent="0.2">
      <c r="A102" s="203" t="s">
        <v>190</v>
      </c>
      <c r="B102" s="208">
        <v>0</v>
      </c>
      <c r="C102" s="208">
        <v>0</v>
      </c>
      <c r="D102" s="208">
        <v>0</v>
      </c>
      <c r="E102" s="208">
        <v>0</v>
      </c>
      <c r="F102" s="208">
        <v>0</v>
      </c>
      <c r="G102" s="208">
        <v>0</v>
      </c>
      <c r="H102" s="208">
        <v>0</v>
      </c>
      <c r="I102" s="208">
        <v>0</v>
      </c>
      <c r="J102" s="208">
        <v>0</v>
      </c>
      <c r="K102" s="208">
        <v>0</v>
      </c>
      <c r="L102" s="208">
        <v>0</v>
      </c>
      <c r="M102" s="208">
        <v>0</v>
      </c>
      <c r="N102" s="143"/>
    </row>
    <row r="103" spans="1:14" ht="12.75" hidden="1" x14ac:dyDescent="0.2">
      <c r="A103" s="205" t="s">
        <v>191</v>
      </c>
      <c r="B103" s="210">
        <v>2</v>
      </c>
      <c r="C103" s="210">
        <v>2</v>
      </c>
      <c r="D103" s="210">
        <v>2</v>
      </c>
      <c r="E103" s="210">
        <v>2</v>
      </c>
      <c r="F103" s="210">
        <v>2</v>
      </c>
      <c r="G103" s="210">
        <v>2</v>
      </c>
      <c r="H103" s="210">
        <v>2</v>
      </c>
      <c r="I103" s="210">
        <v>2</v>
      </c>
      <c r="J103" s="210">
        <v>2</v>
      </c>
      <c r="K103" s="210">
        <v>2</v>
      </c>
      <c r="L103" s="210">
        <v>2</v>
      </c>
      <c r="M103" s="210">
        <v>2</v>
      </c>
      <c r="N103" s="143"/>
    </row>
    <row r="104" spans="1:14" ht="12.75" hidden="1" x14ac:dyDescent="0.2">
      <c r="A104" s="144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3"/>
    </row>
    <row r="105" spans="1:14" ht="12.75" hidden="1" x14ac:dyDescent="0.2">
      <c r="A105" s="144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3"/>
    </row>
    <row r="106" spans="1:14" ht="12.75" hidden="1" x14ac:dyDescent="0.2">
      <c r="A106" s="200" t="s">
        <v>192</v>
      </c>
      <c r="B106" s="201" t="s">
        <v>5</v>
      </c>
      <c r="C106" s="201" t="s">
        <v>6</v>
      </c>
      <c r="D106" s="201" t="s">
        <v>7</v>
      </c>
      <c r="E106" s="201" t="s">
        <v>8</v>
      </c>
      <c r="F106" s="201" t="s">
        <v>9</v>
      </c>
      <c r="G106" s="201" t="s">
        <v>10</v>
      </c>
      <c r="H106" s="201" t="s">
        <v>11</v>
      </c>
      <c r="I106" s="201" t="s">
        <v>12</v>
      </c>
      <c r="J106" s="201" t="s">
        <v>13</v>
      </c>
      <c r="K106" s="201" t="s">
        <v>14</v>
      </c>
      <c r="L106" s="201" t="s">
        <v>15</v>
      </c>
      <c r="M106" s="202" t="s">
        <v>16</v>
      </c>
      <c r="N106" s="143"/>
    </row>
    <row r="107" spans="1:14" ht="12.75" hidden="1" x14ac:dyDescent="0.2">
      <c r="A107" s="203" t="s">
        <v>181</v>
      </c>
      <c r="B107" s="208">
        <v>0</v>
      </c>
      <c r="C107" s="208">
        <v>0</v>
      </c>
      <c r="D107" s="208">
        <v>0</v>
      </c>
      <c r="E107" s="208">
        <v>0</v>
      </c>
      <c r="F107" s="208">
        <v>0</v>
      </c>
      <c r="G107" s="208">
        <v>0</v>
      </c>
      <c r="H107" s="208">
        <v>0</v>
      </c>
      <c r="I107" s="208">
        <v>0</v>
      </c>
      <c r="J107" s="208">
        <v>0</v>
      </c>
      <c r="K107" s="208">
        <v>0</v>
      </c>
      <c r="L107" s="208">
        <v>0</v>
      </c>
      <c r="M107" s="208">
        <v>0</v>
      </c>
      <c r="N107" s="143"/>
    </row>
    <row r="108" spans="1:14" ht="12.75" hidden="1" x14ac:dyDescent="0.2">
      <c r="A108" s="203" t="s">
        <v>182</v>
      </c>
      <c r="B108" s="208">
        <v>29</v>
      </c>
      <c r="C108" s="208">
        <v>29</v>
      </c>
      <c r="D108" s="208">
        <v>29</v>
      </c>
      <c r="E108" s="208">
        <v>29</v>
      </c>
      <c r="F108" s="208">
        <v>29</v>
      </c>
      <c r="G108" s="208">
        <v>29</v>
      </c>
      <c r="H108" s="208">
        <v>29</v>
      </c>
      <c r="I108" s="208">
        <v>29</v>
      </c>
      <c r="J108" s="208">
        <v>29</v>
      </c>
      <c r="K108" s="208">
        <v>29</v>
      </c>
      <c r="L108" s="208">
        <v>29</v>
      </c>
      <c r="M108" s="208">
        <v>29</v>
      </c>
      <c r="N108" s="143"/>
    </row>
    <row r="109" spans="1:14" ht="12.75" hidden="1" x14ac:dyDescent="0.2">
      <c r="A109" s="203" t="s">
        <v>184</v>
      </c>
      <c r="B109" s="208">
        <v>49.5</v>
      </c>
      <c r="C109" s="208">
        <v>49.5</v>
      </c>
      <c r="D109" s="208">
        <v>49.5</v>
      </c>
      <c r="E109" s="208">
        <v>49.5</v>
      </c>
      <c r="F109" s="208">
        <v>49.5</v>
      </c>
      <c r="G109" s="208">
        <v>49.5</v>
      </c>
      <c r="H109" s="208">
        <v>49.5</v>
      </c>
      <c r="I109" s="208">
        <v>49.5</v>
      </c>
      <c r="J109" s="208">
        <v>49.5</v>
      </c>
      <c r="K109" s="208">
        <v>49.5</v>
      </c>
      <c r="L109" s="208">
        <v>49.5</v>
      </c>
      <c r="M109" s="208">
        <v>49.5</v>
      </c>
      <c r="N109" s="143"/>
    </row>
    <row r="110" spans="1:14" ht="12.75" hidden="1" x14ac:dyDescent="0.2">
      <c r="A110" s="203" t="s">
        <v>183</v>
      </c>
      <c r="B110" s="208">
        <v>29</v>
      </c>
      <c r="C110" s="208">
        <v>29</v>
      </c>
      <c r="D110" s="208">
        <v>29</v>
      </c>
      <c r="E110" s="208">
        <v>29</v>
      </c>
      <c r="F110" s="208">
        <v>29</v>
      </c>
      <c r="G110" s="208">
        <v>29</v>
      </c>
      <c r="H110" s="208">
        <v>29</v>
      </c>
      <c r="I110" s="208">
        <v>29</v>
      </c>
      <c r="J110" s="208">
        <v>29</v>
      </c>
      <c r="K110" s="208">
        <v>29</v>
      </c>
      <c r="L110" s="208">
        <v>29</v>
      </c>
      <c r="M110" s="208">
        <v>29</v>
      </c>
      <c r="N110" s="143"/>
    </row>
    <row r="111" spans="1:14" ht="12.75" hidden="1" x14ac:dyDescent="0.2">
      <c r="A111" s="203" t="s">
        <v>185</v>
      </c>
      <c r="B111" s="208">
        <v>49.5</v>
      </c>
      <c r="C111" s="208">
        <v>49.5</v>
      </c>
      <c r="D111" s="208">
        <v>49.5</v>
      </c>
      <c r="E111" s="208">
        <v>49.5</v>
      </c>
      <c r="F111" s="208">
        <v>49.5</v>
      </c>
      <c r="G111" s="208">
        <v>49.5</v>
      </c>
      <c r="H111" s="208">
        <v>49.5</v>
      </c>
      <c r="I111" s="208">
        <v>49.5</v>
      </c>
      <c r="J111" s="208">
        <v>49.5</v>
      </c>
      <c r="K111" s="208">
        <v>49.5</v>
      </c>
      <c r="L111" s="208">
        <v>49.5</v>
      </c>
      <c r="M111" s="208">
        <v>49.5</v>
      </c>
      <c r="N111" s="143"/>
    </row>
    <row r="112" spans="1:14" ht="12.75" hidden="1" x14ac:dyDescent="0.2">
      <c r="A112" s="203" t="s">
        <v>186</v>
      </c>
      <c r="B112" s="208">
        <v>29</v>
      </c>
      <c r="C112" s="208">
        <v>29</v>
      </c>
      <c r="D112" s="208">
        <v>29</v>
      </c>
      <c r="E112" s="208">
        <v>29</v>
      </c>
      <c r="F112" s="208">
        <v>29</v>
      </c>
      <c r="G112" s="208">
        <v>29</v>
      </c>
      <c r="H112" s="208">
        <v>29</v>
      </c>
      <c r="I112" s="208">
        <v>29</v>
      </c>
      <c r="J112" s="208">
        <v>29</v>
      </c>
      <c r="K112" s="208">
        <v>29</v>
      </c>
      <c r="L112" s="208">
        <v>29</v>
      </c>
      <c r="M112" s="208">
        <v>29</v>
      </c>
      <c r="N112" s="143"/>
    </row>
    <row r="113" spans="1:14" ht="12.75" hidden="1" x14ac:dyDescent="0.2">
      <c r="A113" s="203" t="s">
        <v>187</v>
      </c>
      <c r="B113" s="208">
        <v>49.5</v>
      </c>
      <c r="C113" s="208">
        <v>49.5</v>
      </c>
      <c r="D113" s="208">
        <v>49.5</v>
      </c>
      <c r="E113" s="208">
        <v>49.5</v>
      </c>
      <c r="F113" s="208">
        <v>49.5</v>
      </c>
      <c r="G113" s="208">
        <v>49.5</v>
      </c>
      <c r="H113" s="208">
        <v>49.5</v>
      </c>
      <c r="I113" s="208">
        <v>49.5</v>
      </c>
      <c r="J113" s="208">
        <v>49.5</v>
      </c>
      <c r="K113" s="208">
        <v>49.5</v>
      </c>
      <c r="L113" s="208">
        <v>49.5</v>
      </c>
      <c r="M113" s="208">
        <v>49.5</v>
      </c>
      <c r="N113" s="143"/>
    </row>
    <row r="114" spans="1:14" ht="12.75" hidden="1" x14ac:dyDescent="0.2">
      <c r="A114" s="203" t="s">
        <v>212</v>
      </c>
      <c r="B114" s="208">
        <v>29</v>
      </c>
      <c r="C114" s="208">
        <v>29</v>
      </c>
      <c r="D114" s="208">
        <v>29</v>
      </c>
      <c r="E114" s="208">
        <v>29</v>
      </c>
      <c r="F114" s="208">
        <v>29</v>
      </c>
      <c r="G114" s="208">
        <v>29</v>
      </c>
      <c r="H114" s="208">
        <v>29</v>
      </c>
      <c r="I114" s="208">
        <v>29</v>
      </c>
      <c r="J114" s="208">
        <v>29</v>
      </c>
      <c r="K114" s="208">
        <v>29</v>
      </c>
      <c r="L114" s="208">
        <v>29</v>
      </c>
      <c r="M114" s="208">
        <v>29</v>
      </c>
      <c r="N114" s="143"/>
    </row>
    <row r="115" spans="1:14" ht="12.75" hidden="1" x14ac:dyDescent="0.2">
      <c r="A115" s="203" t="s">
        <v>188</v>
      </c>
      <c r="B115" s="208">
        <v>49.5</v>
      </c>
      <c r="C115" s="208">
        <v>49.5</v>
      </c>
      <c r="D115" s="208">
        <v>49.5</v>
      </c>
      <c r="E115" s="208">
        <v>49.5</v>
      </c>
      <c r="F115" s="208">
        <v>49.5</v>
      </c>
      <c r="G115" s="208">
        <v>49.5</v>
      </c>
      <c r="H115" s="208">
        <v>49.5</v>
      </c>
      <c r="I115" s="208">
        <v>49.5</v>
      </c>
      <c r="J115" s="208">
        <v>49.5</v>
      </c>
      <c r="K115" s="208">
        <v>49.5</v>
      </c>
      <c r="L115" s="208">
        <v>49.5</v>
      </c>
      <c r="M115" s="208">
        <v>49.5</v>
      </c>
      <c r="N115" s="143"/>
    </row>
    <row r="116" spans="1:14" ht="12.75" hidden="1" x14ac:dyDescent="0.2">
      <c r="A116" s="203" t="s">
        <v>189</v>
      </c>
      <c r="B116" s="208">
        <v>29</v>
      </c>
      <c r="C116" s="208">
        <v>29</v>
      </c>
      <c r="D116" s="208">
        <v>29</v>
      </c>
      <c r="E116" s="208">
        <v>29</v>
      </c>
      <c r="F116" s="208">
        <v>29</v>
      </c>
      <c r="G116" s="208">
        <v>29</v>
      </c>
      <c r="H116" s="208">
        <v>29</v>
      </c>
      <c r="I116" s="208">
        <v>29</v>
      </c>
      <c r="J116" s="208">
        <v>29</v>
      </c>
      <c r="K116" s="208">
        <v>29</v>
      </c>
      <c r="L116" s="208">
        <v>29</v>
      </c>
      <c r="M116" s="208">
        <v>29</v>
      </c>
      <c r="N116" s="143"/>
    </row>
    <row r="117" spans="1:14" ht="12.75" hidden="1" x14ac:dyDescent="0.2">
      <c r="A117" s="203" t="s">
        <v>190</v>
      </c>
      <c r="B117" s="208">
        <v>0</v>
      </c>
      <c r="C117" s="208">
        <v>0</v>
      </c>
      <c r="D117" s="208">
        <v>0</v>
      </c>
      <c r="E117" s="208">
        <v>0</v>
      </c>
      <c r="F117" s="208">
        <v>0</v>
      </c>
      <c r="G117" s="208">
        <v>0</v>
      </c>
      <c r="H117" s="208">
        <v>0</v>
      </c>
      <c r="I117" s="208">
        <v>0</v>
      </c>
      <c r="J117" s="208">
        <v>0</v>
      </c>
      <c r="K117" s="208">
        <v>0</v>
      </c>
      <c r="L117" s="208">
        <v>0</v>
      </c>
      <c r="M117" s="208">
        <v>0</v>
      </c>
      <c r="N117" s="143"/>
    </row>
    <row r="118" spans="1:14" ht="12.75" hidden="1" x14ac:dyDescent="0.2">
      <c r="A118" s="205" t="s">
        <v>191</v>
      </c>
      <c r="B118" s="210">
        <v>29</v>
      </c>
      <c r="C118" s="210">
        <v>29</v>
      </c>
      <c r="D118" s="210">
        <v>29</v>
      </c>
      <c r="E118" s="210">
        <v>29</v>
      </c>
      <c r="F118" s="210">
        <v>29</v>
      </c>
      <c r="G118" s="210">
        <v>29</v>
      </c>
      <c r="H118" s="210">
        <v>29</v>
      </c>
      <c r="I118" s="210">
        <v>29</v>
      </c>
      <c r="J118" s="210">
        <v>29</v>
      </c>
      <c r="K118" s="210">
        <v>29</v>
      </c>
      <c r="L118" s="210">
        <v>29</v>
      </c>
      <c r="M118" s="210">
        <v>29</v>
      </c>
      <c r="N118" s="143"/>
    </row>
    <row r="119" spans="1:14" ht="12.75" hidden="1" x14ac:dyDescent="0.2">
      <c r="A119" s="144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3"/>
    </row>
    <row r="120" spans="1:14" ht="12.75" hidden="1" x14ac:dyDescent="0.2">
      <c r="A120" s="144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3"/>
    </row>
    <row r="121" spans="1:14" ht="12.75" hidden="1" x14ac:dyDescent="0.2">
      <c r="A121" s="146" t="s">
        <v>192</v>
      </c>
      <c r="B121" s="137" t="s">
        <v>5</v>
      </c>
      <c r="C121" s="137" t="s">
        <v>6</v>
      </c>
      <c r="D121" s="137" t="s">
        <v>7</v>
      </c>
      <c r="E121" s="137" t="s">
        <v>8</v>
      </c>
      <c r="F121" s="137" t="s">
        <v>9</v>
      </c>
      <c r="G121" s="137" t="s">
        <v>10</v>
      </c>
      <c r="H121" s="137" t="s">
        <v>11</v>
      </c>
      <c r="I121" s="137" t="s">
        <v>12</v>
      </c>
      <c r="J121" s="137" t="s">
        <v>13</v>
      </c>
      <c r="K121" s="137" t="s">
        <v>14</v>
      </c>
      <c r="L121" s="137" t="s">
        <v>15</v>
      </c>
      <c r="M121" s="137" t="s">
        <v>16</v>
      </c>
      <c r="N121" s="143"/>
    </row>
    <row r="122" spans="1:14" ht="12.75" hidden="1" x14ac:dyDescent="0.2">
      <c r="A122" s="134" t="s">
        <v>181</v>
      </c>
      <c r="B122" s="141">
        <f>B92*B107</f>
        <v>0</v>
      </c>
      <c r="C122" s="141">
        <f t="shared" ref="C122:M122" si="16">C92*C107</f>
        <v>0</v>
      </c>
      <c r="D122" s="141">
        <f t="shared" si="16"/>
        <v>0</v>
      </c>
      <c r="E122" s="141">
        <f t="shared" si="16"/>
        <v>0</v>
      </c>
      <c r="F122" s="141">
        <f t="shared" si="16"/>
        <v>0</v>
      </c>
      <c r="G122" s="141">
        <f t="shared" si="16"/>
        <v>0</v>
      </c>
      <c r="H122" s="141">
        <f t="shared" si="16"/>
        <v>0</v>
      </c>
      <c r="I122" s="141">
        <f t="shared" si="16"/>
        <v>0</v>
      </c>
      <c r="J122" s="141">
        <f t="shared" si="16"/>
        <v>0</v>
      </c>
      <c r="K122" s="141">
        <f t="shared" si="16"/>
        <v>0</v>
      </c>
      <c r="L122" s="141">
        <f t="shared" si="16"/>
        <v>0</v>
      </c>
      <c r="M122" s="141">
        <f t="shared" si="16"/>
        <v>0</v>
      </c>
      <c r="N122" s="143"/>
    </row>
    <row r="123" spans="1:14" ht="12.75" hidden="1" x14ac:dyDescent="0.2">
      <c r="A123" s="134" t="s">
        <v>182</v>
      </c>
      <c r="B123" s="141">
        <f t="shared" ref="B123:M123" si="17">B93*B108</f>
        <v>29</v>
      </c>
      <c r="C123" s="141">
        <f t="shared" si="17"/>
        <v>29</v>
      </c>
      <c r="D123" s="141">
        <f t="shared" si="17"/>
        <v>29</v>
      </c>
      <c r="E123" s="141">
        <f t="shared" si="17"/>
        <v>29</v>
      </c>
      <c r="F123" s="141">
        <f t="shared" si="17"/>
        <v>29</v>
      </c>
      <c r="G123" s="141">
        <f t="shared" si="17"/>
        <v>29</v>
      </c>
      <c r="H123" s="141">
        <f t="shared" si="17"/>
        <v>29</v>
      </c>
      <c r="I123" s="141">
        <f t="shared" si="17"/>
        <v>29</v>
      </c>
      <c r="J123" s="141">
        <f t="shared" si="17"/>
        <v>29</v>
      </c>
      <c r="K123" s="141">
        <f t="shared" si="17"/>
        <v>29</v>
      </c>
      <c r="L123" s="141">
        <f t="shared" si="17"/>
        <v>29</v>
      </c>
      <c r="M123" s="141">
        <f t="shared" si="17"/>
        <v>29</v>
      </c>
      <c r="N123" s="143"/>
    </row>
    <row r="124" spans="1:14" ht="12.75" hidden="1" x14ac:dyDescent="0.2">
      <c r="A124" s="134" t="s">
        <v>184</v>
      </c>
      <c r="B124" s="141">
        <f t="shared" ref="B124:M124" si="18">B94*B109</f>
        <v>0</v>
      </c>
      <c r="C124" s="141">
        <f t="shared" si="18"/>
        <v>0</v>
      </c>
      <c r="D124" s="141">
        <f t="shared" si="18"/>
        <v>0</v>
      </c>
      <c r="E124" s="141">
        <f t="shared" si="18"/>
        <v>0</v>
      </c>
      <c r="F124" s="141">
        <f t="shared" si="18"/>
        <v>0</v>
      </c>
      <c r="G124" s="141">
        <f t="shared" si="18"/>
        <v>0</v>
      </c>
      <c r="H124" s="141">
        <f t="shared" si="18"/>
        <v>0</v>
      </c>
      <c r="I124" s="141">
        <f t="shared" si="18"/>
        <v>0</v>
      </c>
      <c r="J124" s="141">
        <f t="shared" si="18"/>
        <v>0</v>
      </c>
      <c r="K124" s="141">
        <f t="shared" si="18"/>
        <v>0</v>
      </c>
      <c r="L124" s="141">
        <f t="shared" si="18"/>
        <v>0</v>
      </c>
      <c r="M124" s="141">
        <f t="shared" si="18"/>
        <v>0</v>
      </c>
      <c r="N124" s="143"/>
    </row>
    <row r="125" spans="1:14" ht="12.75" hidden="1" x14ac:dyDescent="0.2">
      <c r="A125" s="134" t="s">
        <v>183</v>
      </c>
      <c r="B125" s="141">
        <f t="shared" ref="B125:M125" si="19">B95*B110</f>
        <v>0</v>
      </c>
      <c r="C125" s="141">
        <f t="shared" si="19"/>
        <v>0</v>
      </c>
      <c r="D125" s="141">
        <f t="shared" si="19"/>
        <v>0</v>
      </c>
      <c r="E125" s="141">
        <f t="shared" si="19"/>
        <v>0</v>
      </c>
      <c r="F125" s="141">
        <f t="shared" si="19"/>
        <v>0</v>
      </c>
      <c r="G125" s="141">
        <f t="shared" si="19"/>
        <v>0</v>
      </c>
      <c r="H125" s="141">
        <f t="shared" si="19"/>
        <v>0</v>
      </c>
      <c r="I125" s="141">
        <f t="shared" si="19"/>
        <v>0</v>
      </c>
      <c r="J125" s="141">
        <f t="shared" si="19"/>
        <v>0</v>
      </c>
      <c r="K125" s="141">
        <f t="shared" si="19"/>
        <v>0</v>
      </c>
      <c r="L125" s="141">
        <f t="shared" si="19"/>
        <v>0</v>
      </c>
      <c r="M125" s="141">
        <f t="shared" si="19"/>
        <v>0</v>
      </c>
      <c r="N125" s="143"/>
    </row>
    <row r="126" spans="1:14" ht="12.75" hidden="1" x14ac:dyDescent="0.2">
      <c r="A126" s="134" t="s">
        <v>185</v>
      </c>
      <c r="B126" s="141">
        <f t="shared" ref="B126:M126" si="20">B96*B111</f>
        <v>0</v>
      </c>
      <c r="C126" s="141">
        <f t="shared" si="20"/>
        <v>0</v>
      </c>
      <c r="D126" s="141">
        <f t="shared" si="20"/>
        <v>0</v>
      </c>
      <c r="E126" s="141">
        <f t="shared" si="20"/>
        <v>0</v>
      </c>
      <c r="F126" s="141">
        <f t="shared" si="20"/>
        <v>0</v>
      </c>
      <c r="G126" s="141">
        <f t="shared" si="20"/>
        <v>0</v>
      </c>
      <c r="H126" s="141">
        <f t="shared" si="20"/>
        <v>0</v>
      </c>
      <c r="I126" s="141">
        <f t="shared" si="20"/>
        <v>0</v>
      </c>
      <c r="J126" s="141">
        <f t="shared" si="20"/>
        <v>0</v>
      </c>
      <c r="K126" s="141">
        <f t="shared" si="20"/>
        <v>0</v>
      </c>
      <c r="L126" s="141">
        <f t="shared" si="20"/>
        <v>0</v>
      </c>
      <c r="M126" s="141">
        <f t="shared" si="20"/>
        <v>0</v>
      </c>
      <c r="N126" s="143"/>
    </row>
    <row r="127" spans="1:14" ht="12.75" hidden="1" x14ac:dyDescent="0.2">
      <c r="A127" s="134" t="s">
        <v>186</v>
      </c>
      <c r="B127" s="141">
        <f t="shared" ref="B127:M127" si="21">B97*B112</f>
        <v>0</v>
      </c>
      <c r="C127" s="141">
        <f t="shared" si="21"/>
        <v>0</v>
      </c>
      <c r="D127" s="141">
        <f t="shared" si="21"/>
        <v>0</v>
      </c>
      <c r="E127" s="141">
        <f t="shared" si="21"/>
        <v>0</v>
      </c>
      <c r="F127" s="141">
        <f t="shared" si="21"/>
        <v>0</v>
      </c>
      <c r="G127" s="141">
        <f t="shared" si="21"/>
        <v>0</v>
      </c>
      <c r="H127" s="141">
        <f t="shared" si="21"/>
        <v>0</v>
      </c>
      <c r="I127" s="141">
        <f t="shared" si="21"/>
        <v>0</v>
      </c>
      <c r="J127" s="141">
        <f t="shared" si="21"/>
        <v>0</v>
      </c>
      <c r="K127" s="141">
        <f t="shared" si="21"/>
        <v>0</v>
      </c>
      <c r="L127" s="141">
        <f t="shared" si="21"/>
        <v>0</v>
      </c>
      <c r="M127" s="141">
        <f t="shared" si="21"/>
        <v>0</v>
      </c>
      <c r="N127" s="143"/>
    </row>
    <row r="128" spans="1:14" ht="12.75" hidden="1" x14ac:dyDescent="0.2">
      <c r="A128" s="134" t="s">
        <v>187</v>
      </c>
      <c r="B128" s="141">
        <f t="shared" ref="B128:M128" si="22">B98*B113</f>
        <v>0</v>
      </c>
      <c r="C128" s="141">
        <f t="shared" si="22"/>
        <v>0</v>
      </c>
      <c r="D128" s="141">
        <f t="shared" si="22"/>
        <v>0</v>
      </c>
      <c r="E128" s="141">
        <f t="shared" si="22"/>
        <v>0</v>
      </c>
      <c r="F128" s="141">
        <f t="shared" si="22"/>
        <v>0</v>
      </c>
      <c r="G128" s="141">
        <f t="shared" si="22"/>
        <v>0</v>
      </c>
      <c r="H128" s="141">
        <f t="shared" si="22"/>
        <v>0</v>
      </c>
      <c r="I128" s="141">
        <f t="shared" si="22"/>
        <v>0</v>
      </c>
      <c r="J128" s="141">
        <f t="shared" si="22"/>
        <v>0</v>
      </c>
      <c r="K128" s="141">
        <f t="shared" si="22"/>
        <v>0</v>
      </c>
      <c r="L128" s="141">
        <f t="shared" si="22"/>
        <v>0</v>
      </c>
      <c r="M128" s="141">
        <f t="shared" si="22"/>
        <v>0</v>
      </c>
      <c r="N128" s="143"/>
    </row>
    <row r="129" spans="1:13" ht="12.75" hidden="1" x14ac:dyDescent="0.2">
      <c r="A129" s="134" t="s">
        <v>212</v>
      </c>
      <c r="B129" s="141">
        <f t="shared" ref="B129:M129" si="23">B99*B114</f>
        <v>174</v>
      </c>
      <c r="C129" s="141">
        <f t="shared" si="23"/>
        <v>174</v>
      </c>
      <c r="D129" s="141">
        <f t="shared" si="23"/>
        <v>174</v>
      </c>
      <c r="E129" s="141">
        <f t="shared" si="23"/>
        <v>174</v>
      </c>
      <c r="F129" s="141">
        <f t="shared" si="23"/>
        <v>174</v>
      </c>
      <c r="G129" s="141">
        <f t="shared" si="23"/>
        <v>174</v>
      </c>
      <c r="H129" s="141">
        <f t="shared" si="23"/>
        <v>174</v>
      </c>
      <c r="I129" s="141">
        <f t="shared" si="23"/>
        <v>174</v>
      </c>
      <c r="J129" s="141">
        <f t="shared" si="23"/>
        <v>174</v>
      </c>
      <c r="K129" s="141">
        <f t="shared" si="23"/>
        <v>174</v>
      </c>
      <c r="L129" s="141">
        <f t="shared" si="23"/>
        <v>174</v>
      </c>
      <c r="M129" s="141">
        <f t="shared" si="23"/>
        <v>174</v>
      </c>
    </row>
    <row r="130" spans="1:13" ht="12.75" hidden="1" x14ac:dyDescent="0.2">
      <c r="A130" s="134" t="s">
        <v>188</v>
      </c>
      <c r="B130" s="141">
        <f t="shared" ref="B130:M130" si="24">B100*B115</f>
        <v>1485</v>
      </c>
      <c r="C130" s="141">
        <f t="shared" si="24"/>
        <v>1485</v>
      </c>
      <c r="D130" s="141">
        <f t="shared" si="24"/>
        <v>1485</v>
      </c>
      <c r="E130" s="141">
        <f t="shared" si="24"/>
        <v>1485</v>
      </c>
      <c r="F130" s="141">
        <f t="shared" si="24"/>
        <v>1485</v>
      </c>
      <c r="G130" s="141">
        <f t="shared" si="24"/>
        <v>1485</v>
      </c>
      <c r="H130" s="141">
        <f t="shared" si="24"/>
        <v>1485</v>
      </c>
      <c r="I130" s="141">
        <f t="shared" si="24"/>
        <v>1485</v>
      </c>
      <c r="J130" s="141">
        <f t="shared" si="24"/>
        <v>1485</v>
      </c>
      <c r="K130" s="141">
        <f t="shared" si="24"/>
        <v>1485</v>
      </c>
      <c r="L130" s="141">
        <f t="shared" si="24"/>
        <v>1485</v>
      </c>
      <c r="M130" s="141">
        <f t="shared" si="24"/>
        <v>1485</v>
      </c>
    </row>
    <row r="131" spans="1:13" ht="12.75" hidden="1" x14ac:dyDescent="0.2">
      <c r="A131" s="134" t="s">
        <v>189</v>
      </c>
      <c r="B131" s="141">
        <f t="shared" ref="B131:M131" si="25">B101*B116</f>
        <v>174</v>
      </c>
      <c r="C131" s="141">
        <f t="shared" si="25"/>
        <v>174</v>
      </c>
      <c r="D131" s="141">
        <f t="shared" si="25"/>
        <v>174</v>
      </c>
      <c r="E131" s="141">
        <f t="shared" si="25"/>
        <v>174</v>
      </c>
      <c r="F131" s="141">
        <f t="shared" si="25"/>
        <v>174</v>
      </c>
      <c r="G131" s="141">
        <f t="shared" si="25"/>
        <v>174</v>
      </c>
      <c r="H131" s="141">
        <f t="shared" si="25"/>
        <v>174</v>
      </c>
      <c r="I131" s="141">
        <f t="shared" si="25"/>
        <v>174</v>
      </c>
      <c r="J131" s="141">
        <f t="shared" si="25"/>
        <v>174</v>
      </c>
      <c r="K131" s="141">
        <f t="shared" si="25"/>
        <v>174</v>
      </c>
      <c r="L131" s="141">
        <f t="shared" si="25"/>
        <v>174</v>
      </c>
      <c r="M131" s="141">
        <f t="shared" si="25"/>
        <v>174</v>
      </c>
    </row>
    <row r="132" spans="1:13" ht="12.75" hidden="1" x14ac:dyDescent="0.2">
      <c r="A132" s="134" t="s">
        <v>190</v>
      </c>
      <c r="B132" s="141">
        <f t="shared" ref="B132:M132" si="26">B102*B117</f>
        <v>0</v>
      </c>
      <c r="C132" s="141">
        <f t="shared" si="26"/>
        <v>0</v>
      </c>
      <c r="D132" s="141">
        <f t="shared" si="26"/>
        <v>0</v>
      </c>
      <c r="E132" s="141">
        <f t="shared" si="26"/>
        <v>0</v>
      </c>
      <c r="F132" s="141">
        <f t="shared" si="26"/>
        <v>0</v>
      </c>
      <c r="G132" s="141">
        <f t="shared" si="26"/>
        <v>0</v>
      </c>
      <c r="H132" s="141">
        <f t="shared" si="26"/>
        <v>0</v>
      </c>
      <c r="I132" s="141">
        <f t="shared" si="26"/>
        <v>0</v>
      </c>
      <c r="J132" s="141">
        <f t="shared" si="26"/>
        <v>0</v>
      </c>
      <c r="K132" s="141">
        <f t="shared" si="26"/>
        <v>0</v>
      </c>
      <c r="L132" s="141">
        <f t="shared" si="26"/>
        <v>0</v>
      </c>
      <c r="M132" s="141">
        <f t="shared" si="26"/>
        <v>0</v>
      </c>
    </row>
    <row r="133" spans="1:13" ht="12.75" hidden="1" x14ac:dyDescent="0.2">
      <c r="A133" s="134" t="s">
        <v>191</v>
      </c>
      <c r="B133" s="141">
        <f t="shared" ref="B133:M133" si="27">B103*B118</f>
        <v>58</v>
      </c>
      <c r="C133" s="141">
        <f t="shared" si="27"/>
        <v>58</v>
      </c>
      <c r="D133" s="141">
        <f t="shared" si="27"/>
        <v>58</v>
      </c>
      <c r="E133" s="141">
        <f t="shared" si="27"/>
        <v>58</v>
      </c>
      <c r="F133" s="141">
        <f t="shared" si="27"/>
        <v>58</v>
      </c>
      <c r="G133" s="141">
        <f t="shared" si="27"/>
        <v>58</v>
      </c>
      <c r="H133" s="141">
        <f t="shared" si="27"/>
        <v>58</v>
      </c>
      <c r="I133" s="141">
        <f t="shared" si="27"/>
        <v>58</v>
      </c>
      <c r="J133" s="141">
        <f t="shared" si="27"/>
        <v>58</v>
      </c>
      <c r="K133" s="141">
        <f t="shared" si="27"/>
        <v>58</v>
      </c>
      <c r="L133" s="141">
        <f t="shared" si="27"/>
        <v>58</v>
      </c>
      <c r="M133" s="141">
        <f t="shared" si="27"/>
        <v>58</v>
      </c>
    </row>
    <row r="134" spans="1:13" ht="12.75" hidden="1" x14ac:dyDescent="0.2">
      <c r="A134" s="144"/>
    </row>
    <row r="135" spans="1:13" ht="12.75" hidden="1" x14ac:dyDescent="0.2">
      <c r="A135" s="144"/>
    </row>
    <row r="136" spans="1:13" ht="25.5" hidden="1" x14ac:dyDescent="0.2">
      <c r="A136" s="200" t="s">
        <v>193</v>
      </c>
      <c r="B136" s="201" t="s">
        <v>5</v>
      </c>
      <c r="C136" s="201" t="s">
        <v>6</v>
      </c>
      <c r="D136" s="201" t="s">
        <v>7</v>
      </c>
      <c r="E136" s="201" t="s">
        <v>8</v>
      </c>
      <c r="F136" s="201" t="s">
        <v>9</v>
      </c>
      <c r="G136" s="201" t="s">
        <v>10</v>
      </c>
      <c r="H136" s="201" t="s">
        <v>11</v>
      </c>
      <c r="I136" s="201" t="s">
        <v>12</v>
      </c>
      <c r="J136" s="201" t="s">
        <v>13</v>
      </c>
      <c r="K136" s="201" t="s">
        <v>14</v>
      </c>
      <c r="L136" s="201" t="s">
        <v>15</v>
      </c>
      <c r="M136" s="202" t="s">
        <v>16</v>
      </c>
    </row>
    <row r="137" spans="1:13" ht="12.75" hidden="1" x14ac:dyDescent="0.2">
      <c r="A137" s="203" t="s">
        <v>181</v>
      </c>
      <c r="B137" s="208">
        <v>1</v>
      </c>
      <c r="C137" s="208"/>
      <c r="D137" s="208"/>
      <c r="E137" s="208"/>
      <c r="F137" s="208"/>
      <c r="G137" s="208"/>
      <c r="H137" s="208"/>
      <c r="I137" s="208"/>
      <c r="J137" s="208"/>
      <c r="K137" s="208"/>
      <c r="L137" s="208"/>
      <c r="M137" s="209"/>
    </row>
    <row r="138" spans="1:13" ht="12.75" hidden="1" x14ac:dyDescent="0.2">
      <c r="A138" s="203" t="s">
        <v>182</v>
      </c>
      <c r="B138" s="208">
        <v>1</v>
      </c>
      <c r="C138" s="208"/>
      <c r="D138" s="208"/>
      <c r="E138" s="208"/>
      <c r="F138" s="208"/>
      <c r="G138" s="208"/>
      <c r="H138" s="208"/>
      <c r="I138" s="208"/>
      <c r="J138" s="208"/>
      <c r="K138" s="208"/>
      <c r="L138" s="208"/>
      <c r="M138" s="209"/>
    </row>
    <row r="139" spans="1:13" ht="12.75" hidden="1" x14ac:dyDescent="0.2">
      <c r="A139" s="203" t="s">
        <v>184</v>
      </c>
      <c r="B139" s="208"/>
      <c r="C139" s="208"/>
      <c r="D139" s="208"/>
      <c r="E139" s="208"/>
      <c r="F139" s="208"/>
      <c r="G139" s="208"/>
      <c r="H139" s="208"/>
      <c r="I139" s="208"/>
      <c r="J139" s="208"/>
      <c r="K139" s="208"/>
      <c r="L139" s="208"/>
      <c r="M139" s="209"/>
    </row>
    <row r="140" spans="1:13" ht="12.75" hidden="1" x14ac:dyDescent="0.2">
      <c r="A140" s="203" t="s">
        <v>183</v>
      </c>
      <c r="B140" s="208"/>
      <c r="C140" s="208"/>
      <c r="D140" s="208"/>
      <c r="E140" s="208"/>
      <c r="F140" s="208"/>
      <c r="G140" s="208"/>
      <c r="H140" s="208"/>
      <c r="I140" s="208"/>
      <c r="J140" s="208"/>
      <c r="K140" s="208"/>
      <c r="L140" s="208"/>
      <c r="M140" s="209"/>
    </row>
    <row r="141" spans="1:13" ht="12.75" hidden="1" x14ac:dyDescent="0.2">
      <c r="A141" s="203" t="s">
        <v>185</v>
      </c>
      <c r="B141" s="208"/>
      <c r="C141" s="208"/>
      <c r="D141" s="208"/>
      <c r="E141" s="208"/>
      <c r="F141" s="208"/>
      <c r="G141" s="208"/>
      <c r="H141" s="208"/>
      <c r="I141" s="208"/>
      <c r="J141" s="208"/>
      <c r="K141" s="208"/>
      <c r="L141" s="208"/>
      <c r="M141" s="209"/>
    </row>
    <row r="142" spans="1:13" ht="12.75" hidden="1" x14ac:dyDescent="0.2">
      <c r="A142" s="203" t="s">
        <v>186</v>
      </c>
      <c r="B142" s="208"/>
      <c r="C142" s="208"/>
      <c r="D142" s="208"/>
      <c r="E142" s="208"/>
      <c r="F142" s="208"/>
      <c r="G142" s="208"/>
      <c r="H142" s="208"/>
      <c r="I142" s="208"/>
      <c r="J142" s="208"/>
      <c r="K142" s="208"/>
      <c r="L142" s="208"/>
      <c r="M142" s="209"/>
    </row>
    <row r="143" spans="1:13" ht="12.75" hidden="1" x14ac:dyDescent="0.2">
      <c r="A143" s="203" t="s">
        <v>187</v>
      </c>
      <c r="B143" s="208"/>
      <c r="C143" s="208"/>
      <c r="D143" s="208"/>
      <c r="E143" s="208"/>
      <c r="F143" s="208"/>
      <c r="G143" s="208"/>
      <c r="H143" s="208"/>
      <c r="I143" s="208"/>
      <c r="J143" s="208"/>
      <c r="K143" s="208"/>
      <c r="L143" s="208"/>
      <c r="M143" s="209"/>
    </row>
    <row r="144" spans="1:13" ht="12.75" hidden="1" x14ac:dyDescent="0.2">
      <c r="A144" s="203" t="s">
        <v>212</v>
      </c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9"/>
    </row>
    <row r="145" spans="1:13" ht="12.75" hidden="1" x14ac:dyDescent="0.2">
      <c r="A145" s="203" t="s">
        <v>188</v>
      </c>
      <c r="B145" s="208">
        <v>1</v>
      </c>
      <c r="C145" s="208"/>
      <c r="D145" s="208"/>
      <c r="E145" s="208"/>
      <c r="F145" s="208"/>
      <c r="G145" s="208"/>
      <c r="H145" s="208"/>
      <c r="I145" s="208"/>
      <c r="J145" s="208"/>
      <c r="K145" s="208"/>
      <c r="L145" s="208"/>
      <c r="M145" s="209"/>
    </row>
    <row r="146" spans="1:13" ht="12.75" hidden="1" x14ac:dyDescent="0.2">
      <c r="A146" s="203" t="s">
        <v>189</v>
      </c>
      <c r="B146" s="208"/>
      <c r="C146" s="208"/>
      <c r="D146" s="208"/>
      <c r="E146" s="208"/>
      <c r="F146" s="208"/>
      <c r="G146" s="208"/>
      <c r="H146" s="208"/>
      <c r="I146" s="208"/>
      <c r="J146" s="208"/>
      <c r="K146" s="208"/>
      <c r="L146" s="208"/>
      <c r="M146" s="209"/>
    </row>
    <row r="147" spans="1:13" ht="12.75" hidden="1" x14ac:dyDescent="0.2">
      <c r="A147" s="203" t="s">
        <v>190</v>
      </c>
      <c r="B147" s="208"/>
      <c r="C147" s="208"/>
      <c r="D147" s="208"/>
      <c r="E147" s="208"/>
      <c r="F147" s="208"/>
      <c r="G147" s="208"/>
      <c r="H147" s="208"/>
      <c r="I147" s="208"/>
      <c r="J147" s="208"/>
      <c r="K147" s="208"/>
      <c r="L147" s="208"/>
      <c r="M147" s="209"/>
    </row>
    <row r="148" spans="1:13" ht="12.75" hidden="1" x14ac:dyDescent="0.2">
      <c r="A148" s="205" t="s">
        <v>191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1"/>
    </row>
    <row r="149" spans="1:13" ht="12.75" hidden="1" x14ac:dyDescent="0.2">
      <c r="A149" s="144"/>
    </row>
    <row r="150" spans="1:13" ht="12.75" hidden="1" x14ac:dyDescent="0.2">
      <c r="A150" s="144"/>
    </row>
    <row r="151" spans="1:13" ht="25.5" hidden="1" x14ac:dyDescent="0.2">
      <c r="A151" s="200" t="s">
        <v>194</v>
      </c>
      <c r="B151" s="201" t="s">
        <v>5</v>
      </c>
      <c r="C151" s="201" t="s">
        <v>6</v>
      </c>
      <c r="D151" s="201" t="s">
        <v>7</v>
      </c>
      <c r="E151" s="201" t="s">
        <v>8</v>
      </c>
      <c r="F151" s="201" t="s">
        <v>9</v>
      </c>
      <c r="G151" s="201" t="s">
        <v>10</v>
      </c>
      <c r="H151" s="201" t="s">
        <v>11</v>
      </c>
      <c r="I151" s="201" t="s">
        <v>12</v>
      </c>
      <c r="J151" s="201" t="s">
        <v>13</v>
      </c>
      <c r="K151" s="201" t="s">
        <v>14</v>
      </c>
      <c r="L151" s="201" t="s">
        <v>15</v>
      </c>
      <c r="M151" s="202" t="s">
        <v>16</v>
      </c>
    </row>
    <row r="152" spans="1:13" ht="12.75" hidden="1" x14ac:dyDescent="0.2">
      <c r="A152" s="203" t="s">
        <v>181</v>
      </c>
      <c r="B152" s="204">
        <f>B122*B137</f>
        <v>0</v>
      </c>
      <c r="C152" s="204">
        <f t="shared" ref="C152:M152" si="28">C122*C137</f>
        <v>0</v>
      </c>
      <c r="D152" s="204">
        <f t="shared" si="28"/>
        <v>0</v>
      </c>
      <c r="E152" s="204">
        <f t="shared" si="28"/>
        <v>0</v>
      </c>
      <c r="F152" s="204">
        <f t="shared" si="28"/>
        <v>0</v>
      </c>
      <c r="G152" s="204">
        <f t="shared" si="28"/>
        <v>0</v>
      </c>
      <c r="H152" s="204">
        <f t="shared" si="28"/>
        <v>0</v>
      </c>
      <c r="I152" s="204">
        <f t="shared" si="28"/>
        <v>0</v>
      </c>
      <c r="J152" s="204">
        <f t="shared" si="28"/>
        <v>0</v>
      </c>
      <c r="K152" s="204">
        <f t="shared" si="28"/>
        <v>0</v>
      </c>
      <c r="L152" s="204">
        <f t="shared" si="28"/>
        <v>0</v>
      </c>
      <c r="M152" s="204">
        <f t="shared" si="28"/>
        <v>0</v>
      </c>
    </row>
    <row r="153" spans="1:13" ht="12.75" hidden="1" x14ac:dyDescent="0.2">
      <c r="A153" s="203" t="s">
        <v>182</v>
      </c>
      <c r="B153" s="204">
        <f t="shared" ref="B153:M153" si="29">B123*B138</f>
        <v>29</v>
      </c>
      <c r="C153" s="204">
        <f t="shared" si="29"/>
        <v>0</v>
      </c>
      <c r="D153" s="204">
        <f t="shared" si="29"/>
        <v>0</v>
      </c>
      <c r="E153" s="204">
        <f t="shared" si="29"/>
        <v>0</v>
      </c>
      <c r="F153" s="204">
        <f t="shared" si="29"/>
        <v>0</v>
      </c>
      <c r="G153" s="204">
        <f t="shared" si="29"/>
        <v>0</v>
      </c>
      <c r="H153" s="204">
        <f t="shared" si="29"/>
        <v>0</v>
      </c>
      <c r="I153" s="204">
        <f t="shared" si="29"/>
        <v>0</v>
      </c>
      <c r="J153" s="204">
        <f t="shared" si="29"/>
        <v>0</v>
      </c>
      <c r="K153" s="204">
        <f t="shared" si="29"/>
        <v>0</v>
      </c>
      <c r="L153" s="204">
        <f t="shared" si="29"/>
        <v>0</v>
      </c>
      <c r="M153" s="204">
        <f t="shared" si="29"/>
        <v>0</v>
      </c>
    </row>
    <row r="154" spans="1:13" ht="12.75" hidden="1" x14ac:dyDescent="0.2">
      <c r="A154" s="203" t="s">
        <v>184</v>
      </c>
      <c r="B154" s="204">
        <f t="shared" ref="B154:M154" si="30">B124*B139</f>
        <v>0</v>
      </c>
      <c r="C154" s="204">
        <f t="shared" si="30"/>
        <v>0</v>
      </c>
      <c r="D154" s="204">
        <f t="shared" si="30"/>
        <v>0</v>
      </c>
      <c r="E154" s="204">
        <f t="shared" si="30"/>
        <v>0</v>
      </c>
      <c r="F154" s="204">
        <f t="shared" si="30"/>
        <v>0</v>
      </c>
      <c r="G154" s="204">
        <f t="shared" si="30"/>
        <v>0</v>
      </c>
      <c r="H154" s="204">
        <f t="shared" si="30"/>
        <v>0</v>
      </c>
      <c r="I154" s="204">
        <f t="shared" si="30"/>
        <v>0</v>
      </c>
      <c r="J154" s="204">
        <f t="shared" si="30"/>
        <v>0</v>
      </c>
      <c r="K154" s="204">
        <f t="shared" si="30"/>
        <v>0</v>
      </c>
      <c r="L154" s="204">
        <f t="shared" si="30"/>
        <v>0</v>
      </c>
      <c r="M154" s="204">
        <f t="shared" si="30"/>
        <v>0</v>
      </c>
    </row>
    <row r="155" spans="1:13" ht="12.75" hidden="1" x14ac:dyDescent="0.2">
      <c r="A155" s="203" t="s">
        <v>183</v>
      </c>
      <c r="B155" s="204">
        <f t="shared" ref="B155:M155" si="31">B125*B140</f>
        <v>0</v>
      </c>
      <c r="C155" s="204">
        <f t="shared" si="31"/>
        <v>0</v>
      </c>
      <c r="D155" s="204">
        <f t="shared" si="31"/>
        <v>0</v>
      </c>
      <c r="E155" s="204">
        <f t="shared" si="31"/>
        <v>0</v>
      </c>
      <c r="F155" s="204">
        <f t="shared" si="31"/>
        <v>0</v>
      </c>
      <c r="G155" s="204">
        <f t="shared" si="31"/>
        <v>0</v>
      </c>
      <c r="H155" s="204">
        <f t="shared" si="31"/>
        <v>0</v>
      </c>
      <c r="I155" s="204">
        <f t="shared" si="31"/>
        <v>0</v>
      </c>
      <c r="J155" s="204">
        <f t="shared" si="31"/>
        <v>0</v>
      </c>
      <c r="K155" s="204">
        <f t="shared" si="31"/>
        <v>0</v>
      </c>
      <c r="L155" s="204">
        <f t="shared" si="31"/>
        <v>0</v>
      </c>
      <c r="M155" s="204">
        <f t="shared" si="31"/>
        <v>0</v>
      </c>
    </row>
    <row r="156" spans="1:13" ht="12.75" hidden="1" x14ac:dyDescent="0.2">
      <c r="A156" s="203" t="s">
        <v>185</v>
      </c>
      <c r="B156" s="204">
        <f t="shared" ref="B156:M156" si="32">B126*B141</f>
        <v>0</v>
      </c>
      <c r="C156" s="204">
        <f t="shared" si="32"/>
        <v>0</v>
      </c>
      <c r="D156" s="204">
        <f t="shared" si="32"/>
        <v>0</v>
      </c>
      <c r="E156" s="204">
        <f t="shared" si="32"/>
        <v>0</v>
      </c>
      <c r="F156" s="204">
        <f t="shared" si="32"/>
        <v>0</v>
      </c>
      <c r="G156" s="204">
        <f t="shared" si="32"/>
        <v>0</v>
      </c>
      <c r="H156" s="204">
        <f t="shared" si="32"/>
        <v>0</v>
      </c>
      <c r="I156" s="204">
        <f t="shared" si="32"/>
        <v>0</v>
      </c>
      <c r="J156" s="204">
        <f t="shared" si="32"/>
        <v>0</v>
      </c>
      <c r="K156" s="204">
        <f t="shared" si="32"/>
        <v>0</v>
      </c>
      <c r="L156" s="204">
        <f t="shared" si="32"/>
        <v>0</v>
      </c>
      <c r="M156" s="204">
        <f t="shared" si="32"/>
        <v>0</v>
      </c>
    </row>
    <row r="157" spans="1:13" ht="12.75" hidden="1" x14ac:dyDescent="0.2">
      <c r="A157" s="203" t="s">
        <v>186</v>
      </c>
      <c r="B157" s="204">
        <f t="shared" ref="B157:M157" si="33">B127*B142</f>
        <v>0</v>
      </c>
      <c r="C157" s="204">
        <f t="shared" si="33"/>
        <v>0</v>
      </c>
      <c r="D157" s="204">
        <f t="shared" si="33"/>
        <v>0</v>
      </c>
      <c r="E157" s="204">
        <f t="shared" si="33"/>
        <v>0</v>
      </c>
      <c r="F157" s="204">
        <f t="shared" si="33"/>
        <v>0</v>
      </c>
      <c r="G157" s="204">
        <f t="shared" si="33"/>
        <v>0</v>
      </c>
      <c r="H157" s="204">
        <f t="shared" si="33"/>
        <v>0</v>
      </c>
      <c r="I157" s="204">
        <f t="shared" si="33"/>
        <v>0</v>
      </c>
      <c r="J157" s="204">
        <f t="shared" si="33"/>
        <v>0</v>
      </c>
      <c r="K157" s="204">
        <f t="shared" si="33"/>
        <v>0</v>
      </c>
      <c r="L157" s="204">
        <f t="shared" si="33"/>
        <v>0</v>
      </c>
      <c r="M157" s="204">
        <f t="shared" si="33"/>
        <v>0</v>
      </c>
    </row>
    <row r="158" spans="1:13" ht="12.75" hidden="1" x14ac:dyDescent="0.2">
      <c r="A158" s="203" t="s">
        <v>187</v>
      </c>
      <c r="B158" s="204">
        <f t="shared" ref="B158:M158" si="34">B128*B143</f>
        <v>0</v>
      </c>
      <c r="C158" s="204">
        <f t="shared" si="34"/>
        <v>0</v>
      </c>
      <c r="D158" s="204">
        <f t="shared" si="34"/>
        <v>0</v>
      </c>
      <c r="E158" s="204">
        <f t="shared" si="34"/>
        <v>0</v>
      </c>
      <c r="F158" s="204">
        <f t="shared" si="34"/>
        <v>0</v>
      </c>
      <c r="G158" s="204">
        <f t="shared" si="34"/>
        <v>0</v>
      </c>
      <c r="H158" s="204">
        <f t="shared" si="34"/>
        <v>0</v>
      </c>
      <c r="I158" s="204">
        <f t="shared" si="34"/>
        <v>0</v>
      </c>
      <c r="J158" s="204">
        <f t="shared" si="34"/>
        <v>0</v>
      </c>
      <c r="K158" s="204">
        <f t="shared" si="34"/>
        <v>0</v>
      </c>
      <c r="L158" s="204">
        <f t="shared" si="34"/>
        <v>0</v>
      </c>
      <c r="M158" s="204">
        <f t="shared" si="34"/>
        <v>0</v>
      </c>
    </row>
    <row r="159" spans="1:13" ht="12.75" hidden="1" x14ac:dyDescent="0.2">
      <c r="A159" s="203" t="s">
        <v>187</v>
      </c>
      <c r="B159" s="204">
        <f t="shared" ref="B159:M159" si="35">B129*B144</f>
        <v>0</v>
      </c>
      <c r="C159" s="204">
        <f t="shared" si="35"/>
        <v>0</v>
      </c>
      <c r="D159" s="204">
        <f t="shared" si="35"/>
        <v>0</v>
      </c>
      <c r="E159" s="204">
        <f t="shared" si="35"/>
        <v>0</v>
      </c>
      <c r="F159" s="204">
        <f t="shared" si="35"/>
        <v>0</v>
      </c>
      <c r="G159" s="204">
        <f t="shared" si="35"/>
        <v>0</v>
      </c>
      <c r="H159" s="204">
        <f t="shared" si="35"/>
        <v>0</v>
      </c>
      <c r="I159" s="204">
        <f t="shared" si="35"/>
        <v>0</v>
      </c>
      <c r="J159" s="204">
        <f t="shared" si="35"/>
        <v>0</v>
      </c>
      <c r="K159" s="204">
        <f t="shared" si="35"/>
        <v>0</v>
      </c>
      <c r="L159" s="204">
        <f t="shared" si="35"/>
        <v>0</v>
      </c>
      <c r="M159" s="204">
        <f t="shared" si="35"/>
        <v>0</v>
      </c>
    </row>
    <row r="160" spans="1:13" ht="12.75" hidden="1" x14ac:dyDescent="0.2">
      <c r="A160" s="203" t="s">
        <v>188</v>
      </c>
      <c r="B160" s="204">
        <f t="shared" ref="B160:M160" si="36">B130*B145</f>
        <v>1485</v>
      </c>
      <c r="C160" s="204">
        <f t="shared" si="36"/>
        <v>0</v>
      </c>
      <c r="D160" s="204">
        <f t="shared" si="36"/>
        <v>0</v>
      </c>
      <c r="E160" s="204">
        <f t="shared" si="36"/>
        <v>0</v>
      </c>
      <c r="F160" s="204">
        <f t="shared" si="36"/>
        <v>0</v>
      </c>
      <c r="G160" s="204">
        <f t="shared" si="36"/>
        <v>0</v>
      </c>
      <c r="H160" s="204">
        <f t="shared" si="36"/>
        <v>0</v>
      </c>
      <c r="I160" s="204">
        <f t="shared" si="36"/>
        <v>0</v>
      </c>
      <c r="J160" s="204">
        <f t="shared" si="36"/>
        <v>0</v>
      </c>
      <c r="K160" s="204">
        <f t="shared" si="36"/>
        <v>0</v>
      </c>
      <c r="L160" s="204">
        <f t="shared" si="36"/>
        <v>0</v>
      </c>
      <c r="M160" s="204">
        <f t="shared" si="36"/>
        <v>0</v>
      </c>
    </row>
    <row r="161" spans="1:13" ht="12.75" hidden="1" x14ac:dyDescent="0.2">
      <c r="A161" s="203" t="s">
        <v>189</v>
      </c>
      <c r="B161" s="204">
        <f t="shared" ref="B161:M161" si="37">B131*B146</f>
        <v>0</v>
      </c>
      <c r="C161" s="204">
        <f t="shared" si="37"/>
        <v>0</v>
      </c>
      <c r="D161" s="204">
        <f t="shared" si="37"/>
        <v>0</v>
      </c>
      <c r="E161" s="204">
        <f t="shared" si="37"/>
        <v>0</v>
      </c>
      <c r="F161" s="204">
        <f t="shared" si="37"/>
        <v>0</v>
      </c>
      <c r="G161" s="204">
        <f t="shared" si="37"/>
        <v>0</v>
      </c>
      <c r="H161" s="204">
        <f t="shared" si="37"/>
        <v>0</v>
      </c>
      <c r="I161" s="204">
        <f t="shared" si="37"/>
        <v>0</v>
      </c>
      <c r="J161" s="204">
        <f t="shared" si="37"/>
        <v>0</v>
      </c>
      <c r="K161" s="204">
        <f t="shared" si="37"/>
        <v>0</v>
      </c>
      <c r="L161" s="204">
        <f t="shared" si="37"/>
        <v>0</v>
      </c>
      <c r="M161" s="204">
        <f t="shared" si="37"/>
        <v>0</v>
      </c>
    </row>
    <row r="162" spans="1:13" ht="12.75" hidden="1" x14ac:dyDescent="0.2">
      <c r="A162" s="203" t="s">
        <v>190</v>
      </c>
      <c r="B162" s="204">
        <f t="shared" ref="B162:M162" si="38">B132*B147</f>
        <v>0</v>
      </c>
      <c r="C162" s="204">
        <f t="shared" si="38"/>
        <v>0</v>
      </c>
      <c r="D162" s="204">
        <f t="shared" si="38"/>
        <v>0</v>
      </c>
      <c r="E162" s="204">
        <f t="shared" si="38"/>
        <v>0</v>
      </c>
      <c r="F162" s="204">
        <f t="shared" si="38"/>
        <v>0</v>
      </c>
      <c r="G162" s="204">
        <f t="shared" si="38"/>
        <v>0</v>
      </c>
      <c r="H162" s="204">
        <f t="shared" si="38"/>
        <v>0</v>
      </c>
      <c r="I162" s="204">
        <f t="shared" si="38"/>
        <v>0</v>
      </c>
      <c r="J162" s="204">
        <f t="shared" si="38"/>
        <v>0</v>
      </c>
      <c r="K162" s="204">
        <f t="shared" si="38"/>
        <v>0</v>
      </c>
      <c r="L162" s="204">
        <f t="shared" si="38"/>
        <v>0</v>
      </c>
      <c r="M162" s="204">
        <f t="shared" si="38"/>
        <v>0</v>
      </c>
    </row>
    <row r="163" spans="1:13" ht="12.75" hidden="1" x14ac:dyDescent="0.2">
      <c r="A163" s="205" t="s">
        <v>191</v>
      </c>
      <c r="B163" s="204">
        <f t="shared" ref="B163:M163" si="39">B133*B148</f>
        <v>0</v>
      </c>
      <c r="C163" s="204">
        <f t="shared" si="39"/>
        <v>0</v>
      </c>
      <c r="D163" s="204">
        <f t="shared" si="39"/>
        <v>0</v>
      </c>
      <c r="E163" s="204">
        <f t="shared" si="39"/>
        <v>0</v>
      </c>
      <c r="F163" s="204">
        <f t="shared" si="39"/>
        <v>0</v>
      </c>
      <c r="G163" s="204">
        <f t="shared" si="39"/>
        <v>0</v>
      </c>
      <c r="H163" s="204">
        <f t="shared" si="39"/>
        <v>0</v>
      </c>
      <c r="I163" s="204">
        <f t="shared" si="39"/>
        <v>0</v>
      </c>
      <c r="J163" s="204">
        <f t="shared" si="39"/>
        <v>0</v>
      </c>
      <c r="K163" s="204">
        <f t="shared" si="39"/>
        <v>0</v>
      </c>
      <c r="L163" s="204">
        <f t="shared" si="39"/>
        <v>0</v>
      </c>
      <c r="M163" s="204">
        <f t="shared" si="39"/>
        <v>0</v>
      </c>
    </row>
    <row r="164" spans="1:13" ht="12.75" hidden="1" x14ac:dyDescent="0.2">
      <c r="A164" s="144"/>
    </row>
    <row r="165" spans="1:13" ht="12.75" hidden="1" x14ac:dyDescent="0.2">
      <c r="A165" s="144"/>
    </row>
    <row r="166" spans="1:13" ht="25.5" hidden="1" x14ac:dyDescent="0.2">
      <c r="A166" s="200" t="s">
        <v>195</v>
      </c>
      <c r="B166" s="201" t="s">
        <v>5</v>
      </c>
      <c r="C166" s="201" t="s">
        <v>6</v>
      </c>
      <c r="D166" s="201" t="s">
        <v>7</v>
      </c>
      <c r="E166" s="201" t="s">
        <v>8</v>
      </c>
      <c r="F166" s="201" t="s">
        <v>9</v>
      </c>
      <c r="G166" s="201" t="s">
        <v>10</v>
      </c>
      <c r="H166" s="201" t="s">
        <v>11</v>
      </c>
      <c r="I166" s="201" t="s">
        <v>12</v>
      </c>
      <c r="J166" s="201" t="s">
        <v>13</v>
      </c>
      <c r="K166" s="201" t="s">
        <v>14</v>
      </c>
      <c r="L166" s="201" t="s">
        <v>15</v>
      </c>
      <c r="M166" s="202" t="s">
        <v>16</v>
      </c>
    </row>
    <row r="167" spans="1:13" ht="12.75" hidden="1" x14ac:dyDescent="0.2">
      <c r="A167" s="203" t="s">
        <v>44</v>
      </c>
      <c r="B167" s="204">
        <f t="shared" ref="B167:M167" si="40">B152+B153</f>
        <v>29</v>
      </c>
      <c r="C167" s="204">
        <f t="shared" si="40"/>
        <v>0</v>
      </c>
      <c r="D167" s="204">
        <f t="shared" si="40"/>
        <v>0</v>
      </c>
      <c r="E167" s="204">
        <f t="shared" si="40"/>
        <v>0</v>
      </c>
      <c r="F167" s="204">
        <f t="shared" si="40"/>
        <v>0</v>
      </c>
      <c r="G167" s="204">
        <f t="shared" si="40"/>
        <v>0</v>
      </c>
      <c r="H167" s="204">
        <f t="shared" si="40"/>
        <v>0</v>
      </c>
      <c r="I167" s="204">
        <f t="shared" si="40"/>
        <v>0</v>
      </c>
      <c r="J167" s="204">
        <f t="shared" si="40"/>
        <v>0</v>
      </c>
      <c r="K167" s="204">
        <f t="shared" si="40"/>
        <v>0</v>
      </c>
      <c r="L167" s="204">
        <f t="shared" si="40"/>
        <v>0</v>
      </c>
      <c r="M167" s="204">
        <f t="shared" si="40"/>
        <v>0</v>
      </c>
    </row>
    <row r="168" spans="1:13" ht="12.75" hidden="1" x14ac:dyDescent="0.2">
      <c r="A168" s="203" t="s">
        <v>42</v>
      </c>
      <c r="B168" s="204">
        <f t="shared" ref="B168:M168" si="41">B154+B155</f>
        <v>0</v>
      </c>
      <c r="C168" s="204">
        <f t="shared" si="41"/>
        <v>0</v>
      </c>
      <c r="D168" s="204">
        <f t="shared" si="41"/>
        <v>0</v>
      </c>
      <c r="E168" s="204">
        <f t="shared" si="41"/>
        <v>0</v>
      </c>
      <c r="F168" s="204">
        <f t="shared" si="41"/>
        <v>0</v>
      </c>
      <c r="G168" s="204">
        <f t="shared" si="41"/>
        <v>0</v>
      </c>
      <c r="H168" s="204">
        <f t="shared" si="41"/>
        <v>0</v>
      </c>
      <c r="I168" s="204">
        <f t="shared" si="41"/>
        <v>0</v>
      </c>
      <c r="J168" s="204">
        <f t="shared" si="41"/>
        <v>0</v>
      </c>
      <c r="K168" s="204">
        <f t="shared" si="41"/>
        <v>0</v>
      </c>
      <c r="L168" s="204">
        <f t="shared" si="41"/>
        <v>0</v>
      </c>
      <c r="M168" s="204">
        <f t="shared" si="41"/>
        <v>0</v>
      </c>
    </row>
    <row r="169" spans="1:13" ht="12.75" hidden="1" x14ac:dyDescent="0.2">
      <c r="A169" s="203" t="s">
        <v>45</v>
      </c>
      <c r="B169" s="204">
        <f t="shared" ref="B169:M169" si="42">B156+B157</f>
        <v>0</v>
      </c>
      <c r="C169" s="204">
        <f t="shared" si="42"/>
        <v>0</v>
      </c>
      <c r="D169" s="204">
        <f t="shared" si="42"/>
        <v>0</v>
      </c>
      <c r="E169" s="204">
        <f t="shared" si="42"/>
        <v>0</v>
      </c>
      <c r="F169" s="204">
        <f t="shared" si="42"/>
        <v>0</v>
      </c>
      <c r="G169" s="204">
        <f t="shared" si="42"/>
        <v>0</v>
      </c>
      <c r="H169" s="204">
        <f t="shared" si="42"/>
        <v>0</v>
      </c>
      <c r="I169" s="204">
        <f t="shared" si="42"/>
        <v>0</v>
      </c>
      <c r="J169" s="204">
        <f t="shared" si="42"/>
        <v>0</v>
      </c>
      <c r="K169" s="204">
        <f t="shared" si="42"/>
        <v>0</v>
      </c>
      <c r="L169" s="204">
        <f t="shared" si="42"/>
        <v>0</v>
      </c>
      <c r="M169" s="204">
        <f t="shared" si="42"/>
        <v>0</v>
      </c>
    </row>
    <row r="170" spans="1:13" ht="12.75" hidden="1" x14ac:dyDescent="0.2">
      <c r="A170" s="203" t="s">
        <v>196</v>
      </c>
      <c r="B170" s="204">
        <f t="shared" ref="B170:M170" si="43">B158+B159</f>
        <v>0</v>
      </c>
      <c r="C170" s="204">
        <f t="shared" si="43"/>
        <v>0</v>
      </c>
      <c r="D170" s="204">
        <f t="shared" si="43"/>
        <v>0</v>
      </c>
      <c r="E170" s="204">
        <f t="shared" si="43"/>
        <v>0</v>
      </c>
      <c r="F170" s="204">
        <f t="shared" si="43"/>
        <v>0</v>
      </c>
      <c r="G170" s="204">
        <f t="shared" si="43"/>
        <v>0</v>
      </c>
      <c r="H170" s="204">
        <f t="shared" si="43"/>
        <v>0</v>
      </c>
      <c r="I170" s="204">
        <f t="shared" si="43"/>
        <v>0</v>
      </c>
      <c r="J170" s="204">
        <f t="shared" si="43"/>
        <v>0</v>
      </c>
      <c r="K170" s="204">
        <f t="shared" si="43"/>
        <v>0</v>
      </c>
      <c r="L170" s="204">
        <f t="shared" si="43"/>
        <v>0</v>
      </c>
      <c r="M170" s="204">
        <f t="shared" si="43"/>
        <v>0</v>
      </c>
    </row>
    <row r="171" spans="1:13" ht="12.75" hidden="1" x14ac:dyDescent="0.2">
      <c r="A171" s="203" t="s">
        <v>102</v>
      </c>
      <c r="B171" s="204">
        <f t="shared" ref="B171:M171" si="44">B160+B161</f>
        <v>1485</v>
      </c>
      <c r="C171" s="204">
        <f t="shared" si="44"/>
        <v>0</v>
      </c>
      <c r="D171" s="204">
        <f t="shared" si="44"/>
        <v>0</v>
      </c>
      <c r="E171" s="204">
        <f t="shared" si="44"/>
        <v>0</v>
      </c>
      <c r="F171" s="204">
        <f t="shared" si="44"/>
        <v>0</v>
      </c>
      <c r="G171" s="204">
        <f t="shared" si="44"/>
        <v>0</v>
      </c>
      <c r="H171" s="204">
        <f t="shared" si="44"/>
        <v>0</v>
      </c>
      <c r="I171" s="204">
        <f t="shared" si="44"/>
        <v>0</v>
      </c>
      <c r="J171" s="204">
        <f t="shared" si="44"/>
        <v>0</v>
      </c>
      <c r="K171" s="204">
        <f t="shared" si="44"/>
        <v>0</v>
      </c>
      <c r="L171" s="204">
        <f t="shared" si="44"/>
        <v>0</v>
      </c>
      <c r="M171" s="204">
        <f t="shared" si="44"/>
        <v>0</v>
      </c>
    </row>
    <row r="172" spans="1:13" ht="12.75" hidden="1" x14ac:dyDescent="0.2">
      <c r="A172" s="203" t="s">
        <v>153</v>
      </c>
      <c r="B172" s="204">
        <f t="shared" ref="B172:M172" si="45">B162+B163</f>
        <v>0</v>
      </c>
      <c r="C172" s="204">
        <f t="shared" si="45"/>
        <v>0</v>
      </c>
      <c r="D172" s="204">
        <f t="shared" si="45"/>
        <v>0</v>
      </c>
      <c r="E172" s="204">
        <f t="shared" si="45"/>
        <v>0</v>
      </c>
      <c r="F172" s="204">
        <f t="shared" si="45"/>
        <v>0</v>
      </c>
      <c r="G172" s="204">
        <f t="shared" si="45"/>
        <v>0</v>
      </c>
      <c r="H172" s="204">
        <f t="shared" si="45"/>
        <v>0</v>
      </c>
      <c r="I172" s="204">
        <f t="shared" si="45"/>
        <v>0</v>
      </c>
      <c r="J172" s="204">
        <f t="shared" si="45"/>
        <v>0</v>
      </c>
      <c r="K172" s="204">
        <f t="shared" si="45"/>
        <v>0</v>
      </c>
      <c r="L172" s="204">
        <f t="shared" si="45"/>
        <v>0</v>
      </c>
      <c r="M172" s="204">
        <f t="shared" si="45"/>
        <v>0</v>
      </c>
    </row>
    <row r="173" spans="1:13" ht="12.75" hidden="1" x14ac:dyDescent="0.2">
      <c r="A173" s="144"/>
    </row>
    <row r="174" spans="1:13" ht="12.75" hidden="1" x14ac:dyDescent="0.2">
      <c r="A174" s="144"/>
    </row>
    <row r="175" spans="1:13" ht="25.5" hidden="1" x14ac:dyDescent="0.2">
      <c r="A175" s="200" t="s">
        <v>211</v>
      </c>
      <c r="B175" s="201" t="s">
        <v>5</v>
      </c>
      <c r="C175" s="201" t="s">
        <v>6</v>
      </c>
      <c r="D175" s="201" t="s">
        <v>7</v>
      </c>
      <c r="E175" s="201" t="s">
        <v>8</v>
      </c>
      <c r="F175" s="201" t="s">
        <v>9</v>
      </c>
      <c r="G175" s="201" t="s">
        <v>10</v>
      </c>
      <c r="H175" s="201" t="s">
        <v>11</v>
      </c>
      <c r="I175" s="201" t="s">
        <v>12</v>
      </c>
      <c r="J175" s="201" t="s">
        <v>13</v>
      </c>
      <c r="K175" s="201" t="s">
        <v>14</v>
      </c>
      <c r="L175" s="201" t="s">
        <v>15</v>
      </c>
      <c r="M175" s="202" t="s">
        <v>16</v>
      </c>
    </row>
    <row r="176" spans="1:13" ht="12.75" hidden="1" x14ac:dyDescent="0.2">
      <c r="A176" s="203" t="s">
        <v>44</v>
      </c>
      <c r="B176" s="204">
        <f t="shared" ref="B176:B181" si="46">B167*$B$8</f>
        <v>754</v>
      </c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</row>
    <row r="177" spans="1:13" ht="12.75" hidden="1" x14ac:dyDescent="0.2">
      <c r="A177" s="203" t="s">
        <v>42</v>
      </c>
      <c r="B177" s="204">
        <f t="shared" si="46"/>
        <v>0</v>
      </c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</row>
    <row r="178" spans="1:13" ht="12.75" hidden="1" x14ac:dyDescent="0.2">
      <c r="A178" s="203" t="s">
        <v>45</v>
      </c>
      <c r="B178" s="204">
        <f t="shared" si="46"/>
        <v>0</v>
      </c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</row>
    <row r="179" spans="1:13" ht="12.75" hidden="1" x14ac:dyDescent="0.2">
      <c r="A179" s="203" t="s">
        <v>196</v>
      </c>
      <c r="B179" s="204">
        <f t="shared" si="46"/>
        <v>0</v>
      </c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</row>
    <row r="180" spans="1:13" ht="12.75" hidden="1" x14ac:dyDescent="0.2">
      <c r="A180" s="203" t="s">
        <v>102</v>
      </c>
      <c r="B180" s="204">
        <f t="shared" si="46"/>
        <v>38610</v>
      </c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</row>
    <row r="181" spans="1:13" ht="12.75" hidden="1" x14ac:dyDescent="0.2">
      <c r="A181" s="203" t="s">
        <v>153</v>
      </c>
      <c r="B181" s="204">
        <f t="shared" si="46"/>
        <v>0</v>
      </c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</row>
    <row r="182" spans="1:13" ht="12.75" hidden="1" x14ac:dyDescent="0.2">
      <c r="A182" s="203" t="s">
        <v>20</v>
      </c>
      <c r="B182" s="176">
        <f>SUM(B176:B181)</f>
        <v>39364</v>
      </c>
    </row>
    <row r="183" spans="1:13" ht="12.75" hidden="1" x14ac:dyDescent="0.2">
      <c r="A183" s="144"/>
    </row>
    <row r="184" spans="1:13" ht="12.75" hidden="1" x14ac:dyDescent="0.2">
      <c r="A184" s="144"/>
    </row>
    <row r="185" spans="1:13" ht="12.75" hidden="1" x14ac:dyDescent="0.2">
      <c r="A185" s="144"/>
      <c r="B185" s="14" t="s">
        <v>208</v>
      </c>
      <c r="C185" s="14" t="s">
        <v>209</v>
      </c>
    </row>
    <row r="186" spans="1:13" ht="12.75" hidden="1" x14ac:dyDescent="0.2">
      <c r="A186" s="144"/>
    </row>
    <row r="187" spans="1:13" ht="12.75" hidden="1" x14ac:dyDescent="0.2">
      <c r="A187" s="144"/>
      <c r="B187" s="14" t="s">
        <v>210</v>
      </c>
    </row>
    <row r="188" spans="1:13" ht="12.75" x14ac:dyDescent="0.2">
      <c r="A188" s="144"/>
    </row>
    <row r="189" spans="1:13" ht="12.75" x14ac:dyDescent="0.2">
      <c r="A189" s="144"/>
    </row>
    <row r="190" spans="1:13" ht="12.75" x14ac:dyDescent="0.2">
      <c r="A190" s="144"/>
    </row>
    <row r="191" spans="1:13" ht="12.75" x14ac:dyDescent="0.2">
      <c r="A191" s="200" t="s">
        <v>180</v>
      </c>
      <c r="B191" s="201" t="s">
        <v>5</v>
      </c>
      <c r="C191" s="201" t="s">
        <v>6</v>
      </c>
      <c r="D191" s="201" t="s">
        <v>7</v>
      </c>
      <c r="E191" s="201" t="s">
        <v>8</v>
      </c>
      <c r="F191" s="201" t="s">
        <v>9</v>
      </c>
      <c r="G191" s="201" t="s">
        <v>10</v>
      </c>
      <c r="H191" s="201" t="s">
        <v>11</v>
      </c>
      <c r="I191" s="201" t="s">
        <v>12</v>
      </c>
      <c r="J191" s="201" t="s">
        <v>13</v>
      </c>
      <c r="K191" s="201" t="s">
        <v>14</v>
      </c>
      <c r="L191" s="201" t="s">
        <v>15</v>
      </c>
      <c r="M191" s="202" t="s">
        <v>16</v>
      </c>
    </row>
    <row r="192" spans="1:13" ht="12.75" x14ac:dyDescent="0.2">
      <c r="A192" s="203" t="s">
        <v>213</v>
      </c>
      <c r="B192" s="208">
        <v>19</v>
      </c>
      <c r="C192" s="208">
        <v>19</v>
      </c>
      <c r="D192" s="208">
        <v>19</v>
      </c>
      <c r="E192" s="208">
        <v>19</v>
      </c>
      <c r="F192" s="208">
        <v>19</v>
      </c>
      <c r="G192" s="208">
        <v>19</v>
      </c>
      <c r="H192" s="208">
        <v>19</v>
      </c>
      <c r="I192" s="208">
        <v>19</v>
      </c>
      <c r="J192" s="208">
        <v>19</v>
      </c>
      <c r="K192" s="208">
        <v>19</v>
      </c>
      <c r="L192" s="208">
        <v>19</v>
      </c>
      <c r="M192" s="208">
        <v>19</v>
      </c>
    </row>
    <row r="193" spans="1:13" ht="12.75" x14ac:dyDescent="0.2">
      <c r="A193" s="203" t="s">
        <v>214</v>
      </c>
      <c r="B193" s="208">
        <v>9</v>
      </c>
      <c r="C193" s="208">
        <v>9</v>
      </c>
      <c r="D193" s="208">
        <v>9</v>
      </c>
      <c r="E193" s="208">
        <v>9</v>
      </c>
      <c r="F193" s="208">
        <v>9</v>
      </c>
      <c r="G193" s="208">
        <v>9</v>
      </c>
      <c r="H193" s="208">
        <v>9</v>
      </c>
      <c r="I193" s="208">
        <v>9</v>
      </c>
      <c r="J193" s="208">
        <v>9</v>
      </c>
      <c r="K193" s="208">
        <v>9</v>
      </c>
      <c r="L193" s="208">
        <v>9</v>
      </c>
      <c r="M193" s="208">
        <v>9</v>
      </c>
    </row>
    <row r="194" spans="1:13" ht="12.75" x14ac:dyDescent="0.2">
      <c r="A194" s="144"/>
    </row>
    <row r="195" spans="1:13" ht="12.75" x14ac:dyDescent="0.2">
      <c r="A195" s="144"/>
    </row>
    <row r="196" spans="1:13" ht="12.75" x14ac:dyDescent="0.2">
      <c r="A196" s="200" t="s">
        <v>192</v>
      </c>
      <c r="B196" s="201" t="s">
        <v>5</v>
      </c>
      <c r="C196" s="201" t="s">
        <v>6</v>
      </c>
      <c r="D196" s="201" t="s">
        <v>7</v>
      </c>
      <c r="E196" s="201" t="s">
        <v>8</v>
      </c>
      <c r="F196" s="201" t="s">
        <v>9</v>
      </c>
      <c r="G196" s="201" t="s">
        <v>10</v>
      </c>
      <c r="H196" s="201" t="s">
        <v>11</v>
      </c>
      <c r="I196" s="201" t="s">
        <v>12</v>
      </c>
      <c r="J196" s="201" t="s">
        <v>13</v>
      </c>
      <c r="K196" s="201" t="s">
        <v>14</v>
      </c>
      <c r="L196" s="201" t="s">
        <v>15</v>
      </c>
      <c r="M196" s="202" t="s">
        <v>16</v>
      </c>
    </row>
    <row r="197" spans="1:13" ht="12.75" x14ac:dyDescent="0.2">
      <c r="A197" s="203" t="s">
        <v>213</v>
      </c>
      <c r="B197" s="208">
        <v>50</v>
      </c>
      <c r="C197" s="208">
        <v>50</v>
      </c>
      <c r="D197" s="208">
        <v>50</v>
      </c>
      <c r="E197" s="208">
        <v>50</v>
      </c>
      <c r="F197" s="208">
        <v>50</v>
      </c>
      <c r="G197" s="208">
        <v>50</v>
      </c>
      <c r="H197" s="208">
        <v>50</v>
      </c>
      <c r="I197" s="208">
        <v>50</v>
      </c>
      <c r="J197" s="208">
        <v>50</v>
      </c>
      <c r="K197" s="208">
        <v>50</v>
      </c>
      <c r="L197" s="208">
        <v>50</v>
      </c>
      <c r="M197" s="208">
        <v>50</v>
      </c>
    </row>
    <row r="198" spans="1:13" ht="12.75" x14ac:dyDescent="0.2">
      <c r="A198" s="203" t="s">
        <v>214</v>
      </c>
      <c r="B198" s="208">
        <v>25</v>
      </c>
      <c r="C198" s="208">
        <v>25</v>
      </c>
      <c r="D198" s="208">
        <v>25</v>
      </c>
      <c r="E198" s="208">
        <v>25</v>
      </c>
      <c r="F198" s="208">
        <v>25</v>
      </c>
      <c r="G198" s="208">
        <v>25</v>
      </c>
      <c r="H198" s="208">
        <v>25</v>
      </c>
      <c r="I198" s="208">
        <v>25</v>
      </c>
      <c r="J198" s="208">
        <v>25</v>
      </c>
      <c r="K198" s="208">
        <v>25</v>
      </c>
      <c r="L198" s="208">
        <v>25</v>
      </c>
      <c r="M198" s="208">
        <v>25</v>
      </c>
    </row>
    <row r="199" spans="1:13" ht="12.75" x14ac:dyDescent="0.2">
      <c r="A199" s="144"/>
    </row>
    <row r="200" spans="1:13" ht="12.75" x14ac:dyDescent="0.2">
      <c r="A200" s="144"/>
    </row>
    <row r="201" spans="1:13" ht="12.75" x14ac:dyDescent="0.2">
      <c r="A201" s="146" t="s">
        <v>192</v>
      </c>
      <c r="B201" s="137" t="s">
        <v>5</v>
      </c>
      <c r="C201" s="137" t="s">
        <v>6</v>
      </c>
      <c r="D201" s="137" t="s">
        <v>7</v>
      </c>
      <c r="E201" s="137" t="s">
        <v>8</v>
      </c>
      <c r="F201" s="137" t="s">
        <v>9</v>
      </c>
      <c r="G201" s="137" t="s">
        <v>10</v>
      </c>
      <c r="H201" s="137" t="s">
        <v>11</v>
      </c>
      <c r="I201" s="137" t="s">
        <v>12</v>
      </c>
      <c r="J201" s="137" t="s">
        <v>13</v>
      </c>
      <c r="K201" s="137" t="s">
        <v>14</v>
      </c>
      <c r="L201" s="137" t="s">
        <v>15</v>
      </c>
      <c r="M201" s="137" t="s">
        <v>16</v>
      </c>
    </row>
    <row r="202" spans="1:13" ht="12.75" x14ac:dyDescent="0.2">
      <c r="A202" s="203" t="s">
        <v>213</v>
      </c>
      <c r="B202" s="141">
        <f>B192*B197</f>
        <v>950</v>
      </c>
      <c r="C202" s="141">
        <f>C192*C197</f>
        <v>950</v>
      </c>
      <c r="D202" s="141">
        <f t="shared" ref="D202:M202" si="47">D192*D197</f>
        <v>950</v>
      </c>
      <c r="E202" s="141">
        <f t="shared" si="47"/>
        <v>950</v>
      </c>
      <c r="F202" s="141">
        <f t="shared" si="47"/>
        <v>950</v>
      </c>
      <c r="G202" s="141">
        <f t="shared" si="47"/>
        <v>950</v>
      </c>
      <c r="H202" s="141">
        <f t="shared" si="47"/>
        <v>950</v>
      </c>
      <c r="I202" s="141">
        <f t="shared" si="47"/>
        <v>950</v>
      </c>
      <c r="J202" s="141">
        <f t="shared" si="47"/>
        <v>950</v>
      </c>
      <c r="K202" s="141">
        <f t="shared" si="47"/>
        <v>950</v>
      </c>
      <c r="L202" s="141">
        <f t="shared" si="47"/>
        <v>950</v>
      </c>
      <c r="M202" s="141">
        <f t="shared" si="47"/>
        <v>950</v>
      </c>
    </row>
    <row r="203" spans="1:13" ht="12.75" x14ac:dyDescent="0.2">
      <c r="A203" s="203" t="s">
        <v>214</v>
      </c>
      <c r="B203" s="141">
        <f>B193*B198</f>
        <v>225</v>
      </c>
      <c r="C203" s="141">
        <f t="shared" ref="C203:M203" si="48">C193*C198</f>
        <v>225</v>
      </c>
      <c r="D203" s="141">
        <f t="shared" si="48"/>
        <v>225</v>
      </c>
      <c r="E203" s="141">
        <f t="shared" si="48"/>
        <v>225</v>
      </c>
      <c r="F203" s="141">
        <f t="shared" si="48"/>
        <v>225</v>
      </c>
      <c r="G203" s="141">
        <f t="shared" si="48"/>
        <v>225</v>
      </c>
      <c r="H203" s="141">
        <f t="shared" si="48"/>
        <v>225</v>
      </c>
      <c r="I203" s="141">
        <f t="shared" si="48"/>
        <v>225</v>
      </c>
      <c r="J203" s="141">
        <f t="shared" si="48"/>
        <v>225</v>
      </c>
      <c r="K203" s="141">
        <f t="shared" si="48"/>
        <v>225</v>
      </c>
      <c r="L203" s="141">
        <f t="shared" si="48"/>
        <v>225</v>
      </c>
      <c r="M203" s="141">
        <f t="shared" si="48"/>
        <v>225</v>
      </c>
    </row>
    <row r="204" spans="1:13" ht="12.75" x14ac:dyDescent="0.2">
      <c r="A204" s="222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</row>
    <row r="205" spans="1:13" ht="12.75" x14ac:dyDescent="0.2">
      <c r="A205" s="144"/>
    </row>
    <row r="206" spans="1:13" ht="25.5" x14ac:dyDescent="0.2">
      <c r="A206" s="200" t="s">
        <v>193</v>
      </c>
      <c r="B206" s="201" t="s">
        <v>5</v>
      </c>
      <c r="C206" s="201" t="s">
        <v>6</v>
      </c>
      <c r="D206" s="201" t="s">
        <v>7</v>
      </c>
      <c r="E206" s="201" t="s">
        <v>8</v>
      </c>
      <c r="F206" s="201" t="s">
        <v>9</v>
      </c>
      <c r="G206" s="201" t="s">
        <v>10</v>
      </c>
      <c r="H206" s="201" t="s">
        <v>11</v>
      </c>
      <c r="I206" s="201" t="s">
        <v>12</v>
      </c>
      <c r="J206" s="201" t="s">
        <v>13</v>
      </c>
      <c r="K206" s="201" t="s">
        <v>14</v>
      </c>
      <c r="L206" s="201" t="s">
        <v>15</v>
      </c>
      <c r="M206" s="202" t="s">
        <v>16</v>
      </c>
    </row>
    <row r="207" spans="1:13" ht="12.75" x14ac:dyDescent="0.2">
      <c r="A207" s="203" t="s">
        <v>213</v>
      </c>
      <c r="B207" s="208">
        <v>0.75</v>
      </c>
      <c r="C207" s="208">
        <v>0.7</v>
      </c>
      <c r="D207" s="208">
        <v>0.7</v>
      </c>
      <c r="E207" s="208">
        <v>0.7</v>
      </c>
      <c r="F207" s="208">
        <v>0.7</v>
      </c>
      <c r="G207" s="208">
        <v>0.7</v>
      </c>
      <c r="H207" s="208">
        <v>0.7</v>
      </c>
      <c r="I207" s="208">
        <v>0.7</v>
      </c>
      <c r="J207" s="208">
        <v>0.7</v>
      </c>
      <c r="K207" s="208">
        <v>0.7</v>
      </c>
      <c r="L207" s="208">
        <v>0.7</v>
      </c>
      <c r="M207" s="208">
        <v>0.7</v>
      </c>
    </row>
    <row r="208" spans="1:13" ht="12.75" x14ac:dyDescent="0.2">
      <c r="A208" s="203" t="s">
        <v>214</v>
      </c>
      <c r="B208" s="208">
        <v>0.75</v>
      </c>
      <c r="C208" s="208">
        <v>0.7</v>
      </c>
      <c r="D208" s="208">
        <v>0.7</v>
      </c>
      <c r="E208" s="208">
        <v>0.7</v>
      </c>
      <c r="F208" s="208">
        <v>0.7</v>
      </c>
      <c r="G208" s="208">
        <v>0.7</v>
      </c>
      <c r="H208" s="208">
        <v>0.7</v>
      </c>
      <c r="I208" s="208">
        <v>0.7</v>
      </c>
      <c r="J208" s="208">
        <v>0.7</v>
      </c>
      <c r="K208" s="208">
        <v>0.7</v>
      </c>
      <c r="L208" s="208">
        <v>0.7</v>
      </c>
      <c r="M208" s="208">
        <v>0.7</v>
      </c>
    </row>
    <row r="209" spans="1:14" ht="12.75" x14ac:dyDescent="0.2">
      <c r="A209" s="144"/>
    </row>
    <row r="210" spans="1:14" ht="25.5" x14ac:dyDescent="0.2">
      <c r="A210" s="200" t="s">
        <v>194</v>
      </c>
      <c r="B210" s="201" t="s">
        <v>5</v>
      </c>
      <c r="C210" s="201" t="s">
        <v>6</v>
      </c>
      <c r="D210" s="201" t="s">
        <v>7</v>
      </c>
      <c r="E210" s="201" t="s">
        <v>8</v>
      </c>
      <c r="F210" s="201" t="s">
        <v>9</v>
      </c>
      <c r="G210" s="201" t="s">
        <v>10</v>
      </c>
      <c r="H210" s="201" t="s">
        <v>11</v>
      </c>
      <c r="I210" s="201" t="s">
        <v>12</v>
      </c>
      <c r="J210" s="201" t="s">
        <v>13</v>
      </c>
      <c r="K210" s="201" t="s">
        <v>14</v>
      </c>
      <c r="L210" s="201" t="s">
        <v>15</v>
      </c>
      <c r="M210" s="202" t="s">
        <v>16</v>
      </c>
    </row>
    <row r="211" spans="1:14" ht="12.75" x14ac:dyDescent="0.2">
      <c r="A211" s="203" t="s">
        <v>213</v>
      </c>
      <c r="B211" s="204">
        <f>B207*B202</f>
        <v>712.5</v>
      </c>
      <c r="C211" s="204">
        <f t="shared" ref="C211:M211" si="49">C207*C202</f>
        <v>665</v>
      </c>
      <c r="D211" s="204">
        <f t="shared" si="49"/>
        <v>665</v>
      </c>
      <c r="E211" s="204">
        <f t="shared" si="49"/>
        <v>665</v>
      </c>
      <c r="F211" s="204">
        <f t="shared" si="49"/>
        <v>665</v>
      </c>
      <c r="G211" s="204">
        <f t="shared" si="49"/>
        <v>665</v>
      </c>
      <c r="H211" s="204">
        <f t="shared" si="49"/>
        <v>665</v>
      </c>
      <c r="I211" s="204">
        <f t="shared" si="49"/>
        <v>665</v>
      </c>
      <c r="J211" s="204">
        <f t="shared" si="49"/>
        <v>665</v>
      </c>
      <c r="K211" s="204">
        <f t="shared" si="49"/>
        <v>665</v>
      </c>
      <c r="L211" s="204">
        <f t="shared" si="49"/>
        <v>665</v>
      </c>
      <c r="M211" s="204">
        <f t="shared" si="49"/>
        <v>665</v>
      </c>
    </row>
    <row r="212" spans="1:14" ht="12.75" x14ac:dyDescent="0.2">
      <c r="A212" s="203" t="s">
        <v>214</v>
      </c>
      <c r="B212" s="204">
        <f t="shared" ref="B212:M212" si="50">B208*B203</f>
        <v>168.75</v>
      </c>
      <c r="C212" s="204">
        <f t="shared" si="50"/>
        <v>157.5</v>
      </c>
      <c r="D212" s="204">
        <f t="shared" si="50"/>
        <v>157.5</v>
      </c>
      <c r="E212" s="204">
        <f t="shared" si="50"/>
        <v>157.5</v>
      </c>
      <c r="F212" s="204">
        <f t="shared" si="50"/>
        <v>157.5</v>
      </c>
      <c r="G212" s="204">
        <f t="shared" si="50"/>
        <v>157.5</v>
      </c>
      <c r="H212" s="204">
        <f t="shared" si="50"/>
        <v>157.5</v>
      </c>
      <c r="I212" s="204">
        <f t="shared" si="50"/>
        <v>157.5</v>
      </c>
      <c r="J212" s="204">
        <f t="shared" si="50"/>
        <v>157.5</v>
      </c>
      <c r="K212" s="204">
        <f t="shared" si="50"/>
        <v>157.5</v>
      </c>
      <c r="L212" s="204">
        <f t="shared" si="50"/>
        <v>157.5</v>
      </c>
      <c r="M212" s="204">
        <f t="shared" si="50"/>
        <v>157.5</v>
      </c>
    </row>
    <row r="213" spans="1:14" ht="12.75" x14ac:dyDescent="0.2">
      <c r="A213" s="144"/>
    </row>
    <row r="214" spans="1:14" ht="12.75" x14ac:dyDescent="0.2">
      <c r="A214" s="144"/>
    </row>
    <row r="215" spans="1:14" ht="25.5" x14ac:dyDescent="0.2">
      <c r="A215" s="200" t="s">
        <v>211</v>
      </c>
      <c r="B215" s="201" t="s">
        <v>5</v>
      </c>
      <c r="C215" s="201" t="s">
        <v>6</v>
      </c>
      <c r="D215" s="201" t="s">
        <v>7</v>
      </c>
      <c r="E215" s="201" t="s">
        <v>8</v>
      </c>
      <c r="F215" s="201" t="s">
        <v>9</v>
      </c>
      <c r="G215" s="201" t="s">
        <v>10</v>
      </c>
      <c r="H215" s="201" t="s">
        <v>11</v>
      </c>
      <c r="I215" s="201" t="s">
        <v>12</v>
      </c>
      <c r="J215" s="201" t="s">
        <v>13</v>
      </c>
      <c r="K215" s="201" t="s">
        <v>14</v>
      </c>
      <c r="L215" s="201" t="s">
        <v>15</v>
      </c>
      <c r="M215" s="202" t="s">
        <v>16</v>
      </c>
      <c r="N215" s="230"/>
    </row>
    <row r="216" spans="1:14" ht="12.75" x14ac:dyDescent="0.2">
      <c r="A216" s="203" t="s">
        <v>100</v>
      </c>
      <c r="B216" s="204">
        <f>SUM(B211:B212)*B8</f>
        <v>22912.5</v>
      </c>
      <c r="C216" s="204">
        <f t="shared" ref="C216:M216" si="51">SUM(C211:C212)*C8</f>
        <v>18917.5</v>
      </c>
      <c r="D216" s="204">
        <f t="shared" si="51"/>
        <v>20562.5</v>
      </c>
      <c r="E216" s="204">
        <f t="shared" si="51"/>
        <v>20562.5</v>
      </c>
      <c r="F216" s="204">
        <f t="shared" si="51"/>
        <v>21385</v>
      </c>
      <c r="G216" s="204">
        <f t="shared" si="51"/>
        <v>20562.5</v>
      </c>
      <c r="H216" s="204">
        <f t="shared" si="51"/>
        <v>22207.5</v>
      </c>
      <c r="I216" s="204">
        <f t="shared" si="51"/>
        <v>21385</v>
      </c>
      <c r="J216" s="204">
        <f t="shared" si="51"/>
        <v>20562.5</v>
      </c>
      <c r="K216" s="204">
        <f t="shared" si="51"/>
        <v>22207.5</v>
      </c>
      <c r="L216" s="204">
        <f t="shared" si="51"/>
        <v>19740</v>
      </c>
      <c r="M216" s="204">
        <f t="shared" si="51"/>
        <v>21385</v>
      </c>
      <c r="N216" s="231"/>
    </row>
    <row r="217" spans="1:14" ht="12.75" x14ac:dyDescent="0.2">
      <c r="A217" s="144"/>
    </row>
    <row r="218" spans="1:14" ht="12.75" x14ac:dyDescent="0.2">
      <c r="A218" s="144"/>
    </row>
    <row r="219" spans="1:14" ht="12.75" x14ac:dyDescent="0.2">
      <c r="A219" s="144"/>
    </row>
    <row r="220" spans="1:14" ht="12.75" x14ac:dyDescent="0.2">
      <c r="A220" s="144"/>
    </row>
    <row r="221" spans="1:14" ht="12.75" x14ac:dyDescent="0.2">
      <c r="A221" s="144"/>
    </row>
    <row r="222" spans="1:14" ht="12.75" x14ac:dyDescent="0.2">
      <c r="A222" s="144"/>
    </row>
    <row r="223" spans="1:14" ht="12.75" x14ac:dyDescent="0.2">
      <c r="A223" s="144"/>
    </row>
    <row r="224" spans="1:14" ht="12.75" x14ac:dyDescent="0.2">
      <c r="A224" s="144"/>
    </row>
    <row r="225" spans="1:1" ht="0" hidden="1" customHeight="1" x14ac:dyDescent="0.2">
      <c r="A225" s="144"/>
    </row>
    <row r="226" spans="1:1" ht="0" hidden="1" customHeight="1" x14ac:dyDescent="0.2">
      <c r="A226" s="144"/>
    </row>
    <row r="227" spans="1:1" ht="0" hidden="1" customHeight="1" x14ac:dyDescent="0.2"/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B19" workbookViewId="0">
      <selection activeCell="D40" sqref="D40"/>
    </sheetView>
  </sheetViews>
  <sheetFormatPr baseColWidth="10" defaultRowHeight="12.75" x14ac:dyDescent="0.2"/>
  <cols>
    <col min="1" max="1" width="38" customWidth="1"/>
    <col min="4" max="15" width="11.5703125" bestFit="1" customWidth="1"/>
    <col min="16" max="16" width="12.85546875" bestFit="1" customWidth="1"/>
  </cols>
  <sheetData>
    <row r="1" spans="1:16" ht="18" x14ac:dyDescent="0.25">
      <c r="A1" s="483" t="s">
        <v>49</v>
      </c>
      <c r="B1" s="233"/>
      <c r="C1" s="436" t="s">
        <v>692</v>
      </c>
      <c r="D1">
        <v>1.0033000000000001</v>
      </c>
      <c r="E1">
        <v>1.00661</v>
      </c>
      <c r="F1">
        <v>1.00993</v>
      </c>
      <c r="G1">
        <v>1.0132699999999999</v>
      </c>
      <c r="H1">
        <v>1.01661</v>
      </c>
      <c r="I1">
        <v>1.01996</v>
      </c>
      <c r="J1">
        <v>1.0233300000000001</v>
      </c>
      <c r="K1">
        <v>1.0266999999999999</v>
      </c>
      <c r="L1">
        <v>1.03009</v>
      </c>
      <c r="M1">
        <v>1.03349</v>
      </c>
      <c r="N1">
        <v>1.0368999999999999</v>
      </c>
      <c r="O1">
        <v>1.0403199999999999</v>
      </c>
      <c r="P1" s="111"/>
    </row>
    <row r="2" spans="1:16" ht="15.75" x14ac:dyDescent="0.25">
      <c r="A2" s="234" t="s">
        <v>217</v>
      </c>
      <c r="B2" s="233"/>
      <c r="C2" s="436" t="s">
        <v>693</v>
      </c>
      <c r="D2" s="437">
        <v>1.0357000000000001</v>
      </c>
      <c r="E2" s="233"/>
      <c r="F2" s="233"/>
      <c r="G2" s="233"/>
      <c r="H2" s="233"/>
      <c r="I2" s="111"/>
      <c r="J2" s="111"/>
      <c r="K2" s="111"/>
      <c r="L2" s="111"/>
      <c r="M2" s="111"/>
      <c r="N2" s="111"/>
      <c r="O2" s="111"/>
      <c r="P2" s="111"/>
    </row>
    <row r="3" spans="1:16" x14ac:dyDescent="0.2">
      <c r="A3" s="235" t="s">
        <v>218</v>
      </c>
      <c r="B3" s="233" t="s">
        <v>100</v>
      </c>
      <c r="C3" s="436" t="s">
        <v>694</v>
      </c>
      <c r="D3" s="233">
        <v>45</v>
      </c>
      <c r="E3" s="438" t="s">
        <v>695</v>
      </c>
      <c r="F3" s="438">
        <v>112</v>
      </c>
      <c r="G3" s="438" t="s">
        <v>696</v>
      </c>
      <c r="H3" s="438">
        <v>3</v>
      </c>
      <c r="I3" s="439"/>
      <c r="J3" s="111"/>
      <c r="K3" s="111"/>
      <c r="L3" s="111"/>
      <c r="M3" s="111"/>
      <c r="N3" s="111"/>
      <c r="O3" s="111"/>
      <c r="P3" s="111"/>
    </row>
    <row r="4" spans="1:16" x14ac:dyDescent="0.2">
      <c r="A4" s="235" t="s">
        <v>219</v>
      </c>
      <c r="B4" s="233" t="str">
        <f>caratula!B26</f>
        <v>PRESUPUESTO  2014</v>
      </c>
      <c r="C4" s="233" t="s">
        <v>714</v>
      </c>
      <c r="D4" s="484">
        <v>5498.912525371381</v>
      </c>
      <c r="E4" s="484">
        <v>5498.912525371381</v>
      </c>
      <c r="F4" s="484">
        <v>5498.912525371381</v>
      </c>
      <c r="G4" s="484">
        <v>5498.912525371381</v>
      </c>
      <c r="H4" s="484">
        <v>5498.912525371381</v>
      </c>
      <c r="I4" s="484">
        <v>5498.912525371381</v>
      </c>
      <c r="J4" s="484">
        <v>5498.912525371381</v>
      </c>
      <c r="K4" s="484">
        <v>5498.912525371381</v>
      </c>
      <c r="L4" s="484">
        <v>5498.912525371381</v>
      </c>
      <c r="M4" s="484">
        <v>5498.912525371381</v>
      </c>
      <c r="N4" s="484">
        <v>5498.912525371381</v>
      </c>
      <c r="O4" s="484">
        <v>5498.912525371381</v>
      </c>
      <c r="P4" s="111"/>
    </row>
    <row r="5" spans="1:16" ht="16.5" thickBot="1" x14ac:dyDescent="0.3">
      <c r="A5" s="234"/>
      <c r="B5" s="233"/>
      <c r="C5" s="233"/>
      <c r="D5" s="233"/>
      <c r="E5" s="233"/>
      <c r="F5" s="233"/>
      <c r="G5" s="233"/>
      <c r="H5" s="233"/>
      <c r="I5" s="111"/>
      <c r="J5" s="111"/>
      <c r="K5" s="111"/>
      <c r="L5" s="111"/>
      <c r="M5" s="111"/>
      <c r="N5" s="111"/>
      <c r="O5" s="111"/>
      <c r="P5" s="111"/>
    </row>
    <row r="6" spans="1:16" ht="26.25" thickTop="1" x14ac:dyDescent="0.2">
      <c r="A6" s="236" t="s">
        <v>2</v>
      </c>
      <c r="B6" s="237" t="s">
        <v>220</v>
      </c>
      <c r="C6" s="238" t="s">
        <v>221</v>
      </c>
      <c r="D6" s="239" t="s">
        <v>5</v>
      </c>
      <c r="E6" s="239" t="s">
        <v>6</v>
      </c>
      <c r="F6" s="239" t="s">
        <v>7</v>
      </c>
      <c r="G6" s="239" t="s">
        <v>8</v>
      </c>
      <c r="H6" s="239" t="s">
        <v>9</v>
      </c>
      <c r="I6" s="239" t="s">
        <v>10</v>
      </c>
      <c r="J6" s="239" t="s">
        <v>11</v>
      </c>
      <c r="K6" s="239" t="s">
        <v>12</v>
      </c>
      <c r="L6" s="239" t="s">
        <v>13</v>
      </c>
      <c r="M6" s="239" t="s">
        <v>14</v>
      </c>
      <c r="N6" s="239" t="s">
        <v>15</v>
      </c>
      <c r="O6" s="239" t="s">
        <v>16</v>
      </c>
      <c r="P6" s="240" t="s">
        <v>20</v>
      </c>
    </row>
    <row r="7" spans="1:16" ht="20.25" x14ac:dyDescent="0.2">
      <c r="A7" s="241"/>
      <c r="B7" s="242"/>
      <c r="C7" s="243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5"/>
    </row>
    <row r="8" spans="1:16" ht="14.25" x14ac:dyDescent="0.2">
      <c r="A8" s="246" t="s">
        <v>35</v>
      </c>
      <c r="B8" s="247"/>
      <c r="C8" s="248"/>
      <c r="D8" s="325">
        <v>51609.079668903629</v>
      </c>
      <c r="E8" s="325">
        <v>51609.079668903629</v>
      </c>
      <c r="F8" s="325">
        <v>51609.079668903629</v>
      </c>
      <c r="G8" s="325">
        <v>51609.079668903629</v>
      </c>
      <c r="H8" s="325">
        <v>51609.079668903629</v>
      </c>
      <c r="I8" s="325">
        <v>51609.079668903629</v>
      </c>
      <c r="J8" s="325">
        <v>51609.079668903629</v>
      </c>
      <c r="K8" s="325">
        <v>51609.079668903629</v>
      </c>
      <c r="L8" s="325">
        <v>51609.079668903629</v>
      </c>
      <c r="M8" s="325">
        <v>51609.079668903629</v>
      </c>
      <c r="N8" s="325">
        <v>51609.079668903629</v>
      </c>
      <c r="O8" s="325">
        <v>51609.079668903629</v>
      </c>
      <c r="P8" s="250">
        <f>SUM(D8:O8)</f>
        <v>619308.9560268434</v>
      </c>
    </row>
    <row r="9" spans="1:16" ht="14.25" x14ac:dyDescent="0.2">
      <c r="A9" s="246" t="s">
        <v>222</v>
      </c>
      <c r="B9" s="247"/>
      <c r="C9" s="248"/>
      <c r="D9" s="251">
        <v>70</v>
      </c>
      <c r="E9" s="251">
        <v>70</v>
      </c>
      <c r="F9" s="251">
        <v>70</v>
      </c>
      <c r="G9" s="251">
        <v>70</v>
      </c>
      <c r="H9" s="251">
        <v>70</v>
      </c>
      <c r="I9" s="251">
        <v>70</v>
      </c>
      <c r="J9" s="251">
        <v>70</v>
      </c>
      <c r="K9" s="251">
        <v>70</v>
      </c>
      <c r="L9" s="251">
        <v>70</v>
      </c>
      <c r="M9" s="251">
        <v>70</v>
      </c>
      <c r="N9" s="251">
        <v>70</v>
      </c>
      <c r="O9" s="251">
        <v>70</v>
      </c>
      <c r="P9" s="252">
        <f>SUM(D9:O9)</f>
        <v>840</v>
      </c>
    </row>
    <row r="10" spans="1:16" ht="14.25" x14ac:dyDescent="0.2">
      <c r="A10" s="246" t="s">
        <v>223</v>
      </c>
      <c r="B10" s="247"/>
      <c r="C10" s="248"/>
      <c r="D10" s="251">
        <v>2100</v>
      </c>
      <c r="E10" s="251">
        <v>2100</v>
      </c>
      <c r="F10" s="251">
        <v>2100</v>
      </c>
      <c r="G10" s="251">
        <v>2100</v>
      </c>
      <c r="H10" s="251">
        <v>2100</v>
      </c>
      <c r="I10" s="251">
        <v>2100</v>
      </c>
      <c r="J10" s="251">
        <v>2100</v>
      </c>
      <c r="K10" s="251">
        <v>2100</v>
      </c>
      <c r="L10" s="251">
        <v>2100</v>
      </c>
      <c r="M10" s="251">
        <v>2100</v>
      </c>
      <c r="N10" s="251">
        <v>2100</v>
      </c>
      <c r="O10" s="251">
        <v>2100</v>
      </c>
      <c r="P10" s="252">
        <f>SUM(D10:O10)</f>
        <v>25200</v>
      </c>
    </row>
    <row r="14" spans="1:16" x14ac:dyDescent="0.2">
      <c r="A14" s="18" t="s">
        <v>699</v>
      </c>
      <c r="D14" s="476">
        <v>1032181.5933780726</v>
      </c>
      <c r="E14" s="476">
        <v>1032181.5933780726</v>
      </c>
      <c r="F14" s="476">
        <v>1032181.5933780726</v>
      </c>
      <c r="G14" s="476">
        <v>1032181.5933780726</v>
      </c>
      <c r="H14" s="476">
        <v>1032181.5933780726</v>
      </c>
      <c r="I14" s="476">
        <v>1032181.5933780726</v>
      </c>
      <c r="J14" s="476">
        <v>1032181.5933780726</v>
      </c>
      <c r="K14" s="476">
        <v>1032181.5933780726</v>
      </c>
      <c r="L14" s="476">
        <v>1032181.5933780726</v>
      </c>
      <c r="M14" s="476">
        <v>1032181.5933780726</v>
      </c>
      <c r="N14" s="476">
        <v>1032181.5933780726</v>
      </c>
      <c r="O14" s="476">
        <v>1032181.5933780726</v>
      </c>
      <c r="P14" s="477">
        <f>SUM(D14:O14)</f>
        <v>12386179.120536871</v>
      </c>
    </row>
    <row r="15" spans="1:16" x14ac:dyDescent="0.2">
      <c r="A15" s="18"/>
      <c r="D15" s="476"/>
      <c r="E15" s="476"/>
      <c r="F15" s="476"/>
      <c r="G15" s="476"/>
      <c r="H15" s="476"/>
      <c r="I15" s="476"/>
      <c r="J15" s="476"/>
      <c r="K15" s="476"/>
      <c r="L15" s="476"/>
      <c r="M15" s="476"/>
      <c r="N15" s="476"/>
      <c r="O15" s="476"/>
      <c r="P15" s="477"/>
    </row>
    <row r="16" spans="1:16" x14ac:dyDescent="0.2">
      <c r="A16" s="18" t="s">
        <v>700</v>
      </c>
      <c r="D16" s="20">
        <f>'Gtos Transp 2014'!D48/'Gtos Transp 2014'!D8*D8</f>
        <v>638657.98169912572</v>
      </c>
      <c r="E16" s="20">
        <f>'Gtos Transp 2014'!E48/'Gtos Transp 2014'!E8*E8</f>
        <v>646941.95485106169</v>
      </c>
      <c r="F16" s="20">
        <f>'Gtos Transp 2014'!F48/'Gtos Transp 2014'!F8*F8</f>
        <v>656228.31050191366</v>
      </c>
      <c r="G16" s="20">
        <f>'Gtos Transp 2014'!G48/'Gtos Transp 2014'!G8*G8</f>
        <v>657155.67948075989</v>
      </c>
      <c r="H16" s="20">
        <f>'Gtos Transp 2014'!H48/'Gtos Transp 2014'!H8*H8</f>
        <v>669831.37643251859</v>
      </c>
      <c r="I16" s="20">
        <f>'Gtos Transp 2014'!I48/'Gtos Transp 2014'!I8*I8</f>
        <v>670945.08931072976</v>
      </c>
      <c r="J16" s="20">
        <f>'Gtos Transp 2014'!J48/'Gtos Transp 2014'!J8*J8</f>
        <v>668871.62062369846</v>
      </c>
      <c r="K16" s="20">
        <f>'Gtos Transp 2014'!K48/'Gtos Transp 2014'!K8*K8</f>
        <v>671597.1745675382</v>
      </c>
      <c r="L16" s="20">
        <f>'Gtos Transp 2014'!L48/'Gtos Transp 2014'!L8*L8</f>
        <v>682670.2667954599</v>
      </c>
      <c r="M16" s="20">
        <f>'Gtos Transp 2014'!M48/'Gtos Transp 2014'!M8*M8</f>
        <v>672758.61426357075</v>
      </c>
      <c r="N16" s="20">
        <f>'Gtos Transp 2014'!N48/'Gtos Transp 2014'!N8*N8</f>
        <v>681420.8095652014</v>
      </c>
      <c r="O16" s="20">
        <f>'Gtos Transp 2014'!O48/'Gtos Transp 2014'!O8*O8</f>
        <v>685025.33199268696</v>
      </c>
      <c r="P16" s="478">
        <f>SUM(D16:O16)</f>
        <v>8002104.2100842651</v>
      </c>
    </row>
    <row r="17" spans="1:16" x14ac:dyDescent="0.2">
      <c r="A17" s="18" t="s">
        <v>701</v>
      </c>
      <c r="D17" s="481">
        <f>'Gtos Mtto 2014'!D63/'Gtos Mtto 2014'!D8*'Presupuesto Otros'!D8</f>
        <v>128268.19995478373</v>
      </c>
      <c r="E17" s="481">
        <f>'Gtos Mtto 2014'!E63/'Gtos Mtto 2014'!E8*'Presupuesto Otros'!E8</f>
        <v>126823.04216081547</v>
      </c>
      <c r="F17" s="481">
        <f>'Gtos Mtto 2014'!F63/'Gtos Mtto 2014'!F8*'Presupuesto Otros'!F8</f>
        <v>125365.95883095464</v>
      </c>
      <c r="G17" s="481">
        <f>'Gtos Mtto 2014'!G63/'Gtos Mtto 2014'!G8*'Presupuesto Otros'!G8</f>
        <v>124775.54378210459</v>
      </c>
      <c r="H17" s="481">
        <f>'Gtos Mtto 2014'!H63/'Gtos Mtto 2014'!H8*'Presupuesto Otros'!H8</f>
        <v>132443.75250206585</v>
      </c>
      <c r="I17" s="481">
        <f>'Gtos Mtto 2014'!I63/'Gtos Mtto 2014'!I8*'Presupuesto Otros'!I8</f>
        <v>127635.09852178715</v>
      </c>
      <c r="J17" s="481">
        <f>'Gtos Mtto 2014'!J63/'Gtos Mtto 2014'!J8*'Presupuesto Otros'!J8</f>
        <v>125436.42482428245</v>
      </c>
      <c r="K17" s="481">
        <f>'Gtos Mtto 2014'!K63/'Gtos Mtto 2014'!K8*'Presupuesto Otros'!K8</f>
        <v>126082.3939457635</v>
      </c>
      <c r="L17" s="481">
        <f>'Gtos Mtto 2014'!L63/'Gtos Mtto 2014'!L8*'Presupuesto Otros'!L8</f>
        <v>129844.25225370059</v>
      </c>
      <c r="M17" s="481">
        <f>'Gtos Mtto 2014'!M63/'Gtos Mtto 2014'!M8*'Presupuesto Otros'!M8</f>
        <v>126779.33546168086</v>
      </c>
      <c r="N17" s="481">
        <f>'Gtos Mtto 2014'!N63/'Gtos Mtto 2014'!N8*'Presupuesto Otros'!N8</f>
        <v>127092.76132167426</v>
      </c>
      <c r="O17" s="481">
        <f>'Gtos Mtto 2014'!O63/'Gtos Mtto 2014'!O8*'Presupuesto Otros'!O8</f>
        <v>127491.67321937635</v>
      </c>
      <c r="P17" s="482">
        <f>SUM(D17:O17)</f>
        <v>1528038.4367789892</v>
      </c>
    </row>
    <row r="18" spans="1:16" x14ac:dyDescent="0.2">
      <c r="A18" s="11" t="s">
        <v>703</v>
      </c>
      <c r="D18" s="479">
        <f>D16+D17</f>
        <v>766926.1816539095</v>
      </c>
      <c r="E18" s="479">
        <f t="shared" ref="E18:P18" si="0">E16+E17</f>
        <v>773764.99701187713</v>
      </c>
      <c r="F18" s="479">
        <f t="shared" si="0"/>
        <v>781594.26933286828</v>
      </c>
      <c r="G18" s="479">
        <f t="shared" si="0"/>
        <v>781931.22326286451</v>
      </c>
      <c r="H18" s="479">
        <f t="shared" si="0"/>
        <v>802275.12893458444</v>
      </c>
      <c r="I18" s="479">
        <f t="shared" si="0"/>
        <v>798580.18783251685</v>
      </c>
      <c r="J18" s="479">
        <f t="shared" si="0"/>
        <v>794308.04544798087</v>
      </c>
      <c r="K18" s="479">
        <f t="shared" si="0"/>
        <v>797679.56851330167</v>
      </c>
      <c r="L18" s="479">
        <f t="shared" si="0"/>
        <v>812514.51904916053</v>
      </c>
      <c r="M18" s="479">
        <f t="shared" si="0"/>
        <v>799537.94972525164</v>
      </c>
      <c r="N18" s="479">
        <f t="shared" si="0"/>
        <v>808513.57088687562</v>
      </c>
      <c r="O18" s="479">
        <f t="shared" si="0"/>
        <v>812517.00521206332</v>
      </c>
      <c r="P18" s="479">
        <f t="shared" si="0"/>
        <v>9530142.6468632538</v>
      </c>
    </row>
    <row r="20" spans="1:16" x14ac:dyDescent="0.2">
      <c r="A20" s="11" t="s">
        <v>225</v>
      </c>
      <c r="D20" s="479">
        <f>D4*10</f>
        <v>54989.125253713806</v>
      </c>
      <c r="E20" s="479">
        <f t="shared" ref="E20:O20" si="1">E4*10</f>
        <v>54989.125253713806</v>
      </c>
      <c r="F20" s="479">
        <f t="shared" si="1"/>
        <v>54989.125253713806</v>
      </c>
      <c r="G20" s="479">
        <f t="shared" si="1"/>
        <v>54989.125253713806</v>
      </c>
      <c r="H20" s="479">
        <f t="shared" si="1"/>
        <v>54989.125253713806</v>
      </c>
      <c r="I20" s="479">
        <f t="shared" si="1"/>
        <v>54989.125253713806</v>
      </c>
      <c r="J20" s="479">
        <f t="shared" si="1"/>
        <v>54989.125253713806</v>
      </c>
      <c r="K20" s="479">
        <f t="shared" si="1"/>
        <v>54989.125253713806</v>
      </c>
      <c r="L20" s="479">
        <f t="shared" si="1"/>
        <v>54989.125253713806</v>
      </c>
      <c r="M20" s="479">
        <f t="shared" si="1"/>
        <v>54989.125253713806</v>
      </c>
      <c r="N20" s="479">
        <f t="shared" si="1"/>
        <v>54989.125253713806</v>
      </c>
      <c r="O20" s="479">
        <f t="shared" si="1"/>
        <v>54989.125253713806</v>
      </c>
      <c r="P20" s="479">
        <f>SUM(D20:O20)</f>
        <v>659869.50304456567</v>
      </c>
    </row>
    <row r="21" spans="1:16" x14ac:dyDescent="0.2">
      <c r="A21" s="11"/>
      <c r="D21" s="479"/>
      <c r="E21" s="479"/>
      <c r="F21" s="479"/>
      <c r="G21" s="479"/>
      <c r="H21" s="479"/>
      <c r="I21" s="479"/>
      <c r="J21" s="479"/>
      <c r="K21" s="479"/>
      <c r="L21" s="479"/>
      <c r="M21" s="479"/>
      <c r="N21" s="479"/>
      <c r="O21" s="479"/>
      <c r="P21" s="479"/>
    </row>
    <row r="22" spans="1:16" x14ac:dyDescent="0.2">
      <c r="A22" s="11" t="s">
        <v>713</v>
      </c>
      <c r="D22" s="479">
        <f>D18+D20</f>
        <v>821915.30690762331</v>
      </c>
      <c r="E22" s="479">
        <f>E18+E20</f>
        <v>828754.12226559094</v>
      </c>
      <c r="F22" s="479">
        <f t="shared" ref="F22:P22" si="2">F18+F20</f>
        <v>836583.39458658209</v>
      </c>
      <c r="G22" s="479">
        <f t="shared" si="2"/>
        <v>836920.34851657832</v>
      </c>
      <c r="H22" s="479">
        <f t="shared" si="2"/>
        <v>857264.25418829825</v>
      </c>
      <c r="I22" s="479">
        <f t="shared" si="2"/>
        <v>853569.31308623066</v>
      </c>
      <c r="J22" s="479">
        <f t="shared" si="2"/>
        <v>849297.17070169467</v>
      </c>
      <c r="K22" s="479">
        <f t="shared" si="2"/>
        <v>852668.69376701547</v>
      </c>
      <c r="L22" s="479">
        <f t="shared" si="2"/>
        <v>867503.64430287434</v>
      </c>
      <c r="M22" s="479">
        <f t="shared" si="2"/>
        <v>854527.07497896545</v>
      </c>
      <c r="N22" s="479">
        <f t="shared" si="2"/>
        <v>863502.69614058943</v>
      </c>
      <c r="O22" s="479">
        <f t="shared" si="2"/>
        <v>867506.13046577713</v>
      </c>
      <c r="P22" s="479">
        <f t="shared" si="2"/>
        <v>10190012.14990782</v>
      </c>
    </row>
    <row r="24" spans="1:16" x14ac:dyDescent="0.2">
      <c r="A24" s="11" t="s">
        <v>702</v>
      </c>
      <c r="D24" s="480">
        <f>D14-D22</f>
        <v>210266.2864704493</v>
      </c>
      <c r="E24" s="480">
        <f>E14-E22</f>
        <v>203427.47111248167</v>
      </c>
      <c r="F24" s="480">
        <f t="shared" ref="F24:P24" si="3">F14-F22</f>
        <v>195598.19879149052</v>
      </c>
      <c r="G24" s="480">
        <f t="shared" si="3"/>
        <v>195261.24486149428</v>
      </c>
      <c r="H24" s="480">
        <f t="shared" si="3"/>
        <v>174917.33918977436</v>
      </c>
      <c r="I24" s="480">
        <f t="shared" si="3"/>
        <v>178612.28029184195</v>
      </c>
      <c r="J24" s="480">
        <f t="shared" si="3"/>
        <v>182884.42267637793</v>
      </c>
      <c r="K24" s="480">
        <f t="shared" si="3"/>
        <v>179512.89961105713</v>
      </c>
      <c r="L24" s="480">
        <f t="shared" si="3"/>
        <v>164677.94907519827</v>
      </c>
      <c r="M24" s="480">
        <f t="shared" si="3"/>
        <v>177654.51839910715</v>
      </c>
      <c r="N24" s="480">
        <f t="shared" si="3"/>
        <v>168678.89723748318</v>
      </c>
      <c r="O24" s="480">
        <f t="shared" si="3"/>
        <v>164675.46291229548</v>
      </c>
      <c r="P24" s="480">
        <f t="shared" si="3"/>
        <v>2196166.9706290513</v>
      </c>
    </row>
    <row r="26" spans="1:16" x14ac:dyDescent="0.2">
      <c r="A26" s="11" t="s">
        <v>704</v>
      </c>
      <c r="D26" s="463">
        <f>D24/D14</f>
        <v>0.20371055618449874</v>
      </c>
      <c r="E26" s="463">
        <f t="shared" ref="E26:P26" si="4">E24/E14</f>
        <v>0.19708496297314734</v>
      </c>
      <c r="F26" s="463">
        <f t="shared" si="4"/>
        <v>0.18949979349209906</v>
      </c>
      <c r="G26" s="463">
        <f t="shared" si="4"/>
        <v>0.18917334518866297</v>
      </c>
      <c r="H26" s="463">
        <f t="shared" si="4"/>
        <v>0.16946372645273938</v>
      </c>
      <c r="I26" s="463">
        <f t="shared" si="4"/>
        <v>0.17304346583752628</v>
      </c>
      <c r="J26" s="463">
        <f t="shared" si="4"/>
        <v>0.17718241039141464</v>
      </c>
      <c r="K26" s="463">
        <f t="shared" si="4"/>
        <v>0.17391600544198452</v>
      </c>
      <c r="L26" s="463">
        <f t="shared" si="4"/>
        <v>0.15954358238093402</v>
      </c>
      <c r="M26" s="463">
        <f t="shared" si="4"/>
        <v>0.17211556526375196</v>
      </c>
      <c r="N26" s="463">
        <f t="shared" si="4"/>
        <v>0.16341978806794963</v>
      </c>
      <c r="O26" s="463">
        <f t="shared" si="4"/>
        <v>0.15954117373218585</v>
      </c>
      <c r="P26" s="463">
        <f t="shared" si="4"/>
        <v>0.17730786461724121</v>
      </c>
    </row>
    <row r="28" spans="1:16" x14ac:dyDescent="0.2">
      <c r="A28" s="18" t="s">
        <v>705</v>
      </c>
      <c r="D28">
        <f>D14/D8</f>
        <v>20</v>
      </c>
      <c r="E28">
        <f t="shared" ref="E28:P28" si="5">E14/E8</f>
        <v>20</v>
      </c>
      <c r="F28">
        <f t="shared" si="5"/>
        <v>20</v>
      </c>
      <c r="G28">
        <f t="shared" si="5"/>
        <v>20</v>
      </c>
      <c r="H28">
        <f t="shared" si="5"/>
        <v>20</v>
      </c>
      <c r="I28">
        <f t="shared" si="5"/>
        <v>20</v>
      </c>
      <c r="J28">
        <f t="shared" si="5"/>
        <v>20</v>
      </c>
      <c r="K28">
        <f t="shared" si="5"/>
        <v>20</v>
      </c>
      <c r="L28">
        <f t="shared" si="5"/>
        <v>20</v>
      </c>
      <c r="M28">
        <f t="shared" si="5"/>
        <v>20</v>
      </c>
      <c r="N28">
        <f t="shared" si="5"/>
        <v>20</v>
      </c>
      <c r="O28">
        <f t="shared" si="5"/>
        <v>20</v>
      </c>
      <c r="P28">
        <f t="shared" si="5"/>
        <v>20.000000000000004</v>
      </c>
    </row>
    <row r="30" spans="1:16" x14ac:dyDescent="0.2">
      <c r="A30" s="11" t="s">
        <v>712</v>
      </c>
      <c r="D30">
        <f>D18/D8</f>
        <v>14.860295641272804</v>
      </c>
      <c r="E30">
        <f t="shared" ref="E30:O30" si="6">E18/E8</f>
        <v>14.992807505499833</v>
      </c>
      <c r="F30">
        <f t="shared" si="6"/>
        <v>15.144510895120797</v>
      </c>
      <c r="G30">
        <f t="shared" si="6"/>
        <v>15.151039861189521</v>
      </c>
      <c r="H30">
        <f t="shared" si="6"/>
        <v>15.545232235907992</v>
      </c>
      <c r="I30">
        <f t="shared" si="6"/>
        <v>15.473637448212253</v>
      </c>
      <c r="J30">
        <f t="shared" si="6"/>
        <v>15.390858557134486</v>
      </c>
      <c r="K30">
        <f t="shared" si="6"/>
        <v>15.456186656123089</v>
      </c>
      <c r="L30">
        <f t="shared" si="6"/>
        <v>15.743635117344098</v>
      </c>
      <c r="M30">
        <f t="shared" si="6"/>
        <v>15.492195459687739</v>
      </c>
      <c r="N30">
        <f t="shared" si="6"/>
        <v>15.666111003603787</v>
      </c>
      <c r="O30">
        <f t="shared" si="6"/>
        <v>15.743683290319062</v>
      </c>
      <c r="P30">
        <f>AVERAGE(D30:O30)</f>
        <v>15.388349472617955</v>
      </c>
    </row>
    <row r="32" spans="1:16" x14ac:dyDescent="0.2">
      <c r="H32">
        <f>H24/10</f>
        <v>17491.733918977436</v>
      </c>
      <c r="I32">
        <f t="shared" ref="I32:P32" si="7">I24/10</f>
        <v>17861.228029184196</v>
      </c>
      <c r="J32">
        <f t="shared" si="7"/>
        <v>18288.442267637794</v>
      </c>
      <c r="K32">
        <f t="shared" si="7"/>
        <v>17951.289961105715</v>
      </c>
      <c r="L32">
        <f t="shared" si="7"/>
        <v>16467.794907519827</v>
      </c>
      <c r="M32">
        <f t="shared" si="7"/>
        <v>17765.451839910715</v>
      </c>
      <c r="N32">
        <f t="shared" si="7"/>
        <v>16867.889723748318</v>
      </c>
      <c r="O32">
        <f t="shared" si="7"/>
        <v>16467.546291229548</v>
      </c>
      <c r="P32">
        <f t="shared" si="7"/>
        <v>219616.69706290512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78"/>
  <sheetViews>
    <sheetView workbookViewId="0">
      <pane xSplit="1" ySplit="11" topLeftCell="D32" activePane="bottomRight" state="frozen"/>
      <selection activeCell="F11" sqref="F11:Q16"/>
      <selection pane="topRight" activeCell="F11" sqref="F11:Q16"/>
      <selection pane="bottomLeft" activeCell="F11" sqref="F11:Q16"/>
      <selection pane="bottomRight" activeCell="G42" sqref="G42"/>
    </sheetView>
  </sheetViews>
  <sheetFormatPr baseColWidth="10" defaultRowHeight="12.75" x14ac:dyDescent="0.2"/>
  <cols>
    <col min="1" max="1" width="45.140625" style="111" customWidth="1"/>
    <col min="2" max="2" width="13.5703125" style="111" customWidth="1"/>
    <col min="3" max="3" width="39.42578125" style="111" customWidth="1"/>
    <col min="4" max="15" width="12.85546875" style="111" bestFit="1" customWidth="1"/>
    <col min="16" max="16" width="13.85546875" style="111" bestFit="1" customWidth="1"/>
    <col min="17" max="19" width="11.42578125" style="111"/>
    <col min="20" max="20" width="23.85546875" style="111" customWidth="1"/>
    <col min="21" max="21" width="14" style="111" customWidth="1"/>
    <col min="22" max="16384" width="11.42578125" style="111"/>
  </cols>
  <sheetData>
    <row r="1" spans="1:37" ht="23.25" x14ac:dyDescent="0.35">
      <c r="A1" s="84" t="s">
        <v>49</v>
      </c>
      <c r="B1" s="233"/>
      <c r="C1" s="436" t="s">
        <v>692</v>
      </c>
      <c r="D1" s="579">
        <v>1.0033333333333334</v>
      </c>
      <c r="E1" s="579">
        <v>1.0066666666666666</v>
      </c>
      <c r="F1" s="579">
        <v>1.01</v>
      </c>
      <c r="G1" s="579">
        <v>1.0133333333333334</v>
      </c>
      <c r="H1" s="579">
        <v>1.0166666666666666</v>
      </c>
      <c r="I1" s="579">
        <v>1.02</v>
      </c>
      <c r="J1" s="579">
        <v>1.0233333333333334</v>
      </c>
      <c r="K1" s="579">
        <v>1.0266666666666666</v>
      </c>
      <c r="L1" s="579">
        <v>1.03</v>
      </c>
      <c r="M1" s="579">
        <v>1.0333333333333334</v>
      </c>
      <c r="N1" s="579">
        <v>1.0366666666666666</v>
      </c>
      <c r="O1" s="579">
        <v>1.04</v>
      </c>
    </row>
    <row r="2" spans="1:37" ht="15.75" x14ac:dyDescent="0.25">
      <c r="A2" s="234" t="s">
        <v>217</v>
      </c>
      <c r="B2" s="233"/>
      <c r="C2" s="436" t="s">
        <v>693</v>
      </c>
      <c r="D2" s="437">
        <v>1.0397000000000001</v>
      </c>
      <c r="E2" s="233"/>
      <c r="F2" s="233"/>
      <c r="G2" s="233"/>
      <c r="H2" s="233"/>
    </row>
    <row r="3" spans="1:37" x14ac:dyDescent="0.2">
      <c r="A3" s="235" t="s">
        <v>218</v>
      </c>
      <c r="B3" s="233" t="s">
        <v>100</v>
      </c>
      <c r="C3" s="436" t="s">
        <v>694</v>
      </c>
      <c r="D3" s="233">
        <v>45</v>
      </c>
      <c r="E3" s="438" t="s">
        <v>695</v>
      </c>
      <c r="F3" s="438">
        <v>112</v>
      </c>
      <c r="G3" s="438" t="s">
        <v>696</v>
      </c>
      <c r="H3" s="438">
        <v>3</v>
      </c>
      <c r="I3" s="439"/>
    </row>
    <row r="4" spans="1:37" x14ac:dyDescent="0.2">
      <c r="A4" s="235" t="s">
        <v>219</v>
      </c>
      <c r="B4" s="233" t="str">
        <f>caratula!B26</f>
        <v>PRESUPUESTO  2014</v>
      </c>
      <c r="C4" s="233"/>
      <c r="D4" s="233"/>
      <c r="E4" s="233"/>
      <c r="F4" s="233"/>
      <c r="G4" s="233"/>
      <c r="H4" s="233"/>
    </row>
    <row r="5" spans="1:37" ht="16.5" thickBot="1" x14ac:dyDescent="0.3">
      <c r="A5" s="234"/>
      <c r="B5" s="233"/>
      <c r="C5" s="233"/>
      <c r="D5" s="233"/>
      <c r="E5" s="233"/>
      <c r="F5" s="233"/>
      <c r="G5" s="233"/>
      <c r="H5" s="233"/>
    </row>
    <row r="6" spans="1:37" ht="26.25" thickTop="1" x14ac:dyDescent="0.2">
      <c r="A6" s="236" t="s">
        <v>2</v>
      </c>
      <c r="B6" s="237" t="s">
        <v>220</v>
      </c>
      <c r="C6" s="238" t="s">
        <v>221</v>
      </c>
      <c r="D6" s="239" t="s">
        <v>5</v>
      </c>
      <c r="E6" s="239" t="s">
        <v>6</v>
      </c>
      <c r="F6" s="239" t="s">
        <v>7</v>
      </c>
      <c r="G6" s="239" t="s">
        <v>8</v>
      </c>
      <c r="H6" s="239" t="s">
        <v>9</v>
      </c>
      <c r="I6" s="239" t="s">
        <v>10</v>
      </c>
      <c r="J6" s="239" t="s">
        <v>11</v>
      </c>
      <c r="K6" s="239" t="s">
        <v>12</v>
      </c>
      <c r="L6" s="239" t="s">
        <v>13</v>
      </c>
      <c r="M6" s="239" t="s">
        <v>14</v>
      </c>
      <c r="N6" s="239" t="s">
        <v>15</v>
      </c>
      <c r="O6" s="239" t="s">
        <v>16</v>
      </c>
      <c r="P6" s="240" t="s">
        <v>20</v>
      </c>
      <c r="R6" s="580" t="s">
        <v>743</v>
      </c>
      <c r="S6" s="580" t="s">
        <v>220</v>
      </c>
      <c r="T6" s="580" t="s">
        <v>744</v>
      </c>
      <c r="U6" s="580" t="s">
        <v>745</v>
      </c>
      <c r="V6" s="580" t="s">
        <v>746</v>
      </c>
      <c r="W6" s="580" t="s">
        <v>747</v>
      </c>
      <c r="X6" s="580" t="s">
        <v>748</v>
      </c>
      <c r="Y6" s="580" t="s">
        <v>749</v>
      </c>
      <c r="Z6" s="580" t="s">
        <v>750</v>
      </c>
      <c r="AA6" s="580" t="s">
        <v>751</v>
      </c>
      <c r="AB6" s="580" t="s">
        <v>752</v>
      </c>
      <c r="AC6" s="581" t="s">
        <v>753</v>
      </c>
      <c r="AD6" s="580" t="s">
        <v>754</v>
      </c>
      <c r="AE6" s="580" t="s">
        <v>755</v>
      </c>
      <c r="AF6" s="580" t="s">
        <v>756</v>
      </c>
      <c r="AG6" s="580" t="s">
        <v>757</v>
      </c>
      <c r="AH6" s="580" t="s">
        <v>758</v>
      </c>
      <c r="AI6" s="580" t="s">
        <v>759</v>
      </c>
      <c r="AJ6" s="580" t="s">
        <v>760</v>
      </c>
      <c r="AK6" s="580" t="s">
        <v>761</v>
      </c>
    </row>
    <row r="7" spans="1:37" ht="21" thickBot="1" x14ac:dyDescent="0.25">
      <c r="A7" s="241"/>
      <c r="B7" s="242"/>
      <c r="C7" s="243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5"/>
      <c r="R7" s="582" t="s">
        <v>762</v>
      </c>
      <c r="S7" s="583" t="s">
        <v>763</v>
      </c>
      <c r="T7" s="582" t="s">
        <v>764</v>
      </c>
      <c r="U7" s="582" t="s">
        <v>765</v>
      </c>
      <c r="V7" s="582">
        <v>2013</v>
      </c>
      <c r="W7" s="582" t="s">
        <v>766</v>
      </c>
      <c r="X7" s="582">
        <v>12000</v>
      </c>
      <c r="Y7" s="582">
        <v>1000</v>
      </c>
      <c r="Z7" s="582">
        <v>1000</v>
      </c>
      <c r="AA7" s="582">
        <v>1000</v>
      </c>
      <c r="AB7" s="582">
        <v>1000</v>
      </c>
      <c r="AC7" s="584">
        <v>1000</v>
      </c>
      <c r="AD7" s="582">
        <v>1000</v>
      </c>
      <c r="AE7" s="582">
        <v>1000</v>
      </c>
      <c r="AF7" s="582">
        <v>1000</v>
      </c>
      <c r="AG7" s="582">
        <v>1000</v>
      </c>
      <c r="AH7" s="582">
        <v>1000</v>
      </c>
      <c r="AI7" s="582">
        <v>1000</v>
      </c>
      <c r="AJ7" s="582">
        <v>1000</v>
      </c>
      <c r="AK7" s="582" t="s">
        <v>767</v>
      </c>
    </row>
    <row r="8" spans="1:37" ht="14.25" x14ac:dyDescent="0.2">
      <c r="A8" s="246" t="s">
        <v>35</v>
      </c>
      <c r="B8" s="172" t="s">
        <v>776</v>
      </c>
      <c r="C8" s="248"/>
      <c r="D8" s="249">
        <f>'Vol e Ingresos 2014'!B76</f>
        <v>241045.3166115972</v>
      </c>
      <c r="E8" s="249">
        <f>'Vol e Ingresos 2014'!C76</f>
        <v>235355.42231744813</v>
      </c>
      <c r="F8" s="249">
        <f>'Vol e Ingresos 2014'!D76</f>
        <v>243345.63133875901</v>
      </c>
      <c r="G8" s="249">
        <f>'Vol e Ingresos 2014'!E76</f>
        <v>256851.63185743525</v>
      </c>
      <c r="H8" s="249">
        <f>'Vol e Ingresos 2014'!F76</f>
        <v>247717.49865270226</v>
      </c>
      <c r="I8" s="249">
        <f>'Vol e Ingresos 2014'!G76</f>
        <v>248921.82545184722</v>
      </c>
      <c r="J8" s="249">
        <f>'Vol e Ingresos 2014'!H76</f>
        <v>268698.30556810007</v>
      </c>
      <c r="K8" s="249">
        <f>'Vol e Ingresos 2014'!I76</f>
        <v>263148.58863147703</v>
      </c>
      <c r="L8" s="249">
        <f>'Vol e Ingresos 2014'!J76</f>
        <v>232882.35273255102</v>
      </c>
      <c r="M8" s="249">
        <f>'Vol e Ingresos 2014'!K76</f>
        <v>300724.81424021372</v>
      </c>
      <c r="N8" s="249">
        <f>'Vol e Ingresos 2014'!L76</f>
        <v>267310.94599130109</v>
      </c>
      <c r="O8" s="249">
        <f>'Vol e Ingresos 2014'!M76</f>
        <v>267310.94599130109</v>
      </c>
      <c r="P8" s="250">
        <f>SUM(D8:O8)</f>
        <v>3073313.2793847332</v>
      </c>
      <c r="R8" s="111" t="s">
        <v>762</v>
      </c>
      <c r="S8" s="277" t="str">
        <f t="shared" ref="S8:S10" si="0">B8</f>
        <v>0901010200</v>
      </c>
      <c r="T8" s="111" t="s">
        <v>779</v>
      </c>
      <c r="U8" s="585" t="s">
        <v>769</v>
      </c>
      <c r="V8" s="111">
        <v>2014</v>
      </c>
      <c r="W8" s="111" t="s">
        <v>770</v>
      </c>
      <c r="X8" s="111">
        <f t="shared" ref="X8:X10" si="1">SUM(Y8:AJ8)</f>
        <v>3073313</v>
      </c>
      <c r="Y8" s="111">
        <f t="shared" ref="Y8:Y10" si="2">ROUND(D8,0)</f>
        <v>241045</v>
      </c>
      <c r="Z8" s="111">
        <f t="shared" ref="Z8:Z10" si="3">ROUND(E8,0)</f>
        <v>235355</v>
      </c>
      <c r="AA8" s="111">
        <f t="shared" ref="AA8:AA10" si="4">ROUND(F8,0)</f>
        <v>243346</v>
      </c>
      <c r="AB8" s="111">
        <f t="shared" ref="AB8:AB10" si="5">ROUND(G8,0)</f>
        <v>256852</v>
      </c>
      <c r="AC8" s="111">
        <f t="shared" ref="AC8:AC10" si="6">ROUND(H8,0)</f>
        <v>247717</v>
      </c>
      <c r="AD8" s="111">
        <f t="shared" ref="AD8:AD10" si="7">ROUND(I8,0)</f>
        <v>248922</v>
      </c>
      <c r="AE8" s="111">
        <f t="shared" ref="AE8:AE10" si="8">ROUND(J8,0)</f>
        <v>268698</v>
      </c>
      <c r="AF8" s="111">
        <f t="shared" ref="AF8:AF10" si="9">ROUND(K8,0)</f>
        <v>263149</v>
      </c>
      <c r="AG8" s="111">
        <f t="shared" ref="AG8:AG10" si="10">ROUND(L8,0)</f>
        <v>232882</v>
      </c>
      <c r="AH8" s="111">
        <f t="shared" ref="AH8:AH10" si="11">ROUND(M8,0)</f>
        <v>300725</v>
      </c>
      <c r="AI8" s="111">
        <f t="shared" ref="AI8:AI10" si="12">ROUND(N8,0)</f>
        <v>267311</v>
      </c>
      <c r="AJ8" s="111">
        <f t="shared" ref="AJ8:AJ10" si="13">ROUND(O8,0)</f>
        <v>267311</v>
      </c>
      <c r="AK8" s="111" t="s">
        <v>767</v>
      </c>
    </row>
    <row r="9" spans="1:37" ht="14.25" x14ac:dyDescent="0.2">
      <c r="A9" s="246" t="s">
        <v>222</v>
      </c>
      <c r="B9" s="172" t="s">
        <v>778</v>
      </c>
      <c r="C9" s="248"/>
      <c r="D9" s="251">
        <f>'Vol e Ingresos 2014'!B44</f>
        <v>525.63571579846723</v>
      </c>
      <c r="E9" s="251">
        <f>'Vol e Ingresos 2014'!C44</f>
        <v>513.22804199602683</v>
      </c>
      <c r="F9" s="251">
        <f>'Vol e Ingresos 2014'!D44</f>
        <v>530.65189945708505</v>
      </c>
      <c r="G9" s="251">
        <f>'Vol e Ingresos 2014'!E44</f>
        <v>560.10377327900233</v>
      </c>
      <c r="H9" s="251">
        <f>'Vol e Ingresos 2014'!F44</f>
        <v>540.1854163793131</v>
      </c>
      <c r="I9" s="251">
        <f>'Vol e Ingresos 2014'!G44</f>
        <v>542.81163284359673</v>
      </c>
      <c r="J9" s="251">
        <f>'Vol e Ingresos 2014'!H44</f>
        <v>585.93723440270446</v>
      </c>
      <c r="K9" s="251">
        <f>'Vol e Ingresos 2014'!I44</f>
        <v>573.83523849808728</v>
      </c>
      <c r="L9" s="251">
        <f>'Vol e Ingresos 2014'!J44</f>
        <v>507.83514028048995</v>
      </c>
      <c r="M9" s="251">
        <f>'Vol e Ingresos 2014'!K44</f>
        <v>655.77587324055344</v>
      </c>
      <c r="N9" s="251">
        <f>'Vol e Ingresos 2014'!L44</f>
        <v>582.9118873249364</v>
      </c>
      <c r="O9" s="251">
        <f>'Vol e Ingresos 2014'!M44</f>
        <v>582.9118873249364</v>
      </c>
      <c r="P9" s="252">
        <f>SUM(D9:O9)</f>
        <v>6701.8237408251998</v>
      </c>
      <c r="R9" s="111" t="s">
        <v>762</v>
      </c>
      <c r="S9" s="277" t="str">
        <f t="shared" si="0"/>
        <v>0901010100</v>
      </c>
      <c r="T9" s="111" t="s">
        <v>779</v>
      </c>
      <c r="U9" s="585" t="s">
        <v>769</v>
      </c>
      <c r="V9" s="111">
        <v>2014</v>
      </c>
      <c r="W9" s="111" t="s">
        <v>770</v>
      </c>
      <c r="X9" s="111">
        <f t="shared" si="1"/>
        <v>6703</v>
      </c>
      <c r="Y9" s="111">
        <f t="shared" si="2"/>
        <v>526</v>
      </c>
      <c r="Z9" s="111">
        <f t="shared" si="3"/>
        <v>513</v>
      </c>
      <c r="AA9" s="111">
        <f t="shared" si="4"/>
        <v>531</v>
      </c>
      <c r="AB9" s="111">
        <f t="shared" si="5"/>
        <v>560</v>
      </c>
      <c r="AC9" s="111">
        <f t="shared" si="6"/>
        <v>540</v>
      </c>
      <c r="AD9" s="111">
        <f t="shared" si="7"/>
        <v>543</v>
      </c>
      <c r="AE9" s="111">
        <f t="shared" si="8"/>
        <v>586</v>
      </c>
      <c r="AF9" s="111">
        <f t="shared" si="9"/>
        <v>574</v>
      </c>
      <c r="AG9" s="111">
        <f t="shared" si="10"/>
        <v>508</v>
      </c>
      <c r="AH9" s="111">
        <f t="shared" si="11"/>
        <v>656</v>
      </c>
      <c r="AI9" s="111">
        <f t="shared" si="12"/>
        <v>583</v>
      </c>
      <c r="AJ9" s="111">
        <f t="shared" si="13"/>
        <v>583</v>
      </c>
      <c r="AK9" s="111" t="s">
        <v>767</v>
      </c>
    </row>
    <row r="10" spans="1:37" ht="14.25" x14ac:dyDescent="0.2">
      <c r="A10" s="246" t="s">
        <v>223</v>
      </c>
      <c r="B10" s="172" t="s">
        <v>777</v>
      </c>
      <c r="C10" s="248"/>
      <c r="D10" s="251">
        <f>'Vol e Ingresos 2014'!B11</f>
        <v>17896.561572742881</v>
      </c>
      <c r="E10" s="251">
        <f>'Vol e Ingresos 2014'!C11</f>
        <v>17474.111781935626</v>
      </c>
      <c r="F10" s="251">
        <f>'Vol e Ingresos 2014'!D11</f>
        <v>18067.349890599613</v>
      </c>
      <c r="G10" s="251">
        <f>'Vol e Ingresos 2014'!E11</f>
        <v>19070.111418107168</v>
      </c>
      <c r="H10" s="251">
        <f>'Vol e Ingresos 2014'!F11</f>
        <v>18391.941936907322</v>
      </c>
      <c r="I10" s="251">
        <f>'Vol e Ingresos 2014'!G11</f>
        <v>18481.357939746867</v>
      </c>
      <c r="J10" s="251">
        <f>'Vol e Ingresos 2014'!H11</f>
        <v>19949.675180122638</v>
      </c>
      <c r="K10" s="251">
        <f>'Vol e Ingresos 2014'!I11</f>
        <v>19537.632945642697</v>
      </c>
      <c r="L10" s="251">
        <f>'Vol e Ingresos 2014'!J11</f>
        <v>17290.497170700077</v>
      </c>
      <c r="M10" s="251">
        <f>'Vol e Ingresos 2014'!K11</f>
        <v>22327.503517414174</v>
      </c>
      <c r="N10" s="251">
        <f>'Vol e Ingresos 2014'!L11</f>
        <v>19846.669793257046</v>
      </c>
      <c r="O10" s="251">
        <f>'Vol e Ingresos 2014'!M11</f>
        <v>19846.669793257046</v>
      </c>
      <c r="P10" s="252">
        <f>SUM(D10:O10)</f>
        <v>228180.08294043317</v>
      </c>
      <c r="R10" s="111" t="s">
        <v>762</v>
      </c>
      <c r="S10" s="277" t="str">
        <f t="shared" si="0"/>
        <v>0901010300</v>
      </c>
      <c r="T10" s="111" t="s">
        <v>779</v>
      </c>
      <c r="U10" s="585" t="s">
        <v>769</v>
      </c>
      <c r="V10" s="111">
        <v>2014</v>
      </c>
      <c r="W10" s="111" t="s">
        <v>770</v>
      </c>
      <c r="X10" s="111">
        <f t="shared" si="1"/>
        <v>228181</v>
      </c>
      <c r="Y10" s="111">
        <f t="shared" si="2"/>
        <v>17897</v>
      </c>
      <c r="Z10" s="111">
        <f t="shared" si="3"/>
        <v>17474</v>
      </c>
      <c r="AA10" s="111">
        <f t="shared" si="4"/>
        <v>18067</v>
      </c>
      <c r="AB10" s="111">
        <f t="shared" si="5"/>
        <v>19070</v>
      </c>
      <c r="AC10" s="111">
        <f t="shared" si="6"/>
        <v>18392</v>
      </c>
      <c r="AD10" s="111">
        <f t="shared" si="7"/>
        <v>18481</v>
      </c>
      <c r="AE10" s="111">
        <f t="shared" si="8"/>
        <v>19950</v>
      </c>
      <c r="AF10" s="111">
        <f t="shared" si="9"/>
        <v>19538</v>
      </c>
      <c r="AG10" s="111">
        <f t="shared" si="10"/>
        <v>17290</v>
      </c>
      <c r="AH10" s="111">
        <f t="shared" si="11"/>
        <v>22328</v>
      </c>
      <c r="AI10" s="111">
        <f t="shared" si="12"/>
        <v>19847</v>
      </c>
      <c r="AJ10" s="111">
        <f t="shared" si="13"/>
        <v>19847</v>
      </c>
      <c r="AK10" s="111" t="s">
        <v>767</v>
      </c>
    </row>
    <row r="11" spans="1:37" ht="15" thickBot="1" x14ac:dyDescent="0.25">
      <c r="A11" s="253"/>
      <c r="B11" s="247"/>
      <c r="C11" s="248"/>
      <c r="D11" s="254"/>
      <c r="E11" s="254"/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5"/>
    </row>
    <row r="12" spans="1:37" ht="15" x14ac:dyDescent="0.25">
      <c r="A12" s="256" t="s">
        <v>224</v>
      </c>
      <c r="B12" s="257"/>
      <c r="C12" s="258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60"/>
    </row>
    <row r="13" spans="1:37" ht="15" x14ac:dyDescent="0.25">
      <c r="A13" s="261" t="s">
        <v>225</v>
      </c>
      <c r="C13" s="262"/>
      <c r="D13" s="263"/>
      <c r="E13" s="263"/>
      <c r="F13" s="263"/>
      <c r="G13" s="263"/>
      <c r="H13" s="263"/>
      <c r="I13" s="263"/>
      <c r="J13" s="263"/>
      <c r="P13" s="262"/>
    </row>
    <row r="14" spans="1:37" ht="15" x14ac:dyDescent="0.25">
      <c r="A14" s="264" t="s">
        <v>226</v>
      </c>
      <c r="B14" s="265"/>
      <c r="C14" s="266" t="s">
        <v>226</v>
      </c>
      <c r="D14" s="315">
        <v>146832</v>
      </c>
      <c r="E14" s="315">
        <v>146832</v>
      </c>
      <c r="F14" s="315">
        <v>146832</v>
      </c>
      <c r="G14" s="315">
        <v>146832</v>
      </c>
      <c r="H14" s="315">
        <v>146832</v>
      </c>
      <c r="I14" s="315">
        <v>146832</v>
      </c>
      <c r="J14" s="315">
        <v>146832</v>
      </c>
      <c r="K14" s="315">
        <v>146832</v>
      </c>
      <c r="L14" s="315">
        <v>146832</v>
      </c>
      <c r="M14" s="315">
        <v>146832</v>
      </c>
      <c r="N14" s="315">
        <v>146832</v>
      </c>
      <c r="O14" s="315">
        <v>146832</v>
      </c>
      <c r="P14" s="298">
        <f t="shared" ref="P14:P33" si="14">SUM(D14:O14)</f>
        <v>1761984</v>
      </c>
    </row>
    <row r="15" spans="1:37" ht="15" x14ac:dyDescent="0.25">
      <c r="A15" s="267" t="s">
        <v>227</v>
      </c>
      <c r="B15" s="268" t="s">
        <v>228</v>
      </c>
      <c r="C15" s="269" t="str">
        <f>VLOOKUP(B15,'Cat. cuentas'!$A$1:$B$195,2,FALSE)</f>
        <v>PERMISOS Y PLACAS</v>
      </c>
      <c r="P15" s="298">
        <f t="shared" si="14"/>
        <v>0</v>
      </c>
      <c r="R15" s="111" t="s">
        <v>762</v>
      </c>
      <c r="S15" s="277" t="str">
        <f>B15</f>
        <v>0501080700</v>
      </c>
      <c r="T15" s="111" t="s">
        <v>768</v>
      </c>
      <c r="U15" s="585" t="s">
        <v>769</v>
      </c>
      <c r="V15" s="111">
        <v>2014</v>
      </c>
      <c r="W15" s="111" t="s">
        <v>770</v>
      </c>
      <c r="X15" s="111">
        <f>SUM(Y15:AJ15)</f>
        <v>0</v>
      </c>
      <c r="Y15" s="111">
        <f>ROUND(D15,0)</f>
        <v>0</v>
      </c>
      <c r="Z15" s="111">
        <f t="shared" ref="Z15:Z32" si="15">ROUND(E15,0)</f>
        <v>0</v>
      </c>
      <c r="AA15" s="111">
        <f t="shared" ref="AA15:AA32" si="16">ROUND(F15,0)</f>
        <v>0</v>
      </c>
      <c r="AB15" s="111">
        <f t="shared" ref="AB15:AB32" si="17">ROUND(G15,0)</f>
        <v>0</v>
      </c>
      <c r="AC15" s="111">
        <f t="shared" ref="AC15:AC32" si="18">ROUND(H15,0)</f>
        <v>0</v>
      </c>
      <c r="AD15" s="111">
        <f t="shared" ref="AD15:AD32" si="19">ROUND(I15,0)</f>
        <v>0</v>
      </c>
      <c r="AE15" s="111">
        <f t="shared" ref="AE15:AE32" si="20">ROUND(J15,0)</f>
        <v>0</v>
      </c>
      <c r="AF15" s="111">
        <f t="shared" ref="AF15:AF32" si="21">ROUND(K15,0)</f>
        <v>0</v>
      </c>
      <c r="AG15" s="111">
        <f t="shared" ref="AG15:AG32" si="22">ROUND(L15,0)</f>
        <v>0</v>
      </c>
      <c r="AH15" s="111">
        <f t="shared" ref="AH15:AH32" si="23">ROUND(M15,0)</f>
        <v>0</v>
      </c>
      <c r="AI15" s="111">
        <f t="shared" ref="AI15:AI32" si="24">ROUND(N15,0)</f>
        <v>0</v>
      </c>
      <c r="AJ15" s="111">
        <f t="shared" ref="AJ15:AJ32" si="25">ROUND(O15,0)</f>
        <v>0</v>
      </c>
      <c r="AK15" s="111" t="s">
        <v>767</v>
      </c>
    </row>
    <row r="16" spans="1:37" ht="15" x14ac:dyDescent="0.25">
      <c r="A16" s="264" t="s">
        <v>229</v>
      </c>
      <c r="B16" s="270" t="s">
        <v>230</v>
      </c>
      <c r="C16" s="266" t="str">
        <f>VLOOKUP(B16,'Cat. cuentas'!$A$1:$B$195,2,FALSE)</f>
        <v>CUOTAS SINDICALES</v>
      </c>
      <c r="D16" s="315">
        <v>0</v>
      </c>
      <c r="E16" s="315">
        <v>126485</v>
      </c>
      <c r="F16" s="315">
        <v>0</v>
      </c>
      <c r="G16" s="315">
        <v>0</v>
      </c>
      <c r="H16" s="315">
        <v>0</v>
      </c>
      <c r="I16" s="315">
        <v>0</v>
      </c>
      <c r="J16" s="315">
        <v>0</v>
      </c>
      <c r="K16" s="315">
        <v>0</v>
      </c>
      <c r="L16" s="315">
        <v>0</v>
      </c>
      <c r="M16" s="315">
        <v>0</v>
      </c>
      <c r="N16" s="315">
        <v>0</v>
      </c>
      <c r="O16" s="315">
        <v>0</v>
      </c>
      <c r="P16" s="298">
        <f t="shared" si="14"/>
        <v>126485</v>
      </c>
      <c r="R16" s="111" t="s">
        <v>762</v>
      </c>
      <c r="S16" s="277" t="str">
        <f t="shared" ref="S16:S32" si="26">B16</f>
        <v>0501170300</v>
      </c>
      <c r="T16" s="111" t="s">
        <v>768</v>
      </c>
      <c r="U16" s="585" t="s">
        <v>769</v>
      </c>
      <c r="V16" s="111">
        <v>2014</v>
      </c>
      <c r="W16" s="111" t="s">
        <v>770</v>
      </c>
      <c r="X16" s="111">
        <f t="shared" ref="X16:X32" si="27">SUM(Y16:AJ16)</f>
        <v>126485</v>
      </c>
      <c r="Y16" s="111">
        <f t="shared" ref="Y16:Y32" si="28">ROUND(D16,0)</f>
        <v>0</v>
      </c>
      <c r="Z16" s="111">
        <f t="shared" si="15"/>
        <v>126485</v>
      </c>
      <c r="AA16" s="111">
        <f t="shared" si="16"/>
        <v>0</v>
      </c>
      <c r="AB16" s="111">
        <f t="shared" si="17"/>
        <v>0</v>
      </c>
      <c r="AC16" s="111">
        <f t="shared" si="18"/>
        <v>0</v>
      </c>
      <c r="AD16" s="111">
        <f t="shared" si="19"/>
        <v>0</v>
      </c>
      <c r="AE16" s="111">
        <f t="shared" si="20"/>
        <v>0</v>
      </c>
      <c r="AF16" s="111">
        <f t="shared" si="21"/>
        <v>0</v>
      </c>
      <c r="AG16" s="111">
        <f t="shared" si="22"/>
        <v>0</v>
      </c>
      <c r="AH16" s="111">
        <f t="shared" si="23"/>
        <v>0</v>
      </c>
      <c r="AI16" s="111">
        <f t="shared" si="24"/>
        <v>0</v>
      </c>
      <c r="AJ16" s="111">
        <f t="shared" si="25"/>
        <v>0</v>
      </c>
      <c r="AK16" s="111" t="s">
        <v>767</v>
      </c>
    </row>
    <row r="17" spans="1:37" ht="15" x14ac:dyDescent="0.25">
      <c r="A17" s="267" t="s">
        <v>231</v>
      </c>
      <c r="B17" s="271" t="s">
        <v>232</v>
      </c>
      <c r="C17" s="269" t="str">
        <f>VLOOKUP(B17,'Cat. cuentas'!$A$1:$B$195,2,FALSE)</f>
        <v>SEGURO UNIDADES (FLOTILLA)</v>
      </c>
      <c r="D17" s="315">
        <f>((32000*$D$3)+(3300*27))/12*D1</f>
        <v>127849.75000000001</v>
      </c>
      <c r="E17" s="315">
        <f t="shared" ref="E17:O17" si="29">((32000*$D$3)+(3300*27))/12*E1</f>
        <v>128274.49999999999</v>
      </c>
      <c r="F17" s="315">
        <f t="shared" si="29"/>
        <v>128699.25</v>
      </c>
      <c r="G17" s="315">
        <f t="shared" si="29"/>
        <v>129124.00000000001</v>
      </c>
      <c r="H17" s="315">
        <f t="shared" si="29"/>
        <v>129548.74999999999</v>
      </c>
      <c r="I17" s="315">
        <f t="shared" si="29"/>
        <v>129973.5</v>
      </c>
      <c r="J17" s="315">
        <f t="shared" si="29"/>
        <v>130398.25000000001</v>
      </c>
      <c r="K17" s="315">
        <f t="shared" si="29"/>
        <v>130823</v>
      </c>
      <c r="L17" s="315">
        <f t="shared" si="29"/>
        <v>131247.75</v>
      </c>
      <c r="M17" s="315">
        <f t="shared" si="29"/>
        <v>131672.5</v>
      </c>
      <c r="N17" s="315">
        <f t="shared" si="29"/>
        <v>132097.25</v>
      </c>
      <c r="O17" s="315">
        <f t="shared" si="29"/>
        <v>132522</v>
      </c>
      <c r="P17" s="298">
        <f t="shared" si="14"/>
        <v>1562230.5</v>
      </c>
      <c r="R17" s="111" t="s">
        <v>762</v>
      </c>
      <c r="S17" s="277" t="str">
        <f t="shared" si="26"/>
        <v>0501070300</v>
      </c>
      <c r="T17" s="111" t="s">
        <v>768</v>
      </c>
      <c r="U17" s="585" t="s">
        <v>769</v>
      </c>
      <c r="V17" s="111">
        <v>2014</v>
      </c>
      <c r="W17" s="111" t="s">
        <v>770</v>
      </c>
      <c r="X17" s="111">
        <f t="shared" si="27"/>
        <v>1562232</v>
      </c>
      <c r="Y17" s="111">
        <f t="shared" si="28"/>
        <v>127850</v>
      </c>
      <c r="Z17" s="111">
        <f t="shared" si="15"/>
        <v>128275</v>
      </c>
      <c r="AA17" s="111">
        <f t="shared" si="16"/>
        <v>128699</v>
      </c>
      <c r="AB17" s="111">
        <f t="shared" si="17"/>
        <v>129124</v>
      </c>
      <c r="AC17" s="111">
        <f t="shared" si="18"/>
        <v>129549</v>
      </c>
      <c r="AD17" s="111">
        <f t="shared" si="19"/>
        <v>129974</v>
      </c>
      <c r="AE17" s="111">
        <f t="shared" si="20"/>
        <v>130398</v>
      </c>
      <c r="AF17" s="111">
        <f t="shared" si="21"/>
        <v>130823</v>
      </c>
      <c r="AG17" s="111">
        <f t="shared" si="22"/>
        <v>131248</v>
      </c>
      <c r="AH17" s="111">
        <f t="shared" si="23"/>
        <v>131673</v>
      </c>
      <c r="AI17" s="111">
        <f t="shared" si="24"/>
        <v>132097</v>
      </c>
      <c r="AJ17" s="111">
        <f t="shared" si="25"/>
        <v>132522</v>
      </c>
      <c r="AK17" s="111" t="s">
        <v>767</v>
      </c>
    </row>
    <row r="18" spans="1:37" ht="15" x14ac:dyDescent="0.25">
      <c r="A18" s="264" t="s">
        <v>235</v>
      </c>
      <c r="B18" s="270" t="s">
        <v>236</v>
      </c>
      <c r="C18" s="266" t="str">
        <f>VLOOKUP(B18,'Cat. cuentas'!$A$1:$B$195,2,FALSE)</f>
        <v>ZAPATOS, UNIFORMES Y EQUIPO</v>
      </c>
      <c r="D18" s="315">
        <v>0</v>
      </c>
      <c r="E18" s="315">
        <v>57400</v>
      </c>
      <c r="F18" s="315">
        <v>57400</v>
      </c>
      <c r="G18" s="315">
        <v>0</v>
      </c>
      <c r="H18" s="315">
        <v>0</v>
      </c>
      <c r="I18" s="315">
        <v>0</v>
      </c>
      <c r="J18" s="315">
        <v>0</v>
      </c>
      <c r="K18" s="315">
        <v>0</v>
      </c>
      <c r="L18" s="315">
        <v>0</v>
      </c>
      <c r="M18" s="315">
        <v>0</v>
      </c>
      <c r="N18" s="315">
        <v>0</v>
      </c>
      <c r="O18" s="315">
        <v>0</v>
      </c>
      <c r="P18" s="298">
        <f t="shared" si="14"/>
        <v>114800</v>
      </c>
      <c r="R18" s="111" t="s">
        <v>762</v>
      </c>
      <c r="S18" s="277" t="str">
        <f t="shared" si="26"/>
        <v>0501050200</v>
      </c>
      <c r="T18" s="111" t="s">
        <v>768</v>
      </c>
      <c r="U18" s="585" t="s">
        <v>769</v>
      </c>
      <c r="V18" s="111">
        <v>2014</v>
      </c>
      <c r="W18" s="111" t="s">
        <v>770</v>
      </c>
      <c r="X18" s="111">
        <f t="shared" si="27"/>
        <v>114800</v>
      </c>
      <c r="Y18" s="111">
        <f t="shared" si="28"/>
        <v>0</v>
      </c>
      <c r="Z18" s="111">
        <f t="shared" si="15"/>
        <v>57400</v>
      </c>
      <c r="AA18" s="111">
        <f t="shared" si="16"/>
        <v>57400</v>
      </c>
      <c r="AB18" s="111">
        <f t="shared" si="17"/>
        <v>0</v>
      </c>
      <c r="AC18" s="111">
        <f t="shared" si="18"/>
        <v>0</v>
      </c>
      <c r="AD18" s="111">
        <f t="shared" si="19"/>
        <v>0</v>
      </c>
      <c r="AE18" s="111">
        <f t="shared" si="20"/>
        <v>0</v>
      </c>
      <c r="AF18" s="111">
        <f t="shared" si="21"/>
        <v>0</v>
      </c>
      <c r="AG18" s="111">
        <f t="shared" si="22"/>
        <v>0</v>
      </c>
      <c r="AH18" s="111">
        <f t="shared" si="23"/>
        <v>0</v>
      </c>
      <c r="AI18" s="111">
        <f t="shared" si="24"/>
        <v>0</v>
      </c>
      <c r="AJ18" s="111">
        <f t="shared" si="25"/>
        <v>0</v>
      </c>
      <c r="AK18" s="111" t="s">
        <v>767</v>
      </c>
    </row>
    <row r="19" spans="1:37" ht="15" x14ac:dyDescent="0.25">
      <c r="A19" s="267" t="s">
        <v>237</v>
      </c>
      <c r="B19" s="271" t="s">
        <v>238</v>
      </c>
      <c r="C19" s="269" t="str">
        <f>VLOOKUP(B19,'Cat. cuentas'!$A$1:$B$195,2,FALSE)</f>
        <v>SEGURO DE VIDA</v>
      </c>
      <c r="D19" s="315">
        <f>(1008*23)/12*D1</f>
        <v>1938.44</v>
      </c>
      <c r="E19" s="315">
        <f t="shared" ref="E19:O19" si="30">(1008*23)/12*E1</f>
        <v>1944.8799999999999</v>
      </c>
      <c r="F19" s="315">
        <f t="shared" si="30"/>
        <v>1951.32</v>
      </c>
      <c r="G19" s="315">
        <f t="shared" si="30"/>
        <v>1957.7600000000002</v>
      </c>
      <c r="H19" s="315">
        <f t="shared" si="30"/>
        <v>1964.1999999999998</v>
      </c>
      <c r="I19" s="315">
        <f t="shared" si="30"/>
        <v>1970.64</v>
      </c>
      <c r="J19" s="315">
        <f t="shared" si="30"/>
        <v>1977.0800000000002</v>
      </c>
      <c r="K19" s="315">
        <f t="shared" si="30"/>
        <v>1983.52</v>
      </c>
      <c r="L19" s="315">
        <f t="shared" si="30"/>
        <v>1989.96</v>
      </c>
      <c r="M19" s="315">
        <f t="shared" si="30"/>
        <v>1996.4</v>
      </c>
      <c r="N19" s="315">
        <f t="shared" si="30"/>
        <v>2002.84</v>
      </c>
      <c r="O19" s="315">
        <f t="shared" si="30"/>
        <v>2009.28</v>
      </c>
      <c r="P19" s="298">
        <f t="shared" si="14"/>
        <v>23686.32</v>
      </c>
      <c r="R19" s="111" t="s">
        <v>762</v>
      </c>
      <c r="S19" s="277" t="str">
        <f t="shared" si="26"/>
        <v>0501040400</v>
      </c>
      <c r="T19" s="111" t="s">
        <v>768</v>
      </c>
      <c r="U19" s="585" t="s">
        <v>769</v>
      </c>
      <c r="V19" s="111">
        <v>2014</v>
      </c>
      <c r="W19" s="111" t="s">
        <v>770</v>
      </c>
      <c r="X19" s="111">
        <f t="shared" si="27"/>
        <v>23686</v>
      </c>
      <c r="Y19" s="111">
        <f t="shared" si="28"/>
        <v>1938</v>
      </c>
      <c r="Z19" s="111">
        <f t="shared" si="15"/>
        <v>1945</v>
      </c>
      <c r="AA19" s="111">
        <f t="shared" si="16"/>
        <v>1951</v>
      </c>
      <c r="AB19" s="111">
        <f t="shared" si="17"/>
        <v>1958</v>
      </c>
      <c r="AC19" s="111">
        <f t="shared" si="18"/>
        <v>1964</v>
      </c>
      <c r="AD19" s="111">
        <f t="shared" si="19"/>
        <v>1971</v>
      </c>
      <c r="AE19" s="111">
        <f t="shared" si="20"/>
        <v>1977</v>
      </c>
      <c r="AF19" s="111">
        <f t="shared" si="21"/>
        <v>1984</v>
      </c>
      <c r="AG19" s="111">
        <f t="shared" si="22"/>
        <v>1990</v>
      </c>
      <c r="AH19" s="111">
        <f t="shared" si="23"/>
        <v>1996</v>
      </c>
      <c r="AI19" s="111">
        <f t="shared" si="24"/>
        <v>2003</v>
      </c>
      <c r="AJ19" s="111">
        <f t="shared" si="25"/>
        <v>2009</v>
      </c>
      <c r="AK19" s="111" t="s">
        <v>767</v>
      </c>
    </row>
    <row r="20" spans="1:37" ht="15" x14ac:dyDescent="0.25">
      <c r="A20" s="264" t="s">
        <v>239</v>
      </c>
      <c r="B20" s="265" t="s">
        <v>240</v>
      </c>
      <c r="C20" s="266" t="str">
        <f>VLOOKUP(B20,'Cat. cuentas'!$A$1:$B$195,2,FALSE)</f>
        <v>GASTOS DE CAPACITACION</v>
      </c>
      <c r="D20" s="315">
        <v>0</v>
      </c>
      <c r="E20" s="315">
        <v>0</v>
      </c>
      <c r="F20" s="315">
        <v>17169</v>
      </c>
      <c r="G20" s="315">
        <v>17169</v>
      </c>
      <c r="H20" s="315">
        <v>17169</v>
      </c>
      <c r="I20" s="315">
        <v>17169</v>
      </c>
      <c r="J20" s="315">
        <v>17169</v>
      </c>
      <c r="K20" s="315">
        <v>17169</v>
      </c>
      <c r="L20" s="315">
        <v>17169</v>
      </c>
      <c r="M20" s="315">
        <v>17169</v>
      </c>
      <c r="N20" s="315">
        <v>0</v>
      </c>
      <c r="O20" s="315">
        <v>0</v>
      </c>
      <c r="P20" s="298">
        <f t="shared" si="14"/>
        <v>137352</v>
      </c>
      <c r="R20" s="111" t="s">
        <v>762</v>
      </c>
      <c r="S20" s="277" t="str">
        <f t="shared" si="26"/>
        <v>0501050400</v>
      </c>
      <c r="T20" s="111" t="s">
        <v>768</v>
      </c>
      <c r="U20" s="585" t="s">
        <v>769</v>
      </c>
      <c r="V20" s="111">
        <v>2014</v>
      </c>
      <c r="W20" s="111" t="s">
        <v>770</v>
      </c>
      <c r="X20" s="111">
        <f t="shared" si="27"/>
        <v>137352</v>
      </c>
      <c r="Y20" s="111">
        <f t="shared" si="28"/>
        <v>0</v>
      </c>
      <c r="Z20" s="111">
        <f t="shared" si="15"/>
        <v>0</v>
      </c>
      <c r="AA20" s="111">
        <f t="shared" si="16"/>
        <v>17169</v>
      </c>
      <c r="AB20" s="111">
        <f t="shared" si="17"/>
        <v>17169</v>
      </c>
      <c r="AC20" s="111">
        <f t="shared" si="18"/>
        <v>17169</v>
      </c>
      <c r="AD20" s="111">
        <f t="shared" si="19"/>
        <v>17169</v>
      </c>
      <c r="AE20" s="111">
        <f t="shared" si="20"/>
        <v>17169</v>
      </c>
      <c r="AF20" s="111">
        <f t="shared" si="21"/>
        <v>17169</v>
      </c>
      <c r="AG20" s="111">
        <f t="shared" si="22"/>
        <v>17169</v>
      </c>
      <c r="AH20" s="111">
        <f t="shared" si="23"/>
        <v>17169</v>
      </c>
      <c r="AI20" s="111">
        <f t="shared" si="24"/>
        <v>0</v>
      </c>
      <c r="AJ20" s="111">
        <f t="shared" si="25"/>
        <v>0</v>
      </c>
      <c r="AK20" s="111" t="s">
        <v>767</v>
      </c>
    </row>
    <row r="21" spans="1:37" ht="15" x14ac:dyDescent="0.25">
      <c r="A21" s="267" t="s">
        <v>241</v>
      </c>
      <c r="B21" s="271" t="s">
        <v>242</v>
      </c>
      <c r="C21" s="269" t="str">
        <f>VLOOKUP(B21,'Cat. cuentas'!$A$1:$B$195,2,FALSE)</f>
        <v>GTOS DE VIAJE(HOSP.TRANS.VIAT)</v>
      </c>
      <c r="D21" s="315">
        <f>(1000*6)*D1</f>
        <v>6020.0000000000009</v>
      </c>
      <c r="E21" s="315">
        <f>(1000*6)*E1</f>
        <v>6040</v>
      </c>
      <c r="F21" s="315">
        <f>(1000*6)*F1</f>
        <v>6060</v>
      </c>
      <c r="G21" s="315">
        <f>((1300*6)*G1)+800+300</f>
        <v>9004</v>
      </c>
      <c r="H21" s="315">
        <f>(1000*6)*H1</f>
        <v>6100</v>
      </c>
      <c r="I21" s="315">
        <f>(1000*6)*I1</f>
        <v>6120</v>
      </c>
      <c r="J21" s="315">
        <f>(1000*6)*J1</f>
        <v>6140.0000000000009</v>
      </c>
      <c r="K21" s="315">
        <f>((1300*6)*K1)+800+300</f>
        <v>9108</v>
      </c>
      <c r="L21" s="315">
        <f>(1000*6)*L1</f>
        <v>6180</v>
      </c>
      <c r="M21" s="315">
        <f>(1000*6)*M1</f>
        <v>6200.0000000000009</v>
      </c>
      <c r="N21" s="315">
        <f>(1000*6)*N1</f>
        <v>6220</v>
      </c>
      <c r="O21" s="315">
        <f>(1000*6)*O1</f>
        <v>6240</v>
      </c>
      <c r="P21" s="298">
        <f t="shared" si="14"/>
        <v>79432</v>
      </c>
      <c r="R21" s="111" t="s">
        <v>762</v>
      </c>
      <c r="S21" s="277" t="str">
        <f t="shared" si="26"/>
        <v>0501140100</v>
      </c>
      <c r="T21" s="111" t="s">
        <v>768</v>
      </c>
      <c r="U21" s="585" t="s">
        <v>769</v>
      </c>
      <c r="V21" s="111">
        <v>2014</v>
      </c>
      <c r="W21" s="111" t="s">
        <v>770</v>
      </c>
      <c r="X21" s="111">
        <f t="shared" si="27"/>
        <v>79432</v>
      </c>
      <c r="Y21" s="111">
        <f t="shared" si="28"/>
        <v>6020</v>
      </c>
      <c r="Z21" s="111">
        <f t="shared" si="15"/>
        <v>6040</v>
      </c>
      <c r="AA21" s="111">
        <f t="shared" si="16"/>
        <v>6060</v>
      </c>
      <c r="AB21" s="111">
        <f t="shared" si="17"/>
        <v>9004</v>
      </c>
      <c r="AC21" s="111">
        <f t="shared" si="18"/>
        <v>6100</v>
      </c>
      <c r="AD21" s="111">
        <f t="shared" si="19"/>
        <v>6120</v>
      </c>
      <c r="AE21" s="111">
        <f t="shared" si="20"/>
        <v>6140</v>
      </c>
      <c r="AF21" s="111">
        <f t="shared" si="21"/>
        <v>9108</v>
      </c>
      <c r="AG21" s="111">
        <f t="shared" si="22"/>
        <v>6180</v>
      </c>
      <c r="AH21" s="111">
        <f t="shared" si="23"/>
        <v>6200</v>
      </c>
      <c r="AI21" s="111">
        <f t="shared" si="24"/>
        <v>6220</v>
      </c>
      <c r="AJ21" s="111">
        <f t="shared" si="25"/>
        <v>6240</v>
      </c>
      <c r="AK21" s="111" t="s">
        <v>767</v>
      </c>
    </row>
    <row r="22" spans="1:37" ht="15" x14ac:dyDescent="0.25">
      <c r="A22" s="264" t="s">
        <v>243</v>
      </c>
      <c r="B22" s="265" t="s">
        <v>244</v>
      </c>
      <c r="C22" s="266" t="str">
        <f>VLOOKUP(B22,'Cat. cuentas'!$A$1:$B$195,2,FALSE)</f>
        <v>BECAS Y FOMENTO DEPORTIVO</v>
      </c>
      <c r="D22" s="315">
        <v>0</v>
      </c>
      <c r="E22" s="315">
        <v>0</v>
      </c>
      <c r="F22" s="315">
        <v>0</v>
      </c>
      <c r="G22" s="315">
        <v>0</v>
      </c>
      <c r="H22" s="315">
        <v>0</v>
      </c>
      <c r="I22" s="315">
        <v>0</v>
      </c>
      <c r="J22" s="315">
        <v>0</v>
      </c>
      <c r="K22" s="315">
        <v>27000</v>
      </c>
      <c r="L22" s="315">
        <v>0</v>
      </c>
      <c r="M22" s="315">
        <v>0</v>
      </c>
      <c r="N22" s="315">
        <v>0</v>
      </c>
      <c r="O22" s="315">
        <v>0</v>
      </c>
      <c r="P22" s="298">
        <f t="shared" si="14"/>
        <v>27000</v>
      </c>
      <c r="R22" s="111" t="s">
        <v>762</v>
      </c>
      <c r="S22" s="277" t="str">
        <f t="shared" si="26"/>
        <v>0501040700</v>
      </c>
      <c r="T22" s="111" t="s">
        <v>768</v>
      </c>
      <c r="U22" s="585" t="s">
        <v>769</v>
      </c>
      <c r="V22" s="111">
        <v>2014</v>
      </c>
      <c r="W22" s="111" t="s">
        <v>770</v>
      </c>
      <c r="X22" s="111">
        <f t="shared" si="27"/>
        <v>27000</v>
      </c>
      <c r="Y22" s="111">
        <f t="shared" si="28"/>
        <v>0</v>
      </c>
      <c r="Z22" s="111">
        <f t="shared" si="15"/>
        <v>0</v>
      </c>
      <c r="AA22" s="111">
        <f t="shared" si="16"/>
        <v>0</v>
      </c>
      <c r="AB22" s="111">
        <f t="shared" si="17"/>
        <v>0</v>
      </c>
      <c r="AC22" s="111">
        <f t="shared" si="18"/>
        <v>0</v>
      </c>
      <c r="AD22" s="111">
        <f t="shared" si="19"/>
        <v>0</v>
      </c>
      <c r="AE22" s="111">
        <f t="shared" si="20"/>
        <v>0</v>
      </c>
      <c r="AF22" s="111">
        <f t="shared" si="21"/>
        <v>27000</v>
      </c>
      <c r="AG22" s="111">
        <f t="shared" si="22"/>
        <v>0</v>
      </c>
      <c r="AH22" s="111">
        <f t="shared" si="23"/>
        <v>0</v>
      </c>
      <c r="AI22" s="111">
        <f t="shared" si="24"/>
        <v>0</v>
      </c>
      <c r="AJ22" s="111">
        <f t="shared" si="25"/>
        <v>0</v>
      </c>
      <c r="AK22" s="111" t="s">
        <v>767</v>
      </c>
    </row>
    <row r="23" spans="1:37" x14ac:dyDescent="0.2">
      <c r="A23" s="273" t="s">
        <v>245</v>
      </c>
      <c r="B23" s="274" t="s">
        <v>246</v>
      </c>
      <c r="C23" s="262" t="str">
        <f>VLOOKUP(B23,'Cat. cuentas'!$A$1:$B$195,2,FALSE)</f>
        <v>MTTO PREV.VEHÍCULO UTILITARIO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1500</v>
      </c>
      <c r="M23" s="315">
        <v>0</v>
      </c>
      <c r="N23" s="315">
        <v>0</v>
      </c>
      <c r="O23" s="315">
        <v>0</v>
      </c>
      <c r="P23" s="298">
        <f t="shared" si="14"/>
        <v>1500</v>
      </c>
      <c r="R23" s="111" t="s">
        <v>762</v>
      </c>
      <c r="S23" s="277" t="str">
        <f t="shared" si="26"/>
        <v>0501151000</v>
      </c>
      <c r="T23" s="111" t="s">
        <v>768</v>
      </c>
      <c r="U23" s="585" t="s">
        <v>769</v>
      </c>
      <c r="V23" s="111">
        <v>2014</v>
      </c>
      <c r="W23" s="111" t="s">
        <v>770</v>
      </c>
      <c r="X23" s="111">
        <f t="shared" si="27"/>
        <v>1500</v>
      </c>
      <c r="Y23" s="111">
        <f t="shared" si="28"/>
        <v>0</v>
      </c>
      <c r="Z23" s="111">
        <f t="shared" si="15"/>
        <v>0</v>
      </c>
      <c r="AA23" s="111">
        <f t="shared" si="16"/>
        <v>0</v>
      </c>
      <c r="AB23" s="111">
        <f t="shared" si="17"/>
        <v>0</v>
      </c>
      <c r="AC23" s="111">
        <f t="shared" si="18"/>
        <v>0</v>
      </c>
      <c r="AD23" s="111">
        <f t="shared" si="19"/>
        <v>0</v>
      </c>
      <c r="AE23" s="111">
        <f t="shared" si="20"/>
        <v>0</v>
      </c>
      <c r="AF23" s="111">
        <f t="shared" si="21"/>
        <v>0</v>
      </c>
      <c r="AG23" s="111">
        <f t="shared" si="22"/>
        <v>1500</v>
      </c>
      <c r="AH23" s="111">
        <f t="shared" si="23"/>
        <v>0</v>
      </c>
      <c r="AI23" s="111">
        <f t="shared" si="24"/>
        <v>0</v>
      </c>
      <c r="AJ23" s="111">
        <f t="shared" si="25"/>
        <v>0</v>
      </c>
      <c r="AK23" s="111" t="s">
        <v>767</v>
      </c>
    </row>
    <row r="24" spans="1:37" ht="15" x14ac:dyDescent="0.25">
      <c r="A24" s="264" t="s">
        <v>99</v>
      </c>
      <c r="B24" s="275" t="s">
        <v>247</v>
      </c>
      <c r="C24" s="276" t="str">
        <f>VLOOKUP(B24,'Cat. cuentas'!$A$1:$B$195,2,FALSE)</f>
        <v>PROGRAMAS Y GASTOS  SEGURIDAD</v>
      </c>
      <c r="D24" s="315">
        <v>0</v>
      </c>
      <c r="E24" s="315">
        <v>0</v>
      </c>
      <c r="F24" s="315">
        <v>0</v>
      </c>
      <c r="G24" s="315">
        <v>0</v>
      </c>
      <c r="H24" s="315">
        <v>0</v>
      </c>
      <c r="I24" s="315">
        <v>0</v>
      </c>
      <c r="J24" s="315">
        <v>0</v>
      </c>
      <c r="K24" s="315">
        <v>0</v>
      </c>
      <c r="L24" s="315">
        <v>0</v>
      </c>
      <c r="M24" s="315">
        <v>0</v>
      </c>
      <c r="N24" s="315">
        <v>0</v>
      </c>
      <c r="O24" s="315">
        <v>0</v>
      </c>
      <c r="P24" s="298">
        <f t="shared" si="14"/>
        <v>0</v>
      </c>
      <c r="R24" s="111" t="s">
        <v>762</v>
      </c>
      <c r="S24" s="277" t="str">
        <f t="shared" si="26"/>
        <v>0501170500</v>
      </c>
      <c r="T24" s="111" t="s">
        <v>768</v>
      </c>
      <c r="U24" s="585" t="s">
        <v>769</v>
      </c>
      <c r="V24" s="111">
        <v>2014</v>
      </c>
      <c r="W24" s="111" t="s">
        <v>770</v>
      </c>
      <c r="X24" s="111">
        <f t="shared" si="27"/>
        <v>0</v>
      </c>
      <c r="Y24" s="111">
        <f t="shared" si="28"/>
        <v>0</v>
      </c>
      <c r="Z24" s="111">
        <f t="shared" si="15"/>
        <v>0</v>
      </c>
      <c r="AA24" s="111">
        <f t="shared" si="16"/>
        <v>0</v>
      </c>
      <c r="AB24" s="111">
        <f t="shared" si="17"/>
        <v>0</v>
      </c>
      <c r="AC24" s="111">
        <f t="shared" si="18"/>
        <v>0</v>
      </c>
      <c r="AD24" s="111">
        <f t="shared" si="19"/>
        <v>0</v>
      </c>
      <c r="AE24" s="111">
        <f t="shared" si="20"/>
        <v>0</v>
      </c>
      <c r="AF24" s="111">
        <f t="shared" si="21"/>
        <v>0</v>
      </c>
      <c r="AG24" s="111">
        <f t="shared" si="22"/>
        <v>0</v>
      </c>
      <c r="AH24" s="111">
        <f t="shared" si="23"/>
        <v>0</v>
      </c>
      <c r="AI24" s="111">
        <f t="shared" si="24"/>
        <v>0</v>
      </c>
      <c r="AJ24" s="111">
        <f t="shared" si="25"/>
        <v>0</v>
      </c>
      <c r="AK24" s="111" t="s">
        <v>767</v>
      </c>
    </row>
    <row r="25" spans="1:37" ht="15" x14ac:dyDescent="0.25">
      <c r="A25" s="267" t="s">
        <v>248</v>
      </c>
      <c r="B25" s="271" t="s">
        <v>249</v>
      </c>
      <c r="C25" s="269" t="str">
        <f>VLOOKUP(B25,'Cat. cuentas'!$A$1:$B$195,2,FALSE)</f>
        <v>PAPELERÍA Y ARTICULOS DE ESC.</v>
      </c>
      <c r="D25" s="315">
        <f>600*D1</f>
        <v>602</v>
      </c>
      <c r="E25" s="315">
        <f t="shared" ref="E25:O25" si="31">600*E1</f>
        <v>604</v>
      </c>
      <c r="F25" s="315">
        <f t="shared" si="31"/>
        <v>606</v>
      </c>
      <c r="G25" s="315">
        <f t="shared" si="31"/>
        <v>608</v>
      </c>
      <c r="H25" s="315">
        <f t="shared" si="31"/>
        <v>610</v>
      </c>
      <c r="I25" s="315">
        <f t="shared" si="31"/>
        <v>612</v>
      </c>
      <c r="J25" s="315">
        <f t="shared" si="31"/>
        <v>614</v>
      </c>
      <c r="K25" s="315">
        <f t="shared" si="31"/>
        <v>616</v>
      </c>
      <c r="L25" s="315">
        <f t="shared" si="31"/>
        <v>618</v>
      </c>
      <c r="M25" s="315">
        <f t="shared" si="31"/>
        <v>620.00000000000011</v>
      </c>
      <c r="N25" s="315">
        <f t="shared" si="31"/>
        <v>622</v>
      </c>
      <c r="O25" s="315">
        <f t="shared" si="31"/>
        <v>624</v>
      </c>
      <c r="P25" s="298">
        <f t="shared" si="14"/>
        <v>7356</v>
      </c>
      <c r="R25" s="111" t="s">
        <v>762</v>
      </c>
      <c r="S25" s="277" t="str">
        <f t="shared" si="26"/>
        <v>0501130200</v>
      </c>
      <c r="T25" s="111" t="s">
        <v>768</v>
      </c>
      <c r="U25" s="585" t="s">
        <v>769</v>
      </c>
      <c r="V25" s="111">
        <v>2014</v>
      </c>
      <c r="W25" s="111" t="s">
        <v>770</v>
      </c>
      <c r="X25" s="111">
        <f t="shared" si="27"/>
        <v>7356</v>
      </c>
      <c r="Y25" s="111">
        <f t="shared" si="28"/>
        <v>602</v>
      </c>
      <c r="Z25" s="111">
        <f t="shared" si="15"/>
        <v>604</v>
      </c>
      <c r="AA25" s="111">
        <f t="shared" si="16"/>
        <v>606</v>
      </c>
      <c r="AB25" s="111">
        <f t="shared" si="17"/>
        <v>608</v>
      </c>
      <c r="AC25" s="111">
        <f t="shared" si="18"/>
        <v>610</v>
      </c>
      <c r="AD25" s="111">
        <f t="shared" si="19"/>
        <v>612</v>
      </c>
      <c r="AE25" s="111">
        <f t="shared" si="20"/>
        <v>614</v>
      </c>
      <c r="AF25" s="111">
        <f t="shared" si="21"/>
        <v>616</v>
      </c>
      <c r="AG25" s="111">
        <f t="shared" si="22"/>
        <v>618</v>
      </c>
      <c r="AH25" s="111">
        <f t="shared" si="23"/>
        <v>620</v>
      </c>
      <c r="AI25" s="111">
        <f t="shared" si="24"/>
        <v>622</v>
      </c>
      <c r="AJ25" s="111">
        <f t="shared" si="25"/>
        <v>624</v>
      </c>
      <c r="AK25" s="111" t="s">
        <v>767</v>
      </c>
    </row>
    <row r="26" spans="1:37" ht="15" x14ac:dyDescent="0.25">
      <c r="A26" s="264" t="s">
        <v>250</v>
      </c>
      <c r="B26" s="275" t="s">
        <v>251</v>
      </c>
      <c r="C26" s="276" t="str">
        <f>VLOOKUP(B26,'Cat. cuentas'!$A$1:$B$195,2,FALSE)</f>
        <v>TELEFONIA CELULAR</v>
      </c>
      <c r="D26" s="315">
        <f>7231*D1</f>
        <v>7255.1033333333335</v>
      </c>
      <c r="E26" s="315">
        <f t="shared" ref="E26:O26" si="32">7231*E1</f>
        <v>7279.206666666666</v>
      </c>
      <c r="F26" s="315">
        <f t="shared" si="32"/>
        <v>7303.31</v>
      </c>
      <c r="G26" s="315">
        <f t="shared" si="32"/>
        <v>7327.4133333333339</v>
      </c>
      <c r="H26" s="315">
        <f t="shared" si="32"/>
        <v>7351.5166666666664</v>
      </c>
      <c r="I26" s="315">
        <f t="shared" si="32"/>
        <v>7375.62</v>
      </c>
      <c r="J26" s="315">
        <f t="shared" si="32"/>
        <v>7399.7233333333343</v>
      </c>
      <c r="K26" s="315">
        <f t="shared" si="32"/>
        <v>7423.8266666666659</v>
      </c>
      <c r="L26" s="315">
        <f t="shared" si="32"/>
        <v>7447.93</v>
      </c>
      <c r="M26" s="315">
        <f t="shared" si="32"/>
        <v>7472.0333333333338</v>
      </c>
      <c r="N26" s="315">
        <f t="shared" si="32"/>
        <v>7496.1366666666663</v>
      </c>
      <c r="O26" s="315">
        <f t="shared" si="32"/>
        <v>7520.2400000000007</v>
      </c>
      <c r="P26" s="298">
        <f t="shared" si="14"/>
        <v>88652.060000000027</v>
      </c>
      <c r="R26" s="111" t="s">
        <v>762</v>
      </c>
      <c r="S26" s="277" t="str">
        <f t="shared" si="26"/>
        <v>0501090200</v>
      </c>
      <c r="T26" s="111" t="s">
        <v>768</v>
      </c>
      <c r="U26" s="585" t="s">
        <v>769</v>
      </c>
      <c r="V26" s="111">
        <v>2014</v>
      </c>
      <c r="W26" s="111" t="s">
        <v>770</v>
      </c>
      <c r="X26" s="111">
        <f t="shared" si="27"/>
        <v>88652</v>
      </c>
      <c r="Y26" s="111">
        <f t="shared" si="28"/>
        <v>7255</v>
      </c>
      <c r="Z26" s="111">
        <f t="shared" si="15"/>
        <v>7279</v>
      </c>
      <c r="AA26" s="111">
        <f t="shared" si="16"/>
        <v>7303</v>
      </c>
      <c r="AB26" s="111">
        <f t="shared" si="17"/>
        <v>7327</v>
      </c>
      <c r="AC26" s="111">
        <f t="shared" si="18"/>
        <v>7352</v>
      </c>
      <c r="AD26" s="111">
        <f t="shared" si="19"/>
        <v>7376</v>
      </c>
      <c r="AE26" s="111">
        <f t="shared" si="20"/>
        <v>7400</v>
      </c>
      <c r="AF26" s="111">
        <f t="shared" si="21"/>
        <v>7424</v>
      </c>
      <c r="AG26" s="111">
        <f t="shared" si="22"/>
        <v>7448</v>
      </c>
      <c r="AH26" s="111">
        <f t="shared" si="23"/>
        <v>7472</v>
      </c>
      <c r="AI26" s="111">
        <f t="shared" si="24"/>
        <v>7496</v>
      </c>
      <c r="AJ26" s="111">
        <f t="shared" si="25"/>
        <v>7520</v>
      </c>
      <c r="AK26" s="111" t="s">
        <v>767</v>
      </c>
    </row>
    <row r="27" spans="1:37" ht="15" x14ac:dyDescent="0.25">
      <c r="A27" s="264" t="s">
        <v>258</v>
      </c>
      <c r="B27" s="275" t="s">
        <v>259</v>
      </c>
      <c r="C27" s="276" t="str">
        <f>VLOOKUP(B27,'Cat. cuentas'!$A$1:$B$195,2,FALSE)</f>
        <v>SERVICIO LOCALIZADOR SATELITAL</v>
      </c>
      <c r="D27" s="440">
        <f>181*$D$3</f>
        <v>8145</v>
      </c>
      <c r="E27" s="440">
        <f t="shared" ref="E27:O27" si="33">181*$D$3</f>
        <v>8145</v>
      </c>
      <c r="F27" s="440">
        <f t="shared" si="33"/>
        <v>8145</v>
      </c>
      <c r="G27" s="440">
        <f t="shared" si="33"/>
        <v>8145</v>
      </c>
      <c r="H27" s="440">
        <f t="shared" si="33"/>
        <v>8145</v>
      </c>
      <c r="I27" s="440">
        <f t="shared" si="33"/>
        <v>8145</v>
      </c>
      <c r="J27" s="440">
        <f t="shared" si="33"/>
        <v>8145</v>
      </c>
      <c r="K27" s="440">
        <f t="shared" si="33"/>
        <v>8145</v>
      </c>
      <c r="L27" s="440">
        <f t="shared" si="33"/>
        <v>8145</v>
      </c>
      <c r="M27" s="440">
        <f t="shared" si="33"/>
        <v>8145</v>
      </c>
      <c r="N27" s="440">
        <f t="shared" si="33"/>
        <v>8145</v>
      </c>
      <c r="O27" s="440">
        <f t="shared" si="33"/>
        <v>8145</v>
      </c>
      <c r="P27" s="298">
        <f t="shared" si="14"/>
        <v>97740</v>
      </c>
      <c r="R27" s="111" t="s">
        <v>762</v>
      </c>
      <c r="S27" s="277" t="str">
        <f t="shared" si="26"/>
        <v>0501160900</v>
      </c>
      <c r="T27" s="111" t="s">
        <v>768</v>
      </c>
      <c r="U27" s="585" t="s">
        <v>769</v>
      </c>
      <c r="V27" s="111">
        <v>2014</v>
      </c>
      <c r="W27" s="111" t="s">
        <v>770</v>
      </c>
      <c r="X27" s="111">
        <f t="shared" si="27"/>
        <v>97740</v>
      </c>
      <c r="Y27" s="111">
        <f t="shared" si="28"/>
        <v>8145</v>
      </c>
      <c r="Z27" s="111">
        <f t="shared" si="15"/>
        <v>8145</v>
      </c>
      <c r="AA27" s="111">
        <f t="shared" si="16"/>
        <v>8145</v>
      </c>
      <c r="AB27" s="111">
        <f t="shared" si="17"/>
        <v>8145</v>
      </c>
      <c r="AC27" s="111">
        <f t="shared" si="18"/>
        <v>8145</v>
      </c>
      <c r="AD27" s="111">
        <f t="shared" si="19"/>
        <v>8145</v>
      </c>
      <c r="AE27" s="111">
        <f t="shared" si="20"/>
        <v>8145</v>
      </c>
      <c r="AF27" s="111">
        <f t="shared" si="21"/>
        <v>8145</v>
      </c>
      <c r="AG27" s="111">
        <f t="shared" si="22"/>
        <v>8145</v>
      </c>
      <c r="AH27" s="111">
        <f t="shared" si="23"/>
        <v>8145</v>
      </c>
      <c r="AI27" s="111">
        <f t="shared" si="24"/>
        <v>8145</v>
      </c>
      <c r="AJ27" s="111">
        <f t="shared" si="25"/>
        <v>8145</v>
      </c>
      <c r="AK27" s="111" t="s">
        <v>767</v>
      </c>
    </row>
    <row r="28" spans="1:37" ht="15" x14ac:dyDescent="0.25">
      <c r="A28" s="264" t="s">
        <v>261</v>
      </c>
      <c r="B28" s="275" t="s">
        <v>262</v>
      </c>
      <c r="C28" s="276" t="str">
        <f>VLOOKUP(B28,'Cat. cuentas'!$A$1:$B$195,2,FALSE)</f>
        <v>GASTOS DE COMEDOR</v>
      </c>
      <c r="D28" s="315">
        <v>4030</v>
      </c>
      <c r="E28" s="315">
        <v>4030</v>
      </c>
      <c r="F28" s="315">
        <f>4030*$D$2</f>
        <v>4189.991</v>
      </c>
      <c r="G28" s="315">
        <f t="shared" ref="G28:O28" si="34">4030*$D$2</f>
        <v>4189.991</v>
      </c>
      <c r="H28" s="315">
        <f t="shared" si="34"/>
        <v>4189.991</v>
      </c>
      <c r="I28" s="315">
        <f t="shared" si="34"/>
        <v>4189.991</v>
      </c>
      <c r="J28" s="315">
        <f t="shared" si="34"/>
        <v>4189.991</v>
      </c>
      <c r="K28" s="315">
        <f t="shared" si="34"/>
        <v>4189.991</v>
      </c>
      <c r="L28" s="315">
        <f t="shared" si="34"/>
        <v>4189.991</v>
      </c>
      <c r="M28" s="315">
        <f t="shared" si="34"/>
        <v>4189.991</v>
      </c>
      <c r="N28" s="315">
        <f t="shared" si="34"/>
        <v>4189.991</v>
      </c>
      <c r="O28" s="315">
        <f t="shared" si="34"/>
        <v>4189.991</v>
      </c>
      <c r="P28" s="298">
        <f t="shared" si="14"/>
        <v>49959.910000000011</v>
      </c>
      <c r="R28" s="111" t="s">
        <v>762</v>
      </c>
      <c r="S28" s="277" t="str">
        <f t="shared" si="26"/>
        <v>0501040600</v>
      </c>
      <c r="T28" s="111" t="s">
        <v>768</v>
      </c>
      <c r="U28" s="585" t="s">
        <v>769</v>
      </c>
      <c r="V28" s="111">
        <v>2014</v>
      </c>
      <c r="W28" s="111" t="s">
        <v>770</v>
      </c>
      <c r="X28" s="111">
        <f t="shared" si="27"/>
        <v>49960</v>
      </c>
      <c r="Y28" s="111">
        <f t="shared" si="28"/>
        <v>4030</v>
      </c>
      <c r="Z28" s="111">
        <f t="shared" si="15"/>
        <v>4030</v>
      </c>
      <c r="AA28" s="111">
        <f t="shared" si="16"/>
        <v>4190</v>
      </c>
      <c r="AB28" s="111">
        <f t="shared" si="17"/>
        <v>4190</v>
      </c>
      <c r="AC28" s="111">
        <f t="shared" si="18"/>
        <v>4190</v>
      </c>
      <c r="AD28" s="111">
        <f t="shared" si="19"/>
        <v>4190</v>
      </c>
      <c r="AE28" s="111">
        <f t="shared" si="20"/>
        <v>4190</v>
      </c>
      <c r="AF28" s="111">
        <f t="shared" si="21"/>
        <v>4190</v>
      </c>
      <c r="AG28" s="111">
        <f t="shared" si="22"/>
        <v>4190</v>
      </c>
      <c r="AH28" s="111">
        <f t="shared" si="23"/>
        <v>4190</v>
      </c>
      <c r="AI28" s="111">
        <f t="shared" si="24"/>
        <v>4190</v>
      </c>
      <c r="AJ28" s="111">
        <f t="shared" si="25"/>
        <v>4190</v>
      </c>
      <c r="AK28" s="111" t="s">
        <v>767</v>
      </c>
    </row>
    <row r="29" spans="1:37" ht="15" x14ac:dyDescent="0.25">
      <c r="A29" s="264"/>
      <c r="B29" s="275" t="s">
        <v>263</v>
      </c>
      <c r="C29" s="276" t="str">
        <f>VLOOKUP(B29,'Cat. cuentas'!$A$1:$B$195,2,FALSE)</f>
        <v>COCHES, PASAJES Y TAXIS</v>
      </c>
      <c r="D29" s="440">
        <f>160*$D$2</f>
        <v>166.352</v>
      </c>
      <c r="E29" s="440">
        <f t="shared" ref="E29:O29" si="35">160*$D$2</f>
        <v>166.352</v>
      </c>
      <c r="F29" s="440">
        <f t="shared" si="35"/>
        <v>166.352</v>
      </c>
      <c r="G29" s="440">
        <f t="shared" si="35"/>
        <v>166.352</v>
      </c>
      <c r="H29" s="440">
        <f t="shared" si="35"/>
        <v>166.352</v>
      </c>
      <c r="I29" s="440">
        <f t="shared" si="35"/>
        <v>166.352</v>
      </c>
      <c r="J29" s="440">
        <f t="shared" si="35"/>
        <v>166.352</v>
      </c>
      <c r="K29" s="440">
        <f t="shared" si="35"/>
        <v>166.352</v>
      </c>
      <c r="L29" s="440">
        <f t="shared" si="35"/>
        <v>166.352</v>
      </c>
      <c r="M29" s="440">
        <f t="shared" si="35"/>
        <v>166.352</v>
      </c>
      <c r="N29" s="440">
        <f t="shared" si="35"/>
        <v>166.352</v>
      </c>
      <c r="O29" s="440">
        <f t="shared" si="35"/>
        <v>166.352</v>
      </c>
      <c r="P29" s="298">
        <f t="shared" si="14"/>
        <v>1996.2240000000004</v>
      </c>
      <c r="R29" s="111" t="s">
        <v>762</v>
      </c>
      <c r="S29" s="277" t="str">
        <f t="shared" si="26"/>
        <v>0501140300</v>
      </c>
      <c r="T29" s="111" t="s">
        <v>768</v>
      </c>
      <c r="U29" s="585" t="s">
        <v>769</v>
      </c>
      <c r="V29" s="111">
        <v>2014</v>
      </c>
      <c r="W29" s="111" t="s">
        <v>770</v>
      </c>
      <c r="X29" s="111">
        <f t="shared" si="27"/>
        <v>1992</v>
      </c>
      <c r="Y29" s="111">
        <f t="shared" si="28"/>
        <v>166</v>
      </c>
      <c r="Z29" s="111">
        <f t="shared" si="15"/>
        <v>166</v>
      </c>
      <c r="AA29" s="111">
        <f t="shared" si="16"/>
        <v>166</v>
      </c>
      <c r="AB29" s="111">
        <f t="shared" si="17"/>
        <v>166</v>
      </c>
      <c r="AC29" s="111">
        <f t="shared" si="18"/>
        <v>166</v>
      </c>
      <c r="AD29" s="111">
        <f t="shared" si="19"/>
        <v>166</v>
      </c>
      <c r="AE29" s="111">
        <f t="shared" si="20"/>
        <v>166</v>
      </c>
      <c r="AF29" s="111">
        <f t="shared" si="21"/>
        <v>166</v>
      </c>
      <c r="AG29" s="111">
        <f t="shared" si="22"/>
        <v>166</v>
      </c>
      <c r="AH29" s="111">
        <f t="shared" si="23"/>
        <v>166</v>
      </c>
      <c r="AI29" s="111">
        <f t="shared" si="24"/>
        <v>166</v>
      </c>
      <c r="AJ29" s="111">
        <f t="shared" si="25"/>
        <v>166</v>
      </c>
      <c r="AK29" s="111" t="s">
        <v>767</v>
      </c>
    </row>
    <row r="30" spans="1:37" ht="15" x14ac:dyDescent="0.25">
      <c r="A30" s="264"/>
      <c r="B30" s="278" t="s">
        <v>264</v>
      </c>
      <c r="C30" s="276" t="str">
        <f>VLOOKUP(B30,'Cat. cuentas'!$A$1:$B$195,2,FALSE)</f>
        <v>FLETES DIESEL</v>
      </c>
      <c r="D30" s="315">
        <v>0</v>
      </c>
      <c r="E30" s="315">
        <v>0</v>
      </c>
      <c r="F30" s="315">
        <v>8713</v>
      </c>
      <c r="G30" s="315">
        <v>8713</v>
      </c>
      <c r="H30" s="315">
        <v>8713</v>
      </c>
      <c r="I30" s="315">
        <v>8713</v>
      </c>
      <c r="J30" s="315">
        <v>8713</v>
      </c>
      <c r="K30" s="315">
        <v>8713</v>
      </c>
      <c r="L30" s="315">
        <v>8713</v>
      </c>
      <c r="M30" s="315">
        <v>8713</v>
      </c>
      <c r="N30" s="315">
        <v>0</v>
      </c>
      <c r="O30" s="315">
        <v>0</v>
      </c>
      <c r="P30" s="298">
        <f t="shared" si="14"/>
        <v>69704</v>
      </c>
      <c r="R30" s="111" t="s">
        <v>762</v>
      </c>
      <c r="S30" s="277" t="str">
        <f t="shared" si="26"/>
        <v>0501160800</v>
      </c>
      <c r="T30" s="111" t="s">
        <v>768</v>
      </c>
      <c r="U30" s="585" t="s">
        <v>769</v>
      </c>
      <c r="V30" s="111">
        <v>2014</v>
      </c>
      <c r="W30" s="111" t="s">
        <v>770</v>
      </c>
      <c r="X30" s="111">
        <f t="shared" si="27"/>
        <v>69704</v>
      </c>
      <c r="Y30" s="111">
        <f t="shared" si="28"/>
        <v>0</v>
      </c>
      <c r="Z30" s="111">
        <f t="shared" si="15"/>
        <v>0</v>
      </c>
      <c r="AA30" s="111">
        <f t="shared" si="16"/>
        <v>8713</v>
      </c>
      <c r="AB30" s="111">
        <f t="shared" si="17"/>
        <v>8713</v>
      </c>
      <c r="AC30" s="111">
        <f t="shared" si="18"/>
        <v>8713</v>
      </c>
      <c r="AD30" s="111">
        <f t="shared" si="19"/>
        <v>8713</v>
      </c>
      <c r="AE30" s="111">
        <f t="shared" si="20"/>
        <v>8713</v>
      </c>
      <c r="AF30" s="111">
        <f t="shared" si="21"/>
        <v>8713</v>
      </c>
      <c r="AG30" s="111">
        <f t="shared" si="22"/>
        <v>8713</v>
      </c>
      <c r="AH30" s="111">
        <f t="shared" si="23"/>
        <v>8713</v>
      </c>
      <c r="AI30" s="111">
        <f t="shared" si="24"/>
        <v>0</v>
      </c>
      <c r="AJ30" s="111">
        <f t="shared" si="25"/>
        <v>0</v>
      </c>
      <c r="AK30" s="111" t="s">
        <v>767</v>
      </c>
    </row>
    <row r="31" spans="1:37" ht="15" x14ac:dyDescent="0.25">
      <c r="A31" s="264"/>
      <c r="B31" s="278" t="s">
        <v>265</v>
      </c>
      <c r="C31" s="276" t="str">
        <f>VLOOKUP(B31,'Cat. cuentas'!$A$1:$B$195,2,FALSE)</f>
        <v>EXAMENES MEDICOS</v>
      </c>
      <c r="D31" s="315">
        <v>1400</v>
      </c>
      <c r="E31" s="315">
        <v>1400</v>
      </c>
      <c r="F31" s="315">
        <v>1400</v>
      </c>
      <c r="G31" s="315">
        <v>1400</v>
      </c>
      <c r="H31" s="315">
        <v>1400</v>
      </c>
      <c r="I31" s="315">
        <v>1400</v>
      </c>
      <c r="J31" s="315">
        <v>1400</v>
      </c>
      <c r="K31" s="315">
        <v>1400</v>
      </c>
      <c r="L31" s="315">
        <v>1400</v>
      </c>
      <c r="M31" s="315">
        <v>1400</v>
      </c>
      <c r="N31" s="315">
        <v>1400</v>
      </c>
      <c r="O31" s="315">
        <v>1400</v>
      </c>
      <c r="P31" s="298">
        <f t="shared" si="14"/>
        <v>16800</v>
      </c>
      <c r="R31" s="111" t="s">
        <v>762</v>
      </c>
      <c r="S31" s="277" t="str">
        <f t="shared" si="26"/>
        <v>0501050100</v>
      </c>
      <c r="T31" s="111" t="s">
        <v>768</v>
      </c>
      <c r="U31" s="585" t="s">
        <v>769</v>
      </c>
      <c r="V31" s="111">
        <v>2014</v>
      </c>
      <c r="W31" s="111" t="s">
        <v>770</v>
      </c>
      <c r="X31" s="111">
        <f t="shared" si="27"/>
        <v>16800</v>
      </c>
      <c r="Y31" s="111">
        <f t="shared" si="28"/>
        <v>1400</v>
      </c>
      <c r="Z31" s="111">
        <f t="shared" si="15"/>
        <v>1400</v>
      </c>
      <c r="AA31" s="111">
        <f t="shared" si="16"/>
        <v>1400</v>
      </c>
      <c r="AB31" s="111">
        <f t="shared" si="17"/>
        <v>1400</v>
      </c>
      <c r="AC31" s="111">
        <f t="shared" si="18"/>
        <v>1400</v>
      </c>
      <c r="AD31" s="111">
        <f t="shared" si="19"/>
        <v>1400</v>
      </c>
      <c r="AE31" s="111">
        <f t="shared" si="20"/>
        <v>1400</v>
      </c>
      <c r="AF31" s="111">
        <f t="shared" si="21"/>
        <v>1400</v>
      </c>
      <c r="AG31" s="111">
        <f t="shared" si="22"/>
        <v>1400</v>
      </c>
      <c r="AH31" s="111">
        <f t="shared" si="23"/>
        <v>1400</v>
      </c>
      <c r="AI31" s="111">
        <f t="shared" si="24"/>
        <v>1400</v>
      </c>
      <c r="AJ31" s="111">
        <f t="shared" si="25"/>
        <v>1400</v>
      </c>
      <c r="AK31" s="111" t="s">
        <v>767</v>
      </c>
    </row>
    <row r="32" spans="1:37" ht="15" x14ac:dyDescent="0.25">
      <c r="A32" s="264"/>
      <c r="B32" s="278" t="s">
        <v>266</v>
      </c>
      <c r="C32" s="276" t="str">
        <f>VLOOKUP(B32,'Cat. cuentas'!$A$1:$B$195,2,FALSE)</f>
        <v>GASTOS DE CONTRATACION</v>
      </c>
      <c r="D32" s="315">
        <f>794.5*D2</f>
        <v>826.04165</v>
      </c>
      <c r="E32" s="315">
        <v>0</v>
      </c>
      <c r="F32" s="315">
        <v>0</v>
      </c>
      <c r="G32" s="315">
        <v>0</v>
      </c>
      <c r="H32" s="315">
        <v>0</v>
      </c>
      <c r="I32" s="315">
        <v>0</v>
      </c>
      <c r="J32" s="315">
        <v>0</v>
      </c>
      <c r="K32" s="315">
        <v>0</v>
      </c>
      <c r="L32" s="315">
        <v>0</v>
      </c>
      <c r="M32" s="315">
        <v>0</v>
      </c>
      <c r="N32" s="315">
        <v>0</v>
      </c>
      <c r="O32" s="315">
        <v>0</v>
      </c>
      <c r="P32" s="298">
        <f t="shared" si="14"/>
        <v>826.04165</v>
      </c>
      <c r="R32" s="111" t="s">
        <v>762</v>
      </c>
      <c r="S32" s="277" t="str">
        <f t="shared" si="26"/>
        <v>0501050300</v>
      </c>
      <c r="T32" s="111" t="s">
        <v>768</v>
      </c>
      <c r="U32" s="585" t="s">
        <v>769</v>
      </c>
      <c r="V32" s="111">
        <v>2014</v>
      </c>
      <c r="W32" s="111" t="s">
        <v>770</v>
      </c>
      <c r="X32" s="111">
        <f t="shared" si="27"/>
        <v>826</v>
      </c>
      <c r="Y32" s="111">
        <f t="shared" si="28"/>
        <v>826</v>
      </c>
      <c r="Z32" s="111">
        <f t="shared" si="15"/>
        <v>0</v>
      </c>
      <c r="AA32" s="111">
        <f t="shared" si="16"/>
        <v>0</v>
      </c>
      <c r="AB32" s="111">
        <f t="shared" si="17"/>
        <v>0</v>
      </c>
      <c r="AC32" s="111">
        <f t="shared" si="18"/>
        <v>0</v>
      </c>
      <c r="AD32" s="111">
        <f t="shared" si="19"/>
        <v>0</v>
      </c>
      <c r="AE32" s="111">
        <f t="shared" si="20"/>
        <v>0</v>
      </c>
      <c r="AF32" s="111">
        <f t="shared" si="21"/>
        <v>0</v>
      </c>
      <c r="AG32" s="111">
        <f t="shared" si="22"/>
        <v>0</v>
      </c>
      <c r="AH32" s="111">
        <f t="shared" si="23"/>
        <v>0</v>
      </c>
      <c r="AI32" s="111">
        <f t="shared" si="24"/>
        <v>0</v>
      </c>
      <c r="AJ32" s="111">
        <f t="shared" si="25"/>
        <v>0</v>
      </c>
      <c r="AK32" s="111" t="s">
        <v>767</v>
      </c>
    </row>
    <row r="33" spans="1:37" ht="15.75" thickBot="1" x14ac:dyDescent="0.3">
      <c r="A33" s="264"/>
      <c r="B33" s="278" t="s">
        <v>267</v>
      </c>
      <c r="C33" s="276" t="str">
        <f>VLOOKUP(B33,'Cat. cuentas'!$A$1:$B$195,2,FALSE)</f>
        <v>TENENCIAS DE CAMIONETAS</v>
      </c>
      <c r="D33" s="441">
        <f>(D8*'Costo op 2013'!$Q$38)*D1</f>
        <v>4341.4284736945265</v>
      </c>
      <c r="E33" s="441">
        <f>(E8*'Costo op 2013'!$Q$38)*E1</f>
        <v>4253.0315876929462</v>
      </c>
      <c r="F33" s="441">
        <f>(F8*'Costo op 2013'!$Q$38)*F1</f>
        <v>4411.9810598951753</v>
      </c>
      <c r="G33" s="441">
        <f>(G8*'Costo op 2013'!$Q$38)*G1</f>
        <v>4672.220921616934</v>
      </c>
      <c r="H33" s="441">
        <f>(H8*'Costo op 2013'!$Q$38)*H1</f>
        <v>4520.8904389671952</v>
      </c>
      <c r="I33" s="441">
        <f>(I8*'Costo op 2013'!$Q$38)*I1</f>
        <v>4557.7642816352154</v>
      </c>
      <c r="J33" s="441">
        <f>(J8*'Costo op 2013'!$Q$38)*J1</f>
        <v>4935.9500953929546</v>
      </c>
      <c r="K33" s="441">
        <f>(K8*'Costo op 2013'!$Q$38)*K1</f>
        <v>4849.7485122630296</v>
      </c>
      <c r="L33" s="441">
        <f>(L8*'Costo op 2013'!$Q$38)*L1</f>
        <v>4305.8858889608009</v>
      </c>
      <c r="M33" s="441">
        <f>(M8*'Costo op 2013'!$Q$38)*M1</f>
        <v>5578.2556763508856</v>
      </c>
      <c r="N33" s="441">
        <f>(N8*'Costo op 2013'!$Q$38)*N1</f>
        <v>4974.444488444803</v>
      </c>
      <c r="O33" s="441">
        <f>(O8*'Costo op 2013'!$Q$38)*O1</f>
        <v>4990.4394867999317</v>
      </c>
      <c r="P33" s="298">
        <f t="shared" si="14"/>
        <v>56392.040911714394</v>
      </c>
      <c r="R33" s="111" t="s">
        <v>762</v>
      </c>
      <c r="S33" s="277" t="str">
        <f t="shared" ref="S33" si="36">B33</f>
        <v>0501080400</v>
      </c>
      <c r="T33" s="111" t="s">
        <v>768</v>
      </c>
      <c r="U33" s="585" t="s">
        <v>769</v>
      </c>
      <c r="V33" s="111">
        <v>2014</v>
      </c>
      <c r="W33" s="111" t="s">
        <v>770</v>
      </c>
      <c r="X33" s="111">
        <f t="shared" ref="X33" si="37">SUM(Y33:AJ33)</f>
        <v>56391</v>
      </c>
      <c r="Y33" s="111">
        <f t="shared" ref="Y33" si="38">ROUND(D33,0)</f>
        <v>4341</v>
      </c>
      <c r="Z33" s="111">
        <f t="shared" ref="Z33" si="39">ROUND(E33,0)</f>
        <v>4253</v>
      </c>
      <c r="AA33" s="111">
        <f t="shared" ref="AA33" si="40">ROUND(F33,0)</f>
        <v>4412</v>
      </c>
      <c r="AB33" s="111">
        <f t="shared" ref="AB33" si="41">ROUND(G33,0)</f>
        <v>4672</v>
      </c>
      <c r="AC33" s="111">
        <f t="shared" ref="AC33" si="42">ROUND(H33,0)</f>
        <v>4521</v>
      </c>
      <c r="AD33" s="111">
        <f t="shared" ref="AD33" si="43">ROUND(I33,0)</f>
        <v>4558</v>
      </c>
      <c r="AE33" s="111">
        <f t="shared" ref="AE33" si="44">ROUND(J33,0)</f>
        <v>4936</v>
      </c>
      <c r="AF33" s="111">
        <f t="shared" ref="AF33" si="45">ROUND(K33,0)</f>
        <v>4850</v>
      </c>
      <c r="AG33" s="111">
        <f t="shared" ref="AG33" si="46">ROUND(L33,0)</f>
        <v>4306</v>
      </c>
      <c r="AH33" s="111">
        <f t="shared" ref="AH33" si="47">ROUND(M33,0)</f>
        <v>5578</v>
      </c>
      <c r="AI33" s="111">
        <f t="shared" ref="AI33" si="48">ROUND(N33,0)</f>
        <v>4974</v>
      </c>
      <c r="AJ33" s="111">
        <f t="shared" ref="AJ33" si="49">ROUND(O33,0)</f>
        <v>4990</v>
      </c>
      <c r="AK33" s="111" t="s">
        <v>767</v>
      </c>
    </row>
    <row r="34" spans="1:37" ht="15.75" thickBot="1" x14ac:dyDescent="0.3">
      <c r="A34" s="279" t="s">
        <v>270</v>
      </c>
      <c r="B34" s="280"/>
      <c r="C34" s="281"/>
      <c r="D34" s="282">
        <f t="shared" ref="D34:P34" si="50">SUM(D14:D33)</f>
        <v>309406.11545702792</v>
      </c>
      <c r="E34" s="282">
        <f t="shared" si="50"/>
        <v>492853.97025435965</v>
      </c>
      <c r="F34" s="282">
        <f t="shared" si="50"/>
        <v>393047.20405989519</v>
      </c>
      <c r="G34" s="282">
        <f t="shared" si="50"/>
        <v>339308.73725495028</v>
      </c>
      <c r="H34" s="282">
        <f t="shared" si="50"/>
        <v>336710.70010563388</v>
      </c>
      <c r="I34" s="282">
        <f t="shared" si="50"/>
        <v>337224.86728163523</v>
      </c>
      <c r="J34" s="282">
        <f t="shared" si="50"/>
        <v>338080.34642872628</v>
      </c>
      <c r="K34" s="282">
        <f t="shared" si="50"/>
        <v>368419.43817892967</v>
      </c>
      <c r="L34" s="282">
        <f t="shared" si="50"/>
        <v>339904.8688889608</v>
      </c>
      <c r="M34" s="282">
        <f t="shared" si="50"/>
        <v>340154.53200968425</v>
      </c>
      <c r="N34" s="282">
        <f t="shared" si="50"/>
        <v>314146.01415511151</v>
      </c>
      <c r="O34" s="282">
        <f t="shared" si="50"/>
        <v>314639.30248679995</v>
      </c>
      <c r="P34" s="465">
        <f t="shared" si="50"/>
        <v>4223896.0965617141</v>
      </c>
    </row>
    <row r="35" spans="1:37" x14ac:dyDescent="0.2">
      <c r="A35" s="283"/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466"/>
    </row>
    <row r="36" spans="1:37" ht="15" x14ac:dyDescent="0.25">
      <c r="A36" s="261" t="s">
        <v>271</v>
      </c>
      <c r="B36" s="274"/>
      <c r="C36" s="262"/>
      <c r="D36" s="284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467"/>
    </row>
    <row r="37" spans="1:37" ht="15" x14ac:dyDescent="0.25">
      <c r="A37" s="264" t="s">
        <v>272</v>
      </c>
      <c r="B37" s="285" t="s">
        <v>273</v>
      </c>
      <c r="C37" s="276" t="str">
        <f>VLOOKUP(B37,'Cat. cuentas'!$A$1:$B$195,2,FALSE)</f>
        <v>DIESEL Y COMBUSTIBLES CON IVA</v>
      </c>
      <c r="D37" s="442">
        <f>((D8/'Premisas Presupuesto 2014'!$C$38)*'Premisas Presupuesto 2014'!D76)</f>
        <v>1436108.0477195068</v>
      </c>
      <c r="E37" s="442">
        <f>((E8/'Premisas Presupuesto 2014'!$C$38)*'Premisas Presupuesto 2014'!E76)</f>
        <v>1414325.0927336225</v>
      </c>
      <c r="F37" s="442">
        <f>((F8/'Premisas Presupuesto 2014'!$C$38)*'Premisas Presupuesto 2014'!F76)</f>
        <v>1474868.6248325417</v>
      </c>
      <c r="G37" s="442">
        <f>((G8/'Premisas Presupuesto 2014'!$C$38)*'Premisas Presupuesto 2014'!G76)</f>
        <v>1569948.9138992454</v>
      </c>
      <c r="H37" s="442">
        <f>((H8/'Premisas Presupuesto 2014'!$C$38)*'Premisas Presupuesto 2014'!H76)</f>
        <v>1526871.4532105492</v>
      </c>
      <c r="I37" s="442">
        <f>((I8/'Premisas Presupuesto 2014'!$C$38)*'Premisas Presupuesto 2014'!I76)</f>
        <v>1547109.5491813987</v>
      </c>
      <c r="J37" s="442">
        <f>((J8/'Premisas Presupuesto 2014'!$C$38)*'Premisas Presupuesto 2014'!J76)</f>
        <v>1683858.2119437307</v>
      </c>
      <c r="K37" s="442">
        <f>((K8/'Premisas Presupuesto 2014'!$C$38)*'Premisas Presupuesto 2014'!K76)</f>
        <v>1662626.9968153685</v>
      </c>
      <c r="L37" s="442">
        <f>((L8/'Premisas Presupuesto 2014'!$C$38)*'Premisas Presupuesto 2014'!L76)</f>
        <v>1483387.8574132901</v>
      </c>
      <c r="M37" s="442">
        <f>((M8/'Premisas Presupuesto 2014'!$C$38)*'Premisas Presupuesto 2014'!M76)</f>
        <v>1931004.9681769637</v>
      </c>
      <c r="N37" s="442">
        <f>((N8/'Premisas Presupuesto 2014'!$C$38)*'Premisas Presupuesto 2014'!N76)</f>
        <v>1730210.4768310599</v>
      </c>
      <c r="O37" s="442">
        <f>((O8/'Premisas Presupuesto 2014'!$C$38)*'Premisas Presupuesto 2014'!O76)</f>
        <v>1743972.0930603743</v>
      </c>
      <c r="P37" s="468">
        <f t="shared" ref="P37:P47" si="51">SUM(D37:O37)</f>
        <v>19204292.285817653</v>
      </c>
      <c r="R37" s="111" t="s">
        <v>762</v>
      </c>
      <c r="S37" s="277" t="str">
        <f t="shared" ref="S37:S47" si="52">B37</f>
        <v>0501160301</v>
      </c>
      <c r="T37" s="111" t="s">
        <v>768</v>
      </c>
      <c r="U37" s="585" t="s">
        <v>769</v>
      </c>
      <c r="V37" s="111">
        <v>2014</v>
      </c>
      <c r="W37" s="111" t="s">
        <v>770</v>
      </c>
      <c r="X37" s="111">
        <f t="shared" ref="X37:X47" si="53">SUM(Y37:AJ37)</f>
        <v>19204292</v>
      </c>
      <c r="Y37" s="111">
        <f t="shared" ref="Y37:Y47" si="54">ROUND(D37,0)</f>
        <v>1436108</v>
      </c>
      <c r="Z37" s="111">
        <f t="shared" ref="Z37:Z47" si="55">ROUND(E37,0)</f>
        <v>1414325</v>
      </c>
      <c r="AA37" s="111">
        <f t="shared" ref="AA37:AA47" si="56">ROUND(F37,0)</f>
        <v>1474869</v>
      </c>
      <c r="AB37" s="111">
        <f t="shared" ref="AB37:AB47" si="57">ROUND(G37,0)</f>
        <v>1569949</v>
      </c>
      <c r="AC37" s="111">
        <f t="shared" ref="AC37:AC47" si="58">ROUND(H37,0)</f>
        <v>1526871</v>
      </c>
      <c r="AD37" s="111">
        <f t="shared" ref="AD37:AD47" si="59">ROUND(I37,0)</f>
        <v>1547110</v>
      </c>
      <c r="AE37" s="111">
        <f t="shared" ref="AE37:AE47" si="60">ROUND(J37,0)</f>
        <v>1683858</v>
      </c>
      <c r="AF37" s="111">
        <f t="shared" ref="AF37:AF47" si="61">ROUND(K37,0)</f>
        <v>1662627</v>
      </c>
      <c r="AG37" s="111">
        <f t="shared" ref="AG37:AG47" si="62">ROUND(L37,0)</f>
        <v>1483388</v>
      </c>
      <c r="AH37" s="111">
        <f t="shared" ref="AH37:AH47" si="63">ROUND(M37,0)</f>
        <v>1931005</v>
      </c>
      <c r="AI37" s="111">
        <f t="shared" ref="AI37:AI47" si="64">ROUND(N37,0)</f>
        <v>1730210</v>
      </c>
      <c r="AJ37" s="111">
        <f t="shared" ref="AJ37:AJ47" si="65">ROUND(O37,0)</f>
        <v>1743972</v>
      </c>
      <c r="AK37" s="111" t="s">
        <v>767</v>
      </c>
    </row>
    <row r="38" spans="1:37" ht="15" x14ac:dyDescent="0.25">
      <c r="A38" s="267" t="s">
        <v>275</v>
      </c>
      <c r="B38" s="274" t="s">
        <v>276</v>
      </c>
      <c r="C38" s="262" t="str">
        <f>VLOOKUP(B38,'Cat. cuentas'!$A$1:$B$195,2,FALSE)</f>
        <v>SUELDOS Y SALARIOS</v>
      </c>
      <c r="D38" s="442">
        <v>704140</v>
      </c>
      <c r="E38" s="442">
        <v>709873</v>
      </c>
      <c r="F38" s="442">
        <v>761073</v>
      </c>
      <c r="G38" s="442">
        <v>794173</v>
      </c>
      <c r="H38" s="442">
        <v>810132</v>
      </c>
      <c r="I38" s="442">
        <v>804259</v>
      </c>
      <c r="J38" s="442">
        <v>843792</v>
      </c>
      <c r="K38" s="442">
        <v>823233</v>
      </c>
      <c r="L38" s="442">
        <v>759758</v>
      </c>
      <c r="M38" s="442">
        <v>915874</v>
      </c>
      <c r="N38" s="442">
        <v>838239</v>
      </c>
      <c r="O38" s="442">
        <v>840409</v>
      </c>
      <c r="P38" s="468">
        <f t="shared" si="51"/>
        <v>9604955</v>
      </c>
      <c r="R38" s="111" t="s">
        <v>762</v>
      </c>
      <c r="S38" s="277" t="str">
        <f t="shared" si="52"/>
        <v>0501010100</v>
      </c>
      <c r="T38" s="111" t="s">
        <v>768</v>
      </c>
      <c r="U38" s="585" t="s">
        <v>769</v>
      </c>
      <c r="V38" s="111">
        <v>2014</v>
      </c>
      <c r="W38" s="111" t="s">
        <v>770</v>
      </c>
      <c r="X38" s="111">
        <f t="shared" si="53"/>
        <v>9604955</v>
      </c>
      <c r="Y38" s="111">
        <f t="shared" si="54"/>
        <v>704140</v>
      </c>
      <c r="Z38" s="111">
        <f t="shared" si="55"/>
        <v>709873</v>
      </c>
      <c r="AA38" s="111">
        <f t="shared" si="56"/>
        <v>761073</v>
      </c>
      <c r="AB38" s="111">
        <f t="shared" si="57"/>
        <v>794173</v>
      </c>
      <c r="AC38" s="111">
        <f t="shared" si="58"/>
        <v>810132</v>
      </c>
      <c r="AD38" s="111">
        <f t="shared" si="59"/>
        <v>804259</v>
      </c>
      <c r="AE38" s="111">
        <f t="shared" si="60"/>
        <v>843792</v>
      </c>
      <c r="AF38" s="111">
        <f t="shared" si="61"/>
        <v>823233</v>
      </c>
      <c r="AG38" s="111">
        <f t="shared" si="62"/>
        <v>759758</v>
      </c>
      <c r="AH38" s="111">
        <f t="shared" si="63"/>
        <v>915874</v>
      </c>
      <c r="AI38" s="111">
        <f t="shared" si="64"/>
        <v>838239</v>
      </c>
      <c r="AJ38" s="111">
        <f t="shared" si="65"/>
        <v>840409</v>
      </c>
      <c r="AK38" s="111" t="s">
        <v>767</v>
      </c>
    </row>
    <row r="39" spans="1:37" ht="15" x14ac:dyDescent="0.25">
      <c r="A39" s="264" t="s">
        <v>277</v>
      </c>
      <c r="B39" s="285" t="s">
        <v>278</v>
      </c>
      <c r="C39" s="276" t="str">
        <f>VLOOKUP(B39,'Cat. cuentas'!$A$1:$B$195,2,FALSE)</f>
        <v>LLANTAS Y CAMARAS NUEVAS</v>
      </c>
      <c r="D39" s="443">
        <f>D$8*'Costo op 2013'!$Q$45</f>
        <v>30002.765309476144</v>
      </c>
      <c r="E39" s="442">
        <f>E8*'Costo op 2013'!$Q$45</f>
        <v>29294.547595301861</v>
      </c>
      <c r="F39" s="442">
        <f>(F8*'Costo op 2013'!$Q$45)*$D$2</f>
        <v>31491.560736109972</v>
      </c>
      <c r="G39" s="442">
        <f>(G8*'Costo op 2013'!$Q$45)*$D$2</f>
        <v>33239.383506939725</v>
      </c>
      <c r="H39" s="442">
        <f>(H8*'Costo op 2013'!$Q$45)*$D$2</f>
        <v>32057.327724774743</v>
      </c>
      <c r="I39" s="442">
        <f>(I8*'Costo op 2013'!$Q$45)*$D$2</f>
        <v>32213.180658450805</v>
      </c>
      <c r="J39" s="442">
        <f>(J8*'Costo op 2013'!$Q$45)*$D$2</f>
        <v>34772.471414159765</v>
      </c>
      <c r="K39" s="442">
        <f>(K8*'Costo op 2013'!$Q$45)*$D$2</f>
        <v>34054.277925267466</v>
      </c>
      <c r="L39" s="442">
        <f>(L8*'Costo op 2013'!$Q$45)*$D$2</f>
        <v>30137.499141030261</v>
      </c>
      <c r="M39" s="442">
        <f>(M8*'Costo op 2013'!$Q$45)*$D$2</f>
        <v>38917.04856339738</v>
      </c>
      <c r="N39" s="442">
        <f>(N8*'Costo op 2013'!$Q$45)*$D$2</f>
        <v>34592.932056353224</v>
      </c>
      <c r="O39" s="442">
        <f>(O8*'Costo op 2013'!$Q$45)*$D$2</f>
        <v>34592.932056353224</v>
      </c>
      <c r="P39" s="468">
        <f t="shared" si="51"/>
        <v>395365.92668761453</v>
      </c>
      <c r="R39" s="111" t="s">
        <v>762</v>
      </c>
      <c r="S39" s="277" t="str">
        <f t="shared" si="52"/>
        <v>0501160200</v>
      </c>
      <c r="T39" s="111" t="s">
        <v>768</v>
      </c>
      <c r="U39" s="585" t="s">
        <v>769</v>
      </c>
      <c r="V39" s="111">
        <v>2014</v>
      </c>
      <c r="W39" s="111" t="s">
        <v>770</v>
      </c>
      <c r="X39" s="111">
        <f t="shared" si="53"/>
        <v>395365</v>
      </c>
      <c r="Y39" s="111">
        <f t="shared" si="54"/>
        <v>30003</v>
      </c>
      <c r="Z39" s="111">
        <f t="shared" si="55"/>
        <v>29295</v>
      </c>
      <c r="AA39" s="111">
        <f t="shared" si="56"/>
        <v>31492</v>
      </c>
      <c r="AB39" s="111">
        <f t="shared" si="57"/>
        <v>33239</v>
      </c>
      <c r="AC39" s="111">
        <f t="shared" si="58"/>
        <v>32057</v>
      </c>
      <c r="AD39" s="111">
        <f t="shared" si="59"/>
        <v>32213</v>
      </c>
      <c r="AE39" s="111">
        <f t="shared" si="60"/>
        <v>34772</v>
      </c>
      <c r="AF39" s="111">
        <f t="shared" si="61"/>
        <v>34054</v>
      </c>
      <c r="AG39" s="111">
        <f t="shared" si="62"/>
        <v>30137</v>
      </c>
      <c r="AH39" s="111">
        <f t="shared" si="63"/>
        <v>38917</v>
      </c>
      <c r="AI39" s="111">
        <f t="shared" si="64"/>
        <v>34593</v>
      </c>
      <c r="AJ39" s="111">
        <f t="shared" si="65"/>
        <v>34593</v>
      </c>
      <c r="AK39" s="111" t="s">
        <v>767</v>
      </c>
    </row>
    <row r="40" spans="1:37" ht="15" x14ac:dyDescent="0.25">
      <c r="A40" s="264"/>
      <c r="B40" s="286" t="s">
        <v>279</v>
      </c>
      <c r="C40" s="276" t="str">
        <f>VLOOKUP(B40,'Cat. cuentas'!$A$1:$B$195,2,FALSE)</f>
        <v>LLANTAS RENOVADAS</v>
      </c>
      <c r="D40" s="442">
        <f>D$8*'Costo op 2013'!$Q$46</f>
        <v>43483.861672825173</v>
      </c>
      <c r="E40" s="442">
        <f>E$8*'Costo op 2013'!$Q$46</f>
        <v>42457.421583062103</v>
      </c>
      <c r="F40" s="442">
        <f>(F$8*'Costo op 2013'!$Q$46)*$D$2</f>
        <v>45641.615257306694</v>
      </c>
      <c r="G40" s="442">
        <f>(G$8*'Costo op 2013'!$Q$46)*$D$2</f>
        <v>48174.784543918096</v>
      </c>
      <c r="H40" s="442">
        <f>(H$8*'Costo op 2013'!$Q$46)*$D$2</f>
        <v>46461.597456293523</v>
      </c>
      <c r="I40" s="442">
        <f>(I$8*'Costo op 2013'!$Q$46)*$D$2</f>
        <v>46687.479548806288</v>
      </c>
      <c r="J40" s="442">
        <f>(J$8*'Costo op 2013'!$Q$46)*$D$2</f>
        <v>50396.732481123137</v>
      </c>
      <c r="K40" s="442">
        <f>(K$8*'Costo op 2013'!$Q$46)*$D$2</f>
        <v>49355.834217140356</v>
      </c>
      <c r="L40" s="442">
        <f>(L$8*'Costo op 2013'!$Q$46)*$D$2</f>
        <v>43679.13524956107</v>
      </c>
      <c r="M40" s="442">
        <f>(M$8*'Costo op 2013'!$Q$46)*$D$2</f>
        <v>56403.586102475114</v>
      </c>
      <c r="N40" s="442">
        <f>(N$8*'Costo op 2013'!$Q$46)*$D$2</f>
        <v>50136.52097997789</v>
      </c>
      <c r="O40" s="442">
        <f>(O$8*'Costo op 2013'!$Q$46)*$D$2</f>
        <v>50136.52097997789</v>
      </c>
      <c r="P40" s="468">
        <f t="shared" si="51"/>
        <v>573015.09007246734</v>
      </c>
      <c r="R40" s="111" t="s">
        <v>762</v>
      </c>
      <c r="S40" s="277" t="str">
        <f t="shared" si="52"/>
        <v>0501160100</v>
      </c>
      <c r="T40" s="111" t="s">
        <v>768</v>
      </c>
      <c r="U40" s="585" t="s">
        <v>769</v>
      </c>
      <c r="V40" s="111">
        <v>2014</v>
      </c>
      <c r="W40" s="111" t="s">
        <v>770</v>
      </c>
      <c r="X40" s="111">
        <f t="shared" si="53"/>
        <v>573017</v>
      </c>
      <c r="Y40" s="111">
        <f t="shared" si="54"/>
        <v>43484</v>
      </c>
      <c r="Z40" s="111">
        <f t="shared" si="55"/>
        <v>42457</v>
      </c>
      <c r="AA40" s="111">
        <f t="shared" si="56"/>
        <v>45642</v>
      </c>
      <c r="AB40" s="111">
        <f t="shared" si="57"/>
        <v>48175</v>
      </c>
      <c r="AC40" s="111">
        <f t="shared" si="58"/>
        <v>46462</v>
      </c>
      <c r="AD40" s="111">
        <f t="shared" si="59"/>
        <v>46687</v>
      </c>
      <c r="AE40" s="111">
        <f t="shared" si="60"/>
        <v>50397</v>
      </c>
      <c r="AF40" s="111">
        <f t="shared" si="61"/>
        <v>49356</v>
      </c>
      <c r="AG40" s="111">
        <f t="shared" si="62"/>
        <v>43679</v>
      </c>
      <c r="AH40" s="111">
        <f t="shared" si="63"/>
        <v>56404</v>
      </c>
      <c r="AI40" s="111">
        <f t="shared" si="64"/>
        <v>50137</v>
      </c>
      <c r="AJ40" s="111">
        <f t="shared" si="65"/>
        <v>50137</v>
      </c>
      <c r="AK40" s="111" t="s">
        <v>767</v>
      </c>
    </row>
    <row r="41" spans="1:37" ht="15" x14ac:dyDescent="0.25">
      <c r="A41" s="267" t="s">
        <v>280</v>
      </c>
      <c r="B41" s="287" t="s">
        <v>281</v>
      </c>
      <c r="C41" s="269" t="str">
        <f>VLOOKUP(B41,'Cat. cuentas'!$A$1:$B$195,2,FALSE)</f>
        <v>CASETAS SUJETAS ESTIMULO</v>
      </c>
      <c r="D41" s="442">
        <f>(D$8*'Costo op 2013'!$Q$47)*D1</f>
        <v>653939.19955934479</v>
      </c>
      <c r="E41" s="442">
        <f>(E$8*'Costo op 2013'!$Q$47)*E1</f>
        <v>640624.18372396473</v>
      </c>
      <c r="F41" s="442">
        <f>(F$8*'Costo op 2013'!$Q$47)*F1</f>
        <v>664566.37032271142</v>
      </c>
      <c r="G41" s="442">
        <f>(G$8*'Costo op 2013'!$Q$47)*G1</f>
        <v>703765.69098385284</v>
      </c>
      <c r="H41" s="442">
        <f>(H$8*'Costo op 2013'!$Q$47)*H1</f>
        <v>680971.13493104174</v>
      </c>
      <c r="I41" s="442">
        <f>(I$8*'Costo op 2013'!$Q$47)*I1</f>
        <v>686525.35546124482</v>
      </c>
      <c r="J41" s="442">
        <f>(J$8*'Costo op 2013'!$Q$47)*J1</f>
        <v>743490.59854469832</v>
      </c>
      <c r="K41" s="442">
        <f>(K$8*'Costo op 2013'!$Q$47)*K1</f>
        <v>730506.25603755121</v>
      </c>
      <c r="L41" s="442">
        <f>(L$8*'Costo op 2013'!$Q$47)*L1</f>
        <v>648585.50329281087</v>
      </c>
      <c r="M41" s="442">
        <f>(M$8*'Costo op 2013'!$Q$47)*M1</f>
        <v>840239.58336136816</v>
      </c>
      <c r="N41" s="442">
        <f>(N$8*'Costo op 2013'!$Q$47)*N1</f>
        <v>749288.91878246726</v>
      </c>
      <c r="O41" s="442">
        <f>(O$8*'Costo op 2013'!$Q$47)*O1</f>
        <v>751698.20791038522</v>
      </c>
      <c r="P41" s="468">
        <f t="shared" si="51"/>
        <v>8494201.002911441</v>
      </c>
      <c r="R41" s="111" t="s">
        <v>762</v>
      </c>
      <c r="S41" s="277" t="str">
        <f t="shared" si="52"/>
        <v>0501160401</v>
      </c>
      <c r="T41" s="111" t="s">
        <v>768</v>
      </c>
      <c r="U41" s="585" t="s">
        <v>769</v>
      </c>
      <c r="V41" s="111">
        <v>2014</v>
      </c>
      <c r="W41" s="111" t="s">
        <v>770</v>
      </c>
      <c r="X41" s="111">
        <f t="shared" si="53"/>
        <v>8494201</v>
      </c>
      <c r="Y41" s="111">
        <f t="shared" si="54"/>
        <v>653939</v>
      </c>
      <c r="Z41" s="111">
        <f t="shared" si="55"/>
        <v>640624</v>
      </c>
      <c r="AA41" s="111">
        <f t="shared" si="56"/>
        <v>664566</v>
      </c>
      <c r="AB41" s="111">
        <f t="shared" si="57"/>
        <v>703766</v>
      </c>
      <c r="AC41" s="111">
        <f t="shared" si="58"/>
        <v>680971</v>
      </c>
      <c r="AD41" s="111">
        <f t="shared" si="59"/>
        <v>686525</v>
      </c>
      <c r="AE41" s="111">
        <f t="shared" si="60"/>
        <v>743491</v>
      </c>
      <c r="AF41" s="111">
        <f t="shared" si="61"/>
        <v>730506</v>
      </c>
      <c r="AG41" s="111">
        <f t="shared" si="62"/>
        <v>648586</v>
      </c>
      <c r="AH41" s="111">
        <f t="shared" si="63"/>
        <v>840240</v>
      </c>
      <c r="AI41" s="111">
        <f t="shared" si="64"/>
        <v>749289</v>
      </c>
      <c r="AJ41" s="111">
        <f t="shared" si="65"/>
        <v>751698</v>
      </c>
      <c r="AK41" s="111" t="s">
        <v>767</v>
      </c>
    </row>
    <row r="42" spans="1:37" ht="15" x14ac:dyDescent="0.25">
      <c r="A42" s="267"/>
      <c r="B42" s="287" t="s">
        <v>282</v>
      </c>
      <c r="C42" s="269" t="str">
        <f>VLOOKUP(B42,'Cat. cuentas'!$A$1:$B$195,2,FALSE)</f>
        <v>CASETAS NO SUJETAS ESTIMULO</v>
      </c>
      <c r="D42" s="442">
        <f>(D$8*'Costo op 2013'!$Q$48)*D1</f>
        <v>70568.813480576602</v>
      </c>
      <c r="E42" s="442">
        <f>(E$8*'Costo op 2013'!$Q$48)*E1</f>
        <v>69131.944625473508</v>
      </c>
      <c r="F42" s="442">
        <f>(F$8*'Costo op 2013'!$Q$48)*F1</f>
        <v>71715.627789814534</v>
      </c>
      <c r="G42" s="442">
        <f>(G$8*'Costo op 2013'!$Q$48)*G1</f>
        <v>75945.760423193031</v>
      </c>
      <c r="H42" s="442">
        <f>(H$8*'Costo op 2013'!$Q$48)*H1</f>
        <v>73485.921992422547</v>
      </c>
      <c r="I42" s="442">
        <f>(I$8*'Costo op 2013'!$Q$48)*I1</f>
        <v>74085.296908148652</v>
      </c>
      <c r="J42" s="442">
        <f>(J$8*'Costo op 2013'!$Q$48)*J1</f>
        <v>80232.610934805547</v>
      </c>
      <c r="K42" s="442">
        <f>(K$8*'Costo op 2013'!$Q$48)*K1</f>
        <v>78831.426168435471</v>
      </c>
      <c r="L42" s="442">
        <f>(L$8*'Costo op 2013'!$Q$48)*L1</f>
        <v>69991.077823317813</v>
      </c>
      <c r="M42" s="442">
        <f>(M$8*'Costo op 2013'!$Q$48)*M1</f>
        <v>90673.124469646966</v>
      </c>
      <c r="N42" s="442">
        <f>(N$8*'Costo op 2013'!$Q$48)*N1</f>
        <v>80858.327484043592</v>
      </c>
      <c r="O42" s="442">
        <f>(O$8*'Costo op 2013'!$Q$48)*O1</f>
        <v>81118.322106178777</v>
      </c>
      <c r="P42" s="468">
        <f t="shared" si="51"/>
        <v>916638.25420605694</v>
      </c>
      <c r="R42" s="111" t="s">
        <v>762</v>
      </c>
      <c r="S42" s="277" t="str">
        <f t="shared" si="52"/>
        <v>0501160402</v>
      </c>
      <c r="T42" s="111" t="s">
        <v>768</v>
      </c>
      <c r="U42" s="585" t="s">
        <v>769</v>
      </c>
      <c r="V42" s="111">
        <v>2014</v>
      </c>
      <c r="W42" s="111" t="s">
        <v>770</v>
      </c>
      <c r="X42" s="111">
        <f t="shared" si="53"/>
        <v>916638</v>
      </c>
      <c r="Y42" s="111">
        <f t="shared" si="54"/>
        <v>70569</v>
      </c>
      <c r="Z42" s="111">
        <f t="shared" si="55"/>
        <v>69132</v>
      </c>
      <c r="AA42" s="111">
        <f t="shared" si="56"/>
        <v>71716</v>
      </c>
      <c r="AB42" s="111">
        <f t="shared" si="57"/>
        <v>75946</v>
      </c>
      <c r="AC42" s="111">
        <f t="shared" si="58"/>
        <v>73486</v>
      </c>
      <c r="AD42" s="111">
        <f t="shared" si="59"/>
        <v>74085</v>
      </c>
      <c r="AE42" s="111">
        <f t="shared" si="60"/>
        <v>80233</v>
      </c>
      <c r="AF42" s="111">
        <f t="shared" si="61"/>
        <v>78831</v>
      </c>
      <c r="AG42" s="111">
        <f t="shared" si="62"/>
        <v>69991</v>
      </c>
      <c r="AH42" s="111">
        <f t="shared" si="63"/>
        <v>90673</v>
      </c>
      <c r="AI42" s="111">
        <f t="shared" si="64"/>
        <v>80858</v>
      </c>
      <c r="AJ42" s="111">
        <f t="shared" si="65"/>
        <v>81118</v>
      </c>
      <c r="AK42" s="111" t="s">
        <v>767</v>
      </c>
    </row>
    <row r="43" spans="1:37" ht="15" x14ac:dyDescent="0.25">
      <c r="A43" s="264" t="s">
        <v>283</v>
      </c>
      <c r="B43" s="285" t="s">
        <v>284</v>
      </c>
      <c r="C43" s="276" t="str">
        <f>VLOOKUP(B43,'Cat. cuentas'!$A$1:$B$195,2,FALSE)</f>
        <v>GASTOS NO DEDUCIBLES</v>
      </c>
      <c r="D43" s="442">
        <f>(D8*'Costo op 2013'!$Q$49)*D1</f>
        <v>6924.1868229717047</v>
      </c>
      <c r="E43" s="442">
        <f>(E8*'Costo op 2013'!$Q$49)*E1</f>
        <v>6783.2017631112103</v>
      </c>
      <c r="F43" s="442">
        <f>(F8*'Costo op 2013'!$Q$49)*F1</f>
        <v>7036.7118341879732</v>
      </c>
      <c r="G43" s="442">
        <f>(G8*'Costo op 2013'!$Q$49)*G1</f>
        <v>7451.7709402550454</v>
      </c>
      <c r="H43" s="442">
        <f>(H8*'Costo op 2013'!$Q$49)*H1</f>
        <v>7210.4124702891531</v>
      </c>
      <c r="I43" s="442">
        <f>(I8*'Costo op 2013'!$Q$49)*I1</f>
        <v>7269.2229233603648</v>
      </c>
      <c r="J43" s="442">
        <f>(J8*'Costo op 2013'!$Q$49)*J1</f>
        <v>7872.395184316154</v>
      </c>
      <c r="K43" s="442">
        <f>(K8*'Costo op 2013'!$Q$49)*K1</f>
        <v>7734.9114345217959</v>
      </c>
      <c r="L43" s="442">
        <f>(L8*'Costo op 2013'!$Q$49)*L1</f>
        <v>6867.4996062275377</v>
      </c>
      <c r="M43" s="442">
        <f>(M8*'Costo op 2013'!$Q$49)*M1</f>
        <v>8896.8146506134635</v>
      </c>
      <c r="N43" s="442">
        <f>(N8*'Costo op 2013'!$Q$49)*N1</f>
        <v>7933.7902690775254</v>
      </c>
      <c r="O43" s="442">
        <f>(O8*'Costo op 2013'!$Q$49)*O1</f>
        <v>7959.3008487208617</v>
      </c>
      <c r="P43" s="468">
        <f t="shared" si="51"/>
        <v>89940.218747652776</v>
      </c>
      <c r="R43" s="111" t="s">
        <v>762</v>
      </c>
      <c r="S43" s="277" t="str">
        <f t="shared" si="52"/>
        <v>0501171000</v>
      </c>
      <c r="T43" s="111" t="s">
        <v>768</v>
      </c>
      <c r="U43" s="585" t="s">
        <v>769</v>
      </c>
      <c r="V43" s="111">
        <v>2014</v>
      </c>
      <c r="W43" s="111" t="s">
        <v>770</v>
      </c>
      <c r="X43" s="111">
        <f t="shared" si="53"/>
        <v>89939</v>
      </c>
      <c r="Y43" s="111">
        <f t="shared" si="54"/>
        <v>6924</v>
      </c>
      <c r="Z43" s="111">
        <f t="shared" si="55"/>
        <v>6783</v>
      </c>
      <c r="AA43" s="111">
        <f t="shared" si="56"/>
        <v>7037</v>
      </c>
      <c r="AB43" s="111">
        <f t="shared" si="57"/>
        <v>7452</v>
      </c>
      <c r="AC43" s="111">
        <f t="shared" si="58"/>
        <v>7210</v>
      </c>
      <c r="AD43" s="111">
        <f t="shared" si="59"/>
        <v>7269</v>
      </c>
      <c r="AE43" s="111">
        <f t="shared" si="60"/>
        <v>7872</v>
      </c>
      <c r="AF43" s="111">
        <f t="shared" si="61"/>
        <v>7735</v>
      </c>
      <c r="AG43" s="111">
        <f t="shared" si="62"/>
        <v>6867</v>
      </c>
      <c r="AH43" s="111">
        <f t="shared" si="63"/>
        <v>8897</v>
      </c>
      <c r="AI43" s="111">
        <f t="shared" si="64"/>
        <v>7934</v>
      </c>
      <c r="AJ43" s="111">
        <f t="shared" si="65"/>
        <v>7959</v>
      </c>
      <c r="AK43" s="111" t="s">
        <v>767</v>
      </c>
    </row>
    <row r="44" spans="1:37" ht="15" x14ac:dyDescent="0.25">
      <c r="A44" s="267" t="s">
        <v>285</v>
      </c>
      <c r="B44" s="287" t="s">
        <v>286</v>
      </c>
      <c r="C44" s="269" t="str">
        <f>VLOOKUP(B44,'Cat. cuentas'!$A$1:$B$195,2,FALSE)</f>
        <v>INSPECCIONES FISICO MECANICAS</v>
      </c>
      <c r="D44" s="442">
        <f>((880.22*$D$3)+(587.51*$F$3)+(880.22*$H$3))/12</f>
        <v>9004.3066666666655</v>
      </c>
      <c r="E44" s="442">
        <f>((880.22*$D$3)+(587.51*$F$3)+(880.22*$H$3))/12</f>
        <v>9004.3066666666655</v>
      </c>
      <c r="F44" s="442">
        <f t="shared" ref="F44:O44" si="66">((880.22*$D$3)+(587.51*$F$3)+(880.22*$H$3))/12</f>
        <v>9004.3066666666655</v>
      </c>
      <c r="G44" s="442">
        <f t="shared" si="66"/>
        <v>9004.3066666666655</v>
      </c>
      <c r="H44" s="442">
        <f t="shared" si="66"/>
        <v>9004.3066666666655</v>
      </c>
      <c r="I44" s="442">
        <f t="shared" si="66"/>
        <v>9004.3066666666655</v>
      </c>
      <c r="J44" s="442">
        <f t="shared" si="66"/>
        <v>9004.3066666666655</v>
      </c>
      <c r="K44" s="442">
        <f t="shared" si="66"/>
        <v>9004.3066666666655</v>
      </c>
      <c r="L44" s="442">
        <f t="shared" si="66"/>
        <v>9004.3066666666655</v>
      </c>
      <c r="M44" s="442">
        <f t="shared" si="66"/>
        <v>9004.3066666666655</v>
      </c>
      <c r="N44" s="442">
        <f t="shared" si="66"/>
        <v>9004.3066666666655</v>
      </c>
      <c r="O44" s="442">
        <f t="shared" si="66"/>
        <v>9004.3066666666655</v>
      </c>
      <c r="P44" s="468">
        <f t="shared" si="51"/>
        <v>108051.68000000001</v>
      </c>
      <c r="R44" s="111" t="s">
        <v>762</v>
      </c>
      <c r="S44" s="277" t="str">
        <f t="shared" si="52"/>
        <v>0501080900</v>
      </c>
      <c r="T44" s="111" t="s">
        <v>768</v>
      </c>
      <c r="U44" s="585" t="s">
        <v>769</v>
      </c>
      <c r="V44" s="111">
        <v>2014</v>
      </c>
      <c r="W44" s="111" t="s">
        <v>770</v>
      </c>
      <c r="X44" s="111">
        <f t="shared" si="53"/>
        <v>108048</v>
      </c>
      <c r="Y44" s="111">
        <f t="shared" si="54"/>
        <v>9004</v>
      </c>
      <c r="Z44" s="111">
        <f t="shared" si="55"/>
        <v>9004</v>
      </c>
      <c r="AA44" s="111">
        <f t="shared" si="56"/>
        <v>9004</v>
      </c>
      <c r="AB44" s="111">
        <f t="shared" si="57"/>
        <v>9004</v>
      </c>
      <c r="AC44" s="111">
        <f t="shared" si="58"/>
        <v>9004</v>
      </c>
      <c r="AD44" s="111">
        <f t="shared" si="59"/>
        <v>9004</v>
      </c>
      <c r="AE44" s="111">
        <f t="shared" si="60"/>
        <v>9004</v>
      </c>
      <c r="AF44" s="111">
        <f t="shared" si="61"/>
        <v>9004</v>
      </c>
      <c r="AG44" s="111">
        <f t="shared" si="62"/>
        <v>9004</v>
      </c>
      <c r="AH44" s="111">
        <f t="shared" si="63"/>
        <v>9004</v>
      </c>
      <c r="AI44" s="111">
        <f t="shared" si="64"/>
        <v>9004</v>
      </c>
      <c r="AJ44" s="111">
        <f t="shared" si="65"/>
        <v>9004</v>
      </c>
      <c r="AK44" s="111" t="s">
        <v>767</v>
      </c>
    </row>
    <row r="45" spans="1:37" ht="15" x14ac:dyDescent="0.25">
      <c r="A45" s="267"/>
      <c r="B45" s="287" t="s">
        <v>287</v>
      </c>
      <c r="C45" s="269" t="str">
        <f>VLOOKUP(B45,'Cat. cuentas'!$A$1:$B$195,2,FALSE)</f>
        <v>VERIFICACIONES</v>
      </c>
      <c r="D45" s="442">
        <f>(880.22*$D$3)/12</f>
        <v>3300.8250000000003</v>
      </c>
      <c r="E45" s="442">
        <f>(880.22*$D$3)/12</f>
        <v>3300.8250000000003</v>
      </c>
      <c r="F45" s="442">
        <f t="shared" ref="F45:O45" si="67">(880.22*$D$3)/12</f>
        <v>3300.8250000000003</v>
      </c>
      <c r="G45" s="442">
        <f t="shared" si="67"/>
        <v>3300.8250000000003</v>
      </c>
      <c r="H45" s="442">
        <f t="shared" si="67"/>
        <v>3300.8250000000003</v>
      </c>
      <c r="I45" s="442">
        <f t="shared" si="67"/>
        <v>3300.8250000000003</v>
      </c>
      <c r="J45" s="442">
        <f t="shared" si="67"/>
        <v>3300.8250000000003</v>
      </c>
      <c r="K45" s="442">
        <f t="shared" si="67"/>
        <v>3300.8250000000003</v>
      </c>
      <c r="L45" s="442">
        <f t="shared" si="67"/>
        <v>3300.8250000000003</v>
      </c>
      <c r="M45" s="442">
        <f t="shared" si="67"/>
        <v>3300.8250000000003</v>
      </c>
      <c r="N45" s="442">
        <f t="shared" si="67"/>
        <v>3300.8250000000003</v>
      </c>
      <c r="O45" s="442">
        <f t="shared" si="67"/>
        <v>3300.8250000000003</v>
      </c>
      <c r="P45" s="468">
        <f t="shared" si="51"/>
        <v>39609.899999999994</v>
      </c>
      <c r="R45" s="111" t="s">
        <v>762</v>
      </c>
      <c r="S45" s="277" t="str">
        <f t="shared" si="52"/>
        <v>0501080800</v>
      </c>
      <c r="T45" s="111" t="s">
        <v>768</v>
      </c>
      <c r="U45" s="585" t="s">
        <v>769</v>
      </c>
      <c r="V45" s="111">
        <v>2014</v>
      </c>
      <c r="W45" s="111" t="s">
        <v>770</v>
      </c>
      <c r="X45" s="111">
        <f t="shared" si="53"/>
        <v>39612</v>
      </c>
      <c r="Y45" s="111">
        <f t="shared" si="54"/>
        <v>3301</v>
      </c>
      <c r="Z45" s="111">
        <f t="shared" si="55"/>
        <v>3301</v>
      </c>
      <c r="AA45" s="111">
        <f t="shared" si="56"/>
        <v>3301</v>
      </c>
      <c r="AB45" s="111">
        <f t="shared" si="57"/>
        <v>3301</v>
      </c>
      <c r="AC45" s="111">
        <f t="shared" si="58"/>
        <v>3301</v>
      </c>
      <c r="AD45" s="111">
        <f t="shared" si="59"/>
        <v>3301</v>
      </c>
      <c r="AE45" s="111">
        <f t="shared" si="60"/>
        <v>3301</v>
      </c>
      <c r="AF45" s="111">
        <f t="shared" si="61"/>
        <v>3301</v>
      </c>
      <c r="AG45" s="111">
        <f t="shared" si="62"/>
        <v>3301</v>
      </c>
      <c r="AH45" s="111">
        <f t="shared" si="63"/>
        <v>3301</v>
      </c>
      <c r="AI45" s="111">
        <f t="shared" si="64"/>
        <v>3301</v>
      </c>
      <c r="AJ45" s="111">
        <f t="shared" si="65"/>
        <v>3301</v>
      </c>
      <c r="AK45" s="111" t="s">
        <v>767</v>
      </c>
    </row>
    <row r="46" spans="1:37" ht="15" x14ac:dyDescent="0.25">
      <c r="A46" s="267"/>
      <c r="B46" s="287" t="s">
        <v>288</v>
      </c>
      <c r="C46" s="269" t="str">
        <f>VLOOKUP(B46,'Cat. cuentas'!$A$1:$B$195,2,FALSE)</f>
        <v>ENLONADAS</v>
      </c>
      <c r="D46" s="442">
        <v>12400</v>
      </c>
      <c r="E46" s="442">
        <v>12400</v>
      </c>
      <c r="F46" s="442">
        <v>12400</v>
      </c>
      <c r="G46" s="442">
        <v>12400</v>
      </c>
      <c r="H46" s="442">
        <v>12400</v>
      </c>
      <c r="I46" s="442">
        <v>12400</v>
      </c>
      <c r="J46" s="442">
        <v>12400</v>
      </c>
      <c r="K46" s="442">
        <v>12400</v>
      </c>
      <c r="L46" s="442">
        <v>12400</v>
      </c>
      <c r="M46" s="442">
        <v>12400</v>
      </c>
      <c r="N46" s="442">
        <v>12400</v>
      </c>
      <c r="O46" s="442">
        <v>12400</v>
      </c>
      <c r="P46" s="468">
        <f t="shared" si="51"/>
        <v>148800</v>
      </c>
      <c r="R46" s="111" t="s">
        <v>762</v>
      </c>
      <c r="S46" s="277" t="str">
        <f t="shared" si="52"/>
        <v>0501161000</v>
      </c>
      <c r="T46" s="111" t="s">
        <v>768</v>
      </c>
      <c r="U46" s="585" t="s">
        <v>769</v>
      </c>
      <c r="V46" s="111">
        <v>2014</v>
      </c>
      <c r="W46" s="111" t="s">
        <v>770</v>
      </c>
      <c r="X46" s="111">
        <f t="shared" si="53"/>
        <v>148800</v>
      </c>
      <c r="Y46" s="111">
        <f t="shared" si="54"/>
        <v>12400</v>
      </c>
      <c r="Z46" s="111">
        <f t="shared" si="55"/>
        <v>12400</v>
      </c>
      <c r="AA46" s="111">
        <f t="shared" si="56"/>
        <v>12400</v>
      </c>
      <c r="AB46" s="111">
        <f t="shared" si="57"/>
        <v>12400</v>
      </c>
      <c r="AC46" s="111">
        <f t="shared" si="58"/>
        <v>12400</v>
      </c>
      <c r="AD46" s="111">
        <f t="shared" si="59"/>
        <v>12400</v>
      </c>
      <c r="AE46" s="111">
        <f t="shared" si="60"/>
        <v>12400</v>
      </c>
      <c r="AF46" s="111">
        <f t="shared" si="61"/>
        <v>12400</v>
      </c>
      <c r="AG46" s="111">
        <f t="shared" si="62"/>
        <v>12400</v>
      </c>
      <c r="AH46" s="111">
        <f t="shared" si="63"/>
        <v>12400</v>
      </c>
      <c r="AI46" s="111">
        <f t="shared" si="64"/>
        <v>12400</v>
      </c>
      <c r="AJ46" s="111">
        <f t="shared" si="65"/>
        <v>12400</v>
      </c>
      <c r="AK46" s="111" t="s">
        <v>767</v>
      </c>
    </row>
    <row r="47" spans="1:37" ht="15" x14ac:dyDescent="0.25">
      <c r="A47" s="264" t="s">
        <v>289</v>
      </c>
      <c r="B47" s="285" t="s">
        <v>291</v>
      </c>
      <c r="C47" s="288" t="str">
        <f>VLOOKUP(B47,'Cat. cuentas'!$A$1:$B$195,2,FALSE)</f>
        <v>FACILIDADES ADMINISTRATIVAS</v>
      </c>
      <c r="D47" s="442">
        <f>(13000)*D1</f>
        <v>13043.333333333334</v>
      </c>
      <c r="E47" s="442">
        <f t="shared" ref="E47:O47" si="68">(13000)*E1</f>
        <v>13086.666666666666</v>
      </c>
      <c r="F47" s="442">
        <f t="shared" si="68"/>
        <v>13130</v>
      </c>
      <c r="G47" s="442">
        <f t="shared" si="68"/>
        <v>13173.333333333334</v>
      </c>
      <c r="H47" s="442">
        <f t="shared" si="68"/>
        <v>13216.666666666666</v>
      </c>
      <c r="I47" s="442">
        <f t="shared" si="68"/>
        <v>13260</v>
      </c>
      <c r="J47" s="442">
        <f t="shared" si="68"/>
        <v>13303.333333333334</v>
      </c>
      <c r="K47" s="442">
        <f t="shared" si="68"/>
        <v>13346.666666666666</v>
      </c>
      <c r="L47" s="442">
        <f t="shared" si="68"/>
        <v>13390</v>
      </c>
      <c r="M47" s="442">
        <f t="shared" si="68"/>
        <v>13433.333333333334</v>
      </c>
      <c r="N47" s="442">
        <f t="shared" si="68"/>
        <v>13476.666666666666</v>
      </c>
      <c r="O47" s="442">
        <f t="shared" si="68"/>
        <v>13520</v>
      </c>
      <c r="P47" s="468">
        <f t="shared" si="51"/>
        <v>159380</v>
      </c>
      <c r="R47" s="111" t="s">
        <v>762</v>
      </c>
      <c r="S47" s="277" t="str">
        <f t="shared" si="52"/>
        <v>0501170600</v>
      </c>
      <c r="T47" s="111" t="s">
        <v>768</v>
      </c>
      <c r="U47" s="585" t="s">
        <v>769</v>
      </c>
      <c r="V47" s="111">
        <v>2014</v>
      </c>
      <c r="W47" s="111" t="s">
        <v>770</v>
      </c>
      <c r="X47" s="111">
        <f t="shared" si="53"/>
        <v>159380</v>
      </c>
      <c r="Y47" s="111">
        <f t="shared" si="54"/>
        <v>13043</v>
      </c>
      <c r="Z47" s="111">
        <f t="shared" si="55"/>
        <v>13087</v>
      </c>
      <c r="AA47" s="111">
        <f t="shared" si="56"/>
        <v>13130</v>
      </c>
      <c r="AB47" s="111">
        <f t="shared" si="57"/>
        <v>13173</v>
      </c>
      <c r="AC47" s="111">
        <f t="shared" si="58"/>
        <v>13217</v>
      </c>
      <c r="AD47" s="111">
        <f t="shared" si="59"/>
        <v>13260</v>
      </c>
      <c r="AE47" s="111">
        <f t="shared" si="60"/>
        <v>13303</v>
      </c>
      <c r="AF47" s="111">
        <f t="shared" si="61"/>
        <v>13347</v>
      </c>
      <c r="AG47" s="111">
        <f t="shared" si="62"/>
        <v>13390</v>
      </c>
      <c r="AH47" s="111">
        <f t="shared" si="63"/>
        <v>13433</v>
      </c>
      <c r="AI47" s="111">
        <f t="shared" si="64"/>
        <v>13477</v>
      </c>
      <c r="AJ47" s="111">
        <f t="shared" si="65"/>
        <v>13520</v>
      </c>
      <c r="AK47" s="111" t="s">
        <v>767</v>
      </c>
    </row>
    <row r="48" spans="1:37" ht="15" x14ac:dyDescent="0.25">
      <c r="A48" s="289" t="s">
        <v>292</v>
      </c>
      <c r="B48" s="290"/>
      <c r="C48" s="291"/>
      <c r="D48" s="444">
        <f t="shared" ref="D48:P48" si="69">SUM(D37:D47)</f>
        <v>2982915.3395647015</v>
      </c>
      <c r="E48" s="445">
        <f t="shared" si="69"/>
        <v>2950281.190357869</v>
      </c>
      <c r="F48" s="445">
        <f t="shared" si="69"/>
        <v>3094228.6424393388</v>
      </c>
      <c r="G48" s="445">
        <f t="shared" si="69"/>
        <v>3270577.7692974047</v>
      </c>
      <c r="H48" s="445">
        <f t="shared" si="69"/>
        <v>3215111.6461187047</v>
      </c>
      <c r="I48" s="445">
        <f t="shared" si="69"/>
        <v>3236114.2163480767</v>
      </c>
      <c r="J48" s="445">
        <f t="shared" si="69"/>
        <v>3482423.485502834</v>
      </c>
      <c r="K48" s="445">
        <f t="shared" si="69"/>
        <v>3424394.5009316183</v>
      </c>
      <c r="L48" s="445">
        <f t="shared" si="69"/>
        <v>3080501.7041929048</v>
      </c>
      <c r="M48" s="445">
        <f t="shared" si="69"/>
        <v>3920147.5903244652</v>
      </c>
      <c r="N48" s="445">
        <f t="shared" si="69"/>
        <v>3529441.7647363134</v>
      </c>
      <c r="O48" s="445">
        <f t="shared" si="69"/>
        <v>3548111.5086286576</v>
      </c>
      <c r="P48" s="446">
        <f t="shared" si="69"/>
        <v>39734249.35844288</v>
      </c>
    </row>
    <row r="49" spans="1:16" ht="15.75" thickBot="1" x14ac:dyDescent="0.3">
      <c r="A49" s="293" t="s">
        <v>293</v>
      </c>
      <c r="B49" s="294"/>
      <c r="C49" s="295"/>
      <c r="D49" s="447">
        <f t="shared" ref="D49:P49" si="70">D34+D48</f>
        <v>3292321.4550217297</v>
      </c>
      <c r="E49" s="447">
        <f t="shared" si="70"/>
        <v>3443135.1606122288</v>
      </c>
      <c r="F49" s="447">
        <f t="shared" si="70"/>
        <v>3487275.846499234</v>
      </c>
      <c r="G49" s="447">
        <f t="shared" si="70"/>
        <v>3609886.5065523549</v>
      </c>
      <c r="H49" s="447">
        <f t="shared" si="70"/>
        <v>3551822.3462243387</v>
      </c>
      <c r="I49" s="447">
        <f t="shared" si="70"/>
        <v>3573339.083629712</v>
      </c>
      <c r="J49" s="447">
        <f t="shared" si="70"/>
        <v>3820503.8319315603</v>
      </c>
      <c r="K49" s="447">
        <f t="shared" si="70"/>
        <v>3792813.9391105478</v>
      </c>
      <c r="L49" s="447">
        <f t="shared" si="70"/>
        <v>3420406.5730818654</v>
      </c>
      <c r="M49" s="447">
        <f t="shared" si="70"/>
        <v>4260302.1223341497</v>
      </c>
      <c r="N49" s="447">
        <f t="shared" si="70"/>
        <v>3843587.7788914246</v>
      </c>
      <c r="O49" s="447">
        <f t="shared" si="70"/>
        <v>3862750.8111154577</v>
      </c>
      <c r="P49" s="448">
        <f t="shared" si="70"/>
        <v>43958145.455004595</v>
      </c>
    </row>
    <row r="50" spans="1:16" x14ac:dyDescent="0.2">
      <c r="P50" s="487">
        <f>P49-P14</f>
        <v>42196161.455004595</v>
      </c>
    </row>
    <row r="51" spans="1:16" x14ac:dyDescent="0.2">
      <c r="P51" s="487">
        <f>P48+'Gtos Transp 2014 (Otros)'!P48</f>
        <v>47736353.568527147</v>
      </c>
    </row>
    <row r="52" spans="1:16" x14ac:dyDescent="0.2">
      <c r="P52" s="487">
        <f>P51-'Gastos de Operación'!R108</f>
        <v>0</v>
      </c>
    </row>
    <row r="53" spans="1:16" x14ac:dyDescent="0.2">
      <c r="D53" s="464">
        <f>D37/'Premisas Presupuesto 2014'!D76</f>
        <v>130862.9485745977</v>
      </c>
      <c r="E53" s="111">
        <f>E37/'Premisas Presupuesto 2014'!E76</f>
        <v>127773.91803512484</v>
      </c>
      <c r="F53" s="111">
        <f>F37/'Premisas Presupuesto 2014'!F76</f>
        <v>132111.78415488411</v>
      </c>
      <c r="G53" s="111">
        <f>G37/'Premisas Presupuesto 2014'!G76</f>
        <v>139444.16080575236</v>
      </c>
      <c r="H53" s="111">
        <f>H37/'Premisas Presupuesto 2014'!H76</f>
        <v>134485.26087503706</v>
      </c>
      <c r="I53" s="111">
        <f>I37/'Premisas Presupuesto 2014'!I76</f>
        <v>135139.08712729096</v>
      </c>
      <c r="J53" s="111">
        <f>J37/'Premisas Presupuesto 2014'!J76</f>
        <v>145875.69274493869</v>
      </c>
      <c r="K53" s="111">
        <f>K37/'Premisas Presupuesto 2014'!K76</f>
        <v>142862.76417080214</v>
      </c>
      <c r="L53" s="111">
        <f>L37/'Premisas Presupuesto 2014'!L76</f>
        <v>126431.29423948699</v>
      </c>
      <c r="M53" s="111">
        <f>M37/'Premisas Presupuesto 2014'!M76</f>
        <v>163262.81072050144</v>
      </c>
      <c r="N53" s="111">
        <f>N37/'Premisas Presupuesto 2014'!N76</f>
        <v>145122.49841822352</v>
      </c>
      <c r="O53" s="111">
        <f>O37/'Premisas Presupuesto 2014'!O76</f>
        <v>145122.49841822352</v>
      </c>
    </row>
    <row r="54" spans="1:16" x14ac:dyDescent="0.2">
      <c r="D54" s="111">
        <f>D8/D53</f>
        <v>1.8419676404753378</v>
      </c>
      <c r="E54" s="111">
        <f t="shared" ref="E54:O54" si="71">E8/E53</f>
        <v>1.841967640475338</v>
      </c>
      <c r="F54" s="111">
        <f t="shared" si="71"/>
        <v>1.8419676404753378</v>
      </c>
      <c r="G54" s="111">
        <f t="shared" si="71"/>
        <v>1.8419676404753378</v>
      </c>
      <c r="H54" s="111">
        <f t="shared" si="71"/>
        <v>1.8419676404753378</v>
      </c>
      <c r="I54" s="111">
        <f t="shared" si="71"/>
        <v>1.8419676404753378</v>
      </c>
      <c r="J54" s="111">
        <f t="shared" si="71"/>
        <v>1.8419676404753378</v>
      </c>
      <c r="K54" s="111">
        <f t="shared" si="71"/>
        <v>1.8419676404753378</v>
      </c>
      <c r="L54" s="111">
        <f t="shared" si="71"/>
        <v>1.8419676404753378</v>
      </c>
      <c r="M54" s="111">
        <f t="shared" si="71"/>
        <v>1.8419676404753378</v>
      </c>
      <c r="N54" s="111">
        <f t="shared" si="71"/>
        <v>1.8419676404753376</v>
      </c>
      <c r="O54" s="111">
        <f t="shared" si="71"/>
        <v>1.8419676404753376</v>
      </c>
    </row>
    <row r="55" spans="1:16" x14ac:dyDescent="0.2">
      <c r="D55" s="464">
        <f>D8/SUM(D41:D42)</f>
        <v>0.33270207129967971</v>
      </c>
      <c r="E55" s="464">
        <f t="shared" ref="E55:O55" si="72">E8/SUM(E41:E42)</f>
        <v>0.33160040881193248</v>
      </c>
      <c r="F55" s="464">
        <f t="shared" si="72"/>
        <v>0.33050601802377427</v>
      </c>
      <c r="G55" s="464">
        <f t="shared" si="72"/>
        <v>0.32941882717501181</v>
      </c>
      <c r="H55" s="464">
        <f t="shared" si="72"/>
        <v>0.3283387654465692</v>
      </c>
      <c r="I55" s="464">
        <f t="shared" si="72"/>
        <v>0.32726576294510978</v>
      </c>
      <c r="J55" s="464">
        <f t="shared" si="72"/>
        <v>0.32619975068795959</v>
      </c>
      <c r="K55" s="464">
        <f t="shared" si="72"/>
        <v>0.32514066058832336</v>
      </c>
      <c r="L55" s="464">
        <f t="shared" si="72"/>
        <v>0.32408842544078825</v>
      </c>
      <c r="M55" s="464">
        <f t="shared" si="72"/>
        <v>0.32304297890710831</v>
      </c>
      <c r="N55" s="464">
        <f t="shared" si="72"/>
        <v>0.32200425550226242</v>
      </c>
      <c r="O55" s="464">
        <f t="shared" si="72"/>
        <v>0.32097219058078075</v>
      </c>
    </row>
    <row r="58" spans="1:16" x14ac:dyDescent="0.2">
      <c r="D58" s="576">
        <v>0.04</v>
      </c>
    </row>
    <row r="59" spans="1:16" x14ac:dyDescent="0.2">
      <c r="D59" s="111">
        <f>D58/12</f>
        <v>3.3333333333333335E-3</v>
      </c>
      <c r="E59" s="111">
        <f t="shared" ref="E59:O59" si="73">E58/12</f>
        <v>0</v>
      </c>
      <c r="F59" s="111">
        <f t="shared" si="73"/>
        <v>0</v>
      </c>
      <c r="G59" s="111">
        <f t="shared" si="73"/>
        <v>0</v>
      </c>
      <c r="H59" s="111">
        <f t="shared" si="73"/>
        <v>0</v>
      </c>
      <c r="I59" s="111">
        <f t="shared" si="73"/>
        <v>0</v>
      </c>
      <c r="J59" s="111">
        <f t="shared" si="73"/>
        <v>0</v>
      </c>
      <c r="K59" s="111">
        <f t="shared" si="73"/>
        <v>0</v>
      </c>
      <c r="L59" s="111">
        <f t="shared" si="73"/>
        <v>0</v>
      </c>
      <c r="M59" s="111">
        <f t="shared" si="73"/>
        <v>0</v>
      </c>
      <c r="N59" s="111">
        <f t="shared" si="73"/>
        <v>0</v>
      </c>
      <c r="O59" s="111">
        <f t="shared" si="73"/>
        <v>0</v>
      </c>
    </row>
    <row r="61" spans="1:16" x14ac:dyDescent="0.2">
      <c r="D61" s="111">
        <v>100</v>
      </c>
      <c r="E61" s="111">
        <f>D61+D62</f>
        <v>100.08336666666666</v>
      </c>
      <c r="F61" s="111">
        <f t="shared" ref="F61:N61" si="74">E61+E62</f>
        <v>100.16673333333333</v>
      </c>
      <c r="G61" s="111">
        <f t="shared" si="74"/>
        <v>100.25009999999999</v>
      </c>
      <c r="H61" s="111">
        <f t="shared" si="74"/>
        <v>100.33346666666665</v>
      </c>
      <c r="I61" s="111">
        <f t="shared" si="74"/>
        <v>100.41683333333332</v>
      </c>
      <c r="J61" s="111">
        <f t="shared" si="74"/>
        <v>100.50019999999998</v>
      </c>
      <c r="K61" s="111">
        <f t="shared" si="74"/>
        <v>100.58356666666664</v>
      </c>
      <c r="L61" s="111">
        <f t="shared" si="74"/>
        <v>100.6669333333333</v>
      </c>
      <c r="M61" s="111">
        <f t="shared" si="74"/>
        <v>100.75029999999997</v>
      </c>
      <c r="N61" s="111">
        <f t="shared" si="74"/>
        <v>100.83366666666663</v>
      </c>
      <c r="O61" s="111">
        <v>100.04</v>
      </c>
    </row>
    <row r="62" spans="1:16" x14ac:dyDescent="0.2">
      <c r="D62" s="111">
        <f>O61/D61/12</f>
        <v>8.3366666666666658E-2</v>
      </c>
      <c r="E62" s="111">
        <f>E61-D61</f>
        <v>8.3366666666663036E-2</v>
      </c>
      <c r="F62" s="111">
        <f t="shared" ref="F62:O62" si="75">F61-E61</f>
        <v>8.3366666666663036E-2</v>
      </c>
      <c r="G62" s="111">
        <f t="shared" si="75"/>
        <v>8.3366666666663036E-2</v>
      </c>
      <c r="H62" s="111">
        <f t="shared" si="75"/>
        <v>8.3366666666663036E-2</v>
      </c>
      <c r="I62" s="111">
        <f t="shared" si="75"/>
        <v>8.3366666666663036E-2</v>
      </c>
      <c r="J62" s="111">
        <f t="shared" si="75"/>
        <v>8.3366666666663036E-2</v>
      </c>
      <c r="K62" s="111">
        <f t="shared" si="75"/>
        <v>8.3366666666663036E-2</v>
      </c>
      <c r="L62" s="111">
        <f t="shared" si="75"/>
        <v>8.3366666666663036E-2</v>
      </c>
      <c r="M62" s="111">
        <f t="shared" si="75"/>
        <v>8.3366666666663036E-2</v>
      </c>
      <c r="N62" s="111">
        <f t="shared" si="75"/>
        <v>8.3366666666663036E-2</v>
      </c>
      <c r="O62" s="111">
        <f t="shared" si="75"/>
        <v>-0.79366666666662411</v>
      </c>
    </row>
    <row r="64" spans="1:16" x14ac:dyDescent="0.2">
      <c r="D64" s="111">
        <f>D61+D62</f>
        <v>100.08336666666666</v>
      </c>
      <c r="E64" s="111">
        <f>E61/100</f>
        <v>1.0008336666666666</v>
      </c>
      <c r="F64" s="111">
        <f>F61/100</f>
        <v>1.0016673333333332</v>
      </c>
      <c r="G64" s="111">
        <f>G61/100</f>
        <v>1.0025009999999999</v>
      </c>
      <c r="H64" s="111">
        <f>H61/100</f>
        <v>1.0033346666666665</v>
      </c>
      <c r="I64" s="111">
        <f>I61/100</f>
        <v>1.0041683333333331</v>
      </c>
      <c r="J64" s="111">
        <f t="shared" ref="J64:O64" si="76">J61/100</f>
        <v>1.0050019999999997</v>
      </c>
      <c r="K64" s="111">
        <f t="shared" si="76"/>
        <v>1.0058356666666664</v>
      </c>
      <c r="L64" s="111">
        <f t="shared" si="76"/>
        <v>1.006669333333333</v>
      </c>
      <c r="M64" s="111">
        <f t="shared" si="76"/>
        <v>1.0075029999999996</v>
      </c>
      <c r="N64" s="111">
        <f t="shared" si="76"/>
        <v>1.0083366666666662</v>
      </c>
      <c r="O64" s="111">
        <f t="shared" si="76"/>
        <v>1.0004</v>
      </c>
    </row>
    <row r="67" spans="3:6" x14ac:dyDescent="0.2">
      <c r="C67" s="111" t="s">
        <v>21</v>
      </c>
      <c r="D67" s="111">
        <f>4%/12</f>
        <v>3.3333333333333335E-3</v>
      </c>
      <c r="E67" s="577">
        <f>E66+D67</f>
        <v>3.3333333333333335E-3</v>
      </c>
      <c r="F67" s="578">
        <f>E67+1</f>
        <v>1.0033333333333334</v>
      </c>
    </row>
    <row r="68" spans="3:6" x14ac:dyDescent="0.2">
      <c r="D68" s="111">
        <f>4%/12</f>
        <v>3.3333333333333335E-3</v>
      </c>
      <c r="E68" s="577">
        <f>E67+D68</f>
        <v>6.6666666666666671E-3</v>
      </c>
      <c r="F68" s="578">
        <f t="shared" ref="F68:F78" si="77">E68+1</f>
        <v>1.0066666666666666</v>
      </c>
    </row>
    <row r="69" spans="3:6" x14ac:dyDescent="0.2">
      <c r="D69" s="111">
        <f t="shared" ref="D69:D78" si="78">4%/12</f>
        <v>3.3333333333333335E-3</v>
      </c>
      <c r="E69" s="577">
        <f t="shared" ref="E69:E78" si="79">E68+D69</f>
        <v>0.01</v>
      </c>
      <c r="F69" s="578">
        <f t="shared" si="77"/>
        <v>1.01</v>
      </c>
    </row>
    <row r="70" spans="3:6" x14ac:dyDescent="0.2">
      <c r="D70" s="111">
        <f t="shared" si="78"/>
        <v>3.3333333333333335E-3</v>
      </c>
      <c r="E70" s="577">
        <f t="shared" si="79"/>
        <v>1.3333333333333334E-2</v>
      </c>
      <c r="F70" s="578">
        <f t="shared" si="77"/>
        <v>1.0133333333333334</v>
      </c>
    </row>
    <row r="71" spans="3:6" x14ac:dyDescent="0.2">
      <c r="D71" s="111">
        <f t="shared" si="78"/>
        <v>3.3333333333333335E-3</v>
      </c>
      <c r="E71" s="577">
        <f t="shared" si="79"/>
        <v>1.6666666666666666E-2</v>
      </c>
      <c r="F71" s="578">
        <f t="shared" si="77"/>
        <v>1.0166666666666666</v>
      </c>
    </row>
    <row r="72" spans="3:6" x14ac:dyDescent="0.2">
      <c r="D72" s="111">
        <f t="shared" si="78"/>
        <v>3.3333333333333335E-3</v>
      </c>
      <c r="E72" s="577">
        <f t="shared" si="79"/>
        <v>0.02</v>
      </c>
      <c r="F72" s="578">
        <f t="shared" si="77"/>
        <v>1.02</v>
      </c>
    </row>
    <row r="73" spans="3:6" x14ac:dyDescent="0.2">
      <c r="D73" s="111">
        <f t="shared" si="78"/>
        <v>3.3333333333333335E-3</v>
      </c>
      <c r="E73" s="577">
        <f t="shared" si="79"/>
        <v>2.3333333333333334E-2</v>
      </c>
      <c r="F73" s="578">
        <f t="shared" si="77"/>
        <v>1.0233333333333334</v>
      </c>
    </row>
    <row r="74" spans="3:6" x14ac:dyDescent="0.2">
      <c r="D74" s="111">
        <f t="shared" si="78"/>
        <v>3.3333333333333335E-3</v>
      </c>
      <c r="E74" s="577">
        <f t="shared" si="79"/>
        <v>2.6666666666666668E-2</v>
      </c>
      <c r="F74" s="578">
        <f t="shared" si="77"/>
        <v>1.0266666666666666</v>
      </c>
    </row>
    <row r="75" spans="3:6" x14ac:dyDescent="0.2">
      <c r="D75" s="111">
        <f t="shared" si="78"/>
        <v>3.3333333333333335E-3</v>
      </c>
      <c r="E75" s="577">
        <f t="shared" si="79"/>
        <v>3.0000000000000002E-2</v>
      </c>
      <c r="F75" s="578">
        <f t="shared" si="77"/>
        <v>1.03</v>
      </c>
    </row>
    <row r="76" spans="3:6" x14ac:dyDescent="0.2">
      <c r="D76" s="111">
        <f t="shared" si="78"/>
        <v>3.3333333333333335E-3</v>
      </c>
      <c r="E76" s="577">
        <f t="shared" si="79"/>
        <v>3.3333333333333333E-2</v>
      </c>
      <c r="F76" s="578">
        <f t="shared" si="77"/>
        <v>1.0333333333333334</v>
      </c>
    </row>
    <row r="77" spans="3:6" x14ac:dyDescent="0.2">
      <c r="D77" s="111">
        <f t="shared" si="78"/>
        <v>3.3333333333333335E-3</v>
      </c>
      <c r="E77" s="577">
        <f t="shared" si="79"/>
        <v>3.6666666666666667E-2</v>
      </c>
      <c r="F77" s="578">
        <f t="shared" si="77"/>
        <v>1.0366666666666666</v>
      </c>
    </row>
    <row r="78" spans="3:6" x14ac:dyDescent="0.2">
      <c r="D78" s="111">
        <f t="shared" si="78"/>
        <v>3.3333333333333335E-3</v>
      </c>
      <c r="E78" s="577">
        <f t="shared" si="79"/>
        <v>0.04</v>
      </c>
      <c r="F78" s="578">
        <f t="shared" si="77"/>
        <v>1.04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6</vt:i4>
      </vt:variant>
    </vt:vector>
  </HeadingPairs>
  <TitlesOfParts>
    <vt:vector size="23" baseType="lpstr">
      <vt:lpstr>caratula</vt:lpstr>
      <vt:lpstr>Información Macroeconómica</vt:lpstr>
      <vt:lpstr>Personal y KMS Recorridos</vt:lpstr>
      <vt:lpstr>Premisas Presupuesto 2014</vt:lpstr>
      <vt:lpstr>Edo.Res.detalle</vt:lpstr>
      <vt:lpstr>Gastos de Operación</vt:lpstr>
      <vt:lpstr>Vol e Ingresos 2014</vt:lpstr>
      <vt:lpstr>Presupuesto Otros</vt:lpstr>
      <vt:lpstr>Gtos Transp 2014</vt:lpstr>
      <vt:lpstr>Gtos Mtto 2014</vt:lpstr>
      <vt:lpstr>Gtos Transp 2014 (Otros)</vt:lpstr>
      <vt:lpstr>Gtos Mtto 2014 (Otros)</vt:lpstr>
      <vt:lpstr>Información Op. 2013</vt:lpstr>
      <vt:lpstr>Costo op 2013</vt:lpstr>
      <vt:lpstr>Cat. cuentas</vt:lpstr>
      <vt:lpstr>Depreciación 2013</vt:lpstr>
      <vt:lpstr>Hoja1</vt:lpstr>
      <vt:lpstr>'Costo op 2013'!Área_de_impresión</vt:lpstr>
      <vt:lpstr>Edo.Res.detalle!Área_de_impresión</vt:lpstr>
      <vt:lpstr>'Gastos de Operación'!Área_de_impresión</vt:lpstr>
      <vt:lpstr>'Costo op 2013'!IncrementoTarifa</vt:lpstr>
      <vt:lpstr>IncrementoTarifa</vt:lpstr>
      <vt:lpstr>Edo.Res.detalle!MESACUMULADO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2013 DE TRANSPORTES BONAMPAK, S.A. DE C.V.</dc:title>
  <dc:subject>ESTADO DE RESULTADOS Y FLUJO DE CAJA DEL PRESUPUESTO DE 1996</dc:subject>
  <dc:creator>Guillermo Rodríguez Zepeda</dc:creator>
  <cp:lastModifiedBy>Guillermo</cp:lastModifiedBy>
  <cp:lastPrinted>2014-01-15T04:01:13Z</cp:lastPrinted>
  <dcterms:created xsi:type="dcterms:W3CDTF">1998-08-07T17:50:33Z</dcterms:created>
  <dcterms:modified xsi:type="dcterms:W3CDTF">2014-06-09T04:40:01Z</dcterms:modified>
</cp:coreProperties>
</file>