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3.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ra.muhd\Desktop\Work Files Updated\COTS - CIM Export &amp; Import Management System\Workshop Documents\Compliance\Insurance Reports\"/>
    </mc:Choice>
  </mc:AlternateContent>
  <xr:revisionPtr revIDLastSave="0" documentId="8_{B065567C-BA42-4635-B094-52F7843EBE6D}" xr6:coauthVersionLast="47" xr6:coauthVersionMax="47" xr10:uidLastSave="{00000000-0000-0000-0000-000000000000}"/>
  <bookViews>
    <workbookView xWindow="-120" yWindow="-120" windowWidth="20730" windowHeight="11040" tabRatio="812" firstSheet="3" activeTab="3" xr2:uid="{863BDAF4-61A3-4DF8-8D89-D2D4196E17D0}"/>
  </bookViews>
  <sheets>
    <sheet name="Sheet1" sheetId="5" state="hidden" r:id="rId1"/>
    <sheet name="Sheet4" sheetId="6" state="hidden" r:id="rId2"/>
    <sheet name="Sheet5" sheetId="7" state="hidden" r:id="rId3"/>
    <sheet name="Summary" sheetId="1" r:id="rId4"/>
    <sheet name="BL NCs" sheetId="20" r:id="rId5"/>
    <sheet name="Working" sheetId="3" r:id="rId6"/>
    <sheet name="Dashboard" sheetId="17" r:id="rId7"/>
    <sheet name="Import Shipment Details" sheetId="18" state="hidden" r:id="rId8"/>
    <sheet name="Working Sheet-Need" sheetId="15" state="hidden" r:id="rId9"/>
    <sheet name="Dashboard-" sheetId="11" state="hidden" r:id="rId10"/>
    <sheet name="Sheet6" sheetId="13" state="hidden" r:id="rId11"/>
    <sheet name="Sheet2" sheetId="2" state="hidden" r:id="rId12"/>
  </sheets>
  <definedNames>
    <definedName name="_xlnm._FilterDatabase" localSheetId="4" hidden="1">'BL NCs'!$A$2:$CD$78</definedName>
    <definedName name="_xlnm._FilterDatabase" localSheetId="3" hidden="1">Summary!$A$1:$AV$77</definedName>
    <definedName name="_xlcn.WorksheetConnection_SummaryA1AP1431" hidden="1">Summary!$A$1:$AV$77</definedName>
    <definedName name="NativeTimeline_Date">#N/A</definedName>
    <definedName name="Slicer_Period_Type">#N/A</definedName>
    <definedName name="Slicer_Period_Type1">#N/A</definedName>
    <definedName name="Slicer_Status">#N/A</definedName>
    <definedName name="Slicer_Status1">#N/A</definedName>
    <definedName name="Slicer_Type">#N/A</definedName>
    <definedName name="Slicer_Type1">#N/A</definedName>
    <definedName name="Timeline_Date">#N/A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876F7934-8845-4945-9796-88D515C7AA90}">
      <x14:pivotCaches>
        <pivotCache cacheId="8"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mmary - !$A$1:$AP$14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7" i="20" l="1"/>
  <c r="U78" i="20"/>
  <c r="AB77" i="20"/>
  <c r="U76" i="20"/>
  <c r="AK76" i="20"/>
  <c r="AK77" i="20"/>
  <c r="AK78" i="20"/>
  <c r="AF76" i="20"/>
  <c r="AG76" i="20"/>
  <c r="AF77" i="20"/>
  <c r="AG77" i="20"/>
  <c r="AF78" i="20"/>
  <c r="AG78" i="20"/>
  <c r="AA75" i="20"/>
  <c r="Y75" i="20"/>
  <c r="Y76" i="20"/>
  <c r="AA76" i="20" s="1"/>
  <c r="Y77" i="20"/>
  <c r="AA77" i="20" s="1"/>
  <c r="Y78" i="20"/>
  <c r="AA78" i="20" s="1"/>
  <c r="X77" i="20"/>
  <c r="X78" i="20"/>
  <c r="K64" i="20"/>
  <c r="AM76" i="20" l="1"/>
  <c r="AN76" i="20" s="1"/>
  <c r="AM77" i="20"/>
  <c r="AN77" i="20" s="1"/>
  <c r="AM78" i="20"/>
  <c r="AN78" i="20" s="1"/>
  <c r="K76" i="20"/>
  <c r="K77" i="20"/>
  <c r="M76" i="1" s="1"/>
  <c r="AD76" i="1" s="1"/>
  <c r="K78" i="20"/>
  <c r="M77" i="1" s="1"/>
  <c r="AD77" i="1" s="1"/>
  <c r="AB76" i="20"/>
  <c r="X76" i="20"/>
  <c r="J76" i="20"/>
  <c r="AA75" i="1"/>
  <c r="R75" i="1"/>
  <c r="L75" i="1"/>
  <c r="D75" i="1"/>
  <c r="C75" i="1"/>
  <c r="C76" i="1"/>
  <c r="D76" i="1"/>
  <c r="R76" i="1"/>
  <c r="AA76" i="1"/>
  <c r="C77" i="1"/>
  <c r="D77" i="1"/>
  <c r="R77" i="1"/>
  <c r="AA77" i="1"/>
  <c r="AB78" i="20"/>
  <c r="M75" i="1"/>
  <c r="BZ75" i="20"/>
  <c r="BY75" i="20"/>
  <c r="AK75" i="20"/>
  <c r="AG75" i="20"/>
  <c r="AF75" i="20"/>
  <c r="AB75" i="20"/>
  <c r="X75" i="20"/>
  <c r="U75" i="20"/>
  <c r="K75" i="20"/>
  <c r="BK75" i="20" s="1"/>
  <c r="AA74" i="1"/>
  <c r="R74" i="1"/>
  <c r="D74" i="1"/>
  <c r="C74" i="1"/>
  <c r="K4" i="20"/>
  <c r="BH4" i="20" s="1"/>
  <c r="K5" i="20"/>
  <c r="BH5" i="20" s="1"/>
  <c r="K6" i="20"/>
  <c r="BH6" i="20" s="1"/>
  <c r="K7" i="20"/>
  <c r="BH7" i="20" s="1"/>
  <c r="K8" i="20"/>
  <c r="BH8" i="20" s="1"/>
  <c r="K9" i="20"/>
  <c r="BH9" i="20" s="1"/>
  <c r="K10" i="20"/>
  <c r="BH10" i="20" s="1"/>
  <c r="K11" i="20"/>
  <c r="BH11" i="20" s="1"/>
  <c r="K12" i="20"/>
  <c r="K13" i="20"/>
  <c r="K14" i="20"/>
  <c r="K15" i="20"/>
  <c r="BH15" i="20" s="1"/>
  <c r="K16" i="20"/>
  <c r="BH16" i="20" s="1"/>
  <c r="K17" i="20"/>
  <c r="BH17" i="20" s="1"/>
  <c r="K18" i="20"/>
  <c r="BH18" i="20" s="1"/>
  <c r="BX18" i="20" s="1"/>
  <c r="K19" i="20"/>
  <c r="BH19" i="20" s="1"/>
  <c r="K20" i="20"/>
  <c r="BH20" i="20" s="1"/>
  <c r="K21" i="20"/>
  <c r="BH21" i="20" s="1"/>
  <c r="K22" i="20"/>
  <c r="BH22" i="20" s="1"/>
  <c r="K23" i="20"/>
  <c r="BH23" i="20" s="1"/>
  <c r="K24" i="20"/>
  <c r="BH24" i="20" s="1"/>
  <c r="K25" i="20"/>
  <c r="BH25" i="20" s="1"/>
  <c r="K26" i="20"/>
  <c r="BH26" i="20" s="1"/>
  <c r="K27" i="20"/>
  <c r="BH27" i="20" s="1"/>
  <c r="K28" i="20"/>
  <c r="BH28" i="20" s="1"/>
  <c r="K30" i="20"/>
  <c r="K31" i="20"/>
  <c r="K32" i="20"/>
  <c r="BH32" i="20" s="1"/>
  <c r="K33" i="20"/>
  <c r="BH33" i="20" s="1"/>
  <c r="K34" i="20"/>
  <c r="BH34" i="20" s="1"/>
  <c r="K35" i="20"/>
  <c r="BH35" i="20" s="1"/>
  <c r="K36" i="20"/>
  <c r="BH36" i="20" s="1"/>
  <c r="K37" i="20"/>
  <c r="BH37" i="20" s="1"/>
  <c r="K38" i="20"/>
  <c r="K39" i="20"/>
  <c r="K41" i="20"/>
  <c r="BH41" i="20" s="1"/>
  <c r="K42" i="20"/>
  <c r="BH42" i="20" s="1"/>
  <c r="K43" i="20"/>
  <c r="BH43" i="20" s="1"/>
  <c r="K44" i="20"/>
  <c r="K45" i="20"/>
  <c r="BH45" i="20" s="1"/>
  <c r="K46" i="20"/>
  <c r="BH46" i="20" s="1"/>
  <c r="K47" i="20"/>
  <c r="BH47" i="20" s="1"/>
  <c r="K48" i="20"/>
  <c r="BH48" i="20" s="1"/>
  <c r="K49" i="20"/>
  <c r="BH49" i="20" s="1"/>
  <c r="K50" i="20"/>
  <c r="BH50" i="20" s="1"/>
  <c r="K51" i="20"/>
  <c r="BH51" i="20" s="1"/>
  <c r="K52" i="20"/>
  <c r="BH52" i="20" s="1"/>
  <c r="K53" i="20"/>
  <c r="BH53" i="20" s="1"/>
  <c r="K54" i="20"/>
  <c r="BH54" i="20" s="1"/>
  <c r="K55" i="20"/>
  <c r="BH55" i="20" s="1"/>
  <c r="K56" i="20"/>
  <c r="BH56" i="20" s="1"/>
  <c r="K57" i="20"/>
  <c r="BH57" i="20" s="1"/>
  <c r="K58" i="20"/>
  <c r="BH58" i="20" s="1"/>
  <c r="K59" i="20"/>
  <c r="BH59" i="20" s="1"/>
  <c r="K61" i="20"/>
  <c r="BH61" i="20" s="1"/>
  <c r="K62" i="20"/>
  <c r="BH62" i="20" s="1"/>
  <c r="K63" i="20"/>
  <c r="BH63" i="20" s="1"/>
  <c r="BH64" i="20"/>
  <c r="K65" i="20"/>
  <c r="BH65" i="20" s="1"/>
  <c r="K66" i="20"/>
  <c r="BH66" i="20" s="1"/>
  <c r="K67" i="20"/>
  <c r="BH67" i="20" s="1"/>
  <c r="K68" i="20"/>
  <c r="BH68" i="20" s="1"/>
  <c r="K69" i="20"/>
  <c r="BH69" i="20" s="1"/>
  <c r="K70" i="20"/>
  <c r="BH70" i="20" s="1"/>
  <c r="K71" i="20"/>
  <c r="BH71" i="20" s="1"/>
  <c r="K72" i="20"/>
  <c r="BH72" i="20" s="1"/>
  <c r="K73" i="20"/>
  <c r="BH73" i="20" s="1"/>
  <c r="K74" i="20"/>
  <c r="BH74" i="20" s="1"/>
  <c r="K3" i="20"/>
  <c r="BH3" i="20" s="1"/>
  <c r="Y11" i="20"/>
  <c r="AA11" i="20" s="1"/>
  <c r="Y12" i="20"/>
  <c r="AA12" i="20" s="1"/>
  <c r="Y13" i="20"/>
  <c r="AA13" i="20" s="1"/>
  <c r="Y14" i="20"/>
  <c r="Y15" i="20"/>
  <c r="Y16" i="20"/>
  <c r="AA16" i="20" s="1"/>
  <c r="Y17" i="20"/>
  <c r="AA17" i="20" s="1"/>
  <c r="Y18" i="20"/>
  <c r="AA18" i="20" s="1"/>
  <c r="Y19" i="20"/>
  <c r="AA19" i="20" s="1"/>
  <c r="Y20" i="20"/>
  <c r="Y21" i="20"/>
  <c r="AA21" i="20" s="1"/>
  <c r="Y22" i="20"/>
  <c r="Y23" i="20"/>
  <c r="Y24" i="20"/>
  <c r="AA24" i="20" s="1"/>
  <c r="Y25" i="20"/>
  <c r="AA25" i="20" s="1"/>
  <c r="Y26" i="20"/>
  <c r="AA26" i="20" s="1"/>
  <c r="Y27" i="20"/>
  <c r="AA27" i="20" s="1"/>
  <c r="Y28" i="20"/>
  <c r="AA28" i="20" s="1"/>
  <c r="Y30" i="20"/>
  <c r="AA30" i="20" s="1"/>
  <c r="Y31" i="20"/>
  <c r="AA31" i="20" s="1"/>
  <c r="Y32" i="20"/>
  <c r="Y33" i="20"/>
  <c r="AA33" i="20" s="1"/>
  <c r="Y34" i="20"/>
  <c r="AA34" i="20" s="1"/>
  <c r="Y35" i="20"/>
  <c r="AA35" i="20" s="1"/>
  <c r="Y36" i="20"/>
  <c r="AA36" i="20" s="1"/>
  <c r="Y37" i="20"/>
  <c r="AA37" i="20" s="1"/>
  <c r="Y38" i="20"/>
  <c r="AA38" i="20" s="1"/>
  <c r="Y39" i="20"/>
  <c r="AA39" i="20" s="1"/>
  <c r="Y41" i="20"/>
  <c r="Y42" i="20"/>
  <c r="AA42" i="20" s="1"/>
  <c r="Y43" i="20"/>
  <c r="AA43" i="20" s="1"/>
  <c r="Y44" i="20"/>
  <c r="AA44" i="20" s="1"/>
  <c r="Y45" i="20"/>
  <c r="AA45" i="20" s="1"/>
  <c r="Y46" i="20"/>
  <c r="AA46" i="20" s="1"/>
  <c r="Y47" i="20"/>
  <c r="AA47" i="20" s="1"/>
  <c r="Y48" i="20"/>
  <c r="Y49" i="20"/>
  <c r="Y50" i="20"/>
  <c r="AA50" i="20" s="1"/>
  <c r="Y51" i="20"/>
  <c r="AA51" i="20" s="1"/>
  <c r="Y52" i="20"/>
  <c r="AA52" i="20" s="1"/>
  <c r="Y53" i="20"/>
  <c r="AA53" i="20" s="1"/>
  <c r="Y54" i="20"/>
  <c r="AA54" i="20" s="1"/>
  <c r="Y55" i="20"/>
  <c r="AA55" i="20" s="1"/>
  <c r="Y56" i="20"/>
  <c r="Y57" i="20"/>
  <c r="Y58" i="20"/>
  <c r="AA58" i="20" s="1"/>
  <c r="Y59" i="20"/>
  <c r="AA59" i="20" s="1"/>
  <c r="Y61" i="20"/>
  <c r="AA61" i="20" s="1"/>
  <c r="Y62" i="20"/>
  <c r="AA62" i="20" s="1"/>
  <c r="Y63" i="20"/>
  <c r="Y64" i="20"/>
  <c r="AA64" i="20" s="1"/>
  <c r="Y65" i="20"/>
  <c r="AA65" i="20" s="1"/>
  <c r="Y66" i="20"/>
  <c r="AA66" i="20" s="1"/>
  <c r="Y67" i="20"/>
  <c r="AA67" i="20" s="1"/>
  <c r="Y68" i="20"/>
  <c r="AA68" i="20" s="1"/>
  <c r="Y69" i="20"/>
  <c r="AA69" i="20" s="1"/>
  <c r="Y70" i="20"/>
  <c r="AA70" i="20" s="1"/>
  <c r="Y71" i="20"/>
  <c r="AA71" i="20" s="1"/>
  <c r="Y72" i="20"/>
  <c r="AA72" i="20" s="1"/>
  <c r="Y73" i="20"/>
  <c r="Y74" i="20"/>
  <c r="AA74" i="20" s="1"/>
  <c r="Y4" i="20"/>
  <c r="AA4" i="20" s="1"/>
  <c r="Y5" i="20"/>
  <c r="AA5" i="20" s="1"/>
  <c r="Y6" i="20"/>
  <c r="AA6" i="20" s="1"/>
  <c r="Y7" i="20"/>
  <c r="AA7" i="20" s="1"/>
  <c r="Y8" i="20"/>
  <c r="AA8" i="20" s="1"/>
  <c r="Y9" i="20"/>
  <c r="AA9" i="20" s="1"/>
  <c r="Y10" i="20"/>
  <c r="AA10" i="20" s="1"/>
  <c r="Y3" i="20"/>
  <c r="AA3" i="20" s="1"/>
  <c r="AB45" i="20"/>
  <c r="AB46" i="20"/>
  <c r="AB47" i="20"/>
  <c r="AB48" i="20"/>
  <c r="AB49" i="20"/>
  <c r="AB50" i="20"/>
  <c r="AB51" i="20"/>
  <c r="AB52" i="20"/>
  <c r="AB53" i="20"/>
  <c r="AB54" i="20"/>
  <c r="AB55" i="20"/>
  <c r="AB56" i="20"/>
  <c r="AB57" i="20"/>
  <c r="AB58" i="20"/>
  <c r="AB59" i="20"/>
  <c r="AD59" i="20" s="1"/>
  <c r="AF59" i="20" s="1"/>
  <c r="AB60" i="20"/>
  <c r="AB61" i="20"/>
  <c r="AB62" i="20"/>
  <c r="AB63" i="20"/>
  <c r="AB64" i="20"/>
  <c r="AB65" i="20"/>
  <c r="AB66" i="20"/>
  <c r="AB67" i="20"/>
  <c r="AB68" i="20"/>
  <c r="AB69" i="20"/>
  <c r="AB70" i="20"/>
  <c r="AB71" i="20"/>
  <c r="AB72" i="20"/>
  <c r="AB73" i="20"/>
  <c r="AB74" i="20"/>
  <c r="AB3" i="20"/>
  <c r="AB4" i="20"/>
  <c r="AB5" i="20"/>
  <c r="AB6" i="20"/>
  <c r="AB7" i="20"/>
  <c r="AB8" i="20"/>
  <c r="AB9" i="20"/>
  <c r="AB10" i="20"/>
  <c r="AB11" i="20"/>
  <c r="AB12" i="20"/>
  <c r="AB13" i="20"/>
  <c r="AB14" i="20"/>
  <c r="AB15" i="20"/>
  <c r="AB16" i="20"/>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X4" i="20"/>
  <c r="X5" i="20"/>
  <c r="X6" i="20"/>
  <c r="X7" i="20"/>
  <c r="X8" i="20"/>
  <c r="X9" i="20"/>
  <c r="X10" i="20"/>
  <c r="X11" i="20"/>
  <c r="X12" i="20"/>
  <c r="X13" i="20"/>
  <c r="X14" i="20"/>
  <c r="X15" i="20"/>
  <c r="X16" i="20"/>
  <c r="X17" i="20"/>
  <c r="X18" i="20"/>
  <c r="X19" i="20"/>
  <c r="X20" i="20"/>
  <c r="X21" i="20"/>
  <c r="X22" i="20"/>
  <c r="X23" i="20"/>
  <c r="X24" i="20"/>
  <c r="X25" i="20"/>
  <c r="X26" i="20"/>
  <c r="X27" i="20"/>
  <c r="X28" i="20"/>
  <c r="X29" i="20"/>
  <c r="X30" i="20"/>
  <c r="X31" i="20"/>
  <c r="X32" i="20"/>
  <c r="X33" i="20"/>
  <c r="X34" i="20"/>
  <c r="X35" i="20"/>
  <c r="X36" i="20"/>
  <c r="X37" i="20"/>
  <c r="X38" i="20"/>
  <c r="X39" i="20"/>
  <c r="X40" i="20"/>
  <c r="X41" i="20"/>
  <c r="X42" i="20"/>
  <c r="X43" i="20"/>
  <c r="X44" i="20"/>
  <c r="X45" i="20"/>
  <c r="X46" i="20"/>
  <c r="X47" i="20"/>
  <c r="X48" i="20"/>
  <c r="X49" i="20"/>
  <c r="X50" i="20"/>
  <c r="X51" i="20"/>
  <c r="X52" i="20"/>
  <c r="X53" i="20"/>
  <c r="X54" i="20"/>
  <c r="X55" i="20"/>
  <c r="X56" i="20"/>
  <c r="X57" i="20"/>
  <c r="X58" i="20"/>
  <c r="X59" i="20"/>
  <c r="X60" i="20"/>
  <c r="X61" i="20"/>
  <c r="X62" i="20"/>
  <c r="X63" i="20"/>
  <c r="X64" i="20"/>
  <c r="X65" i="20"/>
  <c r="X66" i="20"/>
  <c r="X67" i="20"/>
  <c r="X68" i="20"/>
  <c r="X69" i="20"/>
  <c r="X70" i="20"/>
  <c r="X71" i="20"/>
  <c r="X72" i="20"/>
  <c r="X73" i="20"/>
  <c r="X74" i="20"/>
  <c r="X3" i="20"/>
  <c r="AQ3" i="1"/>
  <c r="AM3" i="20"/>
  <c r="AS58" i="1"/>
  <c r="AF60" i="20"/>
  <c r="AF61" i="20"/>
  <c r="AF62" i="20"/>
  <c r="AF63" i="20"/>
  <c r="AF64" i="20"/>
  <c r="AF65" i="20"/>
  <c r="AF66" i="20"/>
  <c r="AF67" i="20"/>
  <c r="AF68" i="20"/>
  <c r="AF69" i="20"/>
  <c r="AF70" i="20"/>
  <c r="AF71" i="20"/>
  <c r="AF72" i="20"/>
  <c r="AF73" i="20"/>
  <c r="AF74" i="20"/>
  <c r="AF4" i="20"/>
  <c r="AF7" i="20"/>
  <c r="AF8" i="20"/>
  <c r="AF9" i="20"/>
  <c r="AF10" i="20"/>
  <c r="AF11" i="20"/>
  <c r="AF12" i="20"/>
  <c r="AF13" i="20"/>
  <c r="AF14" i="20"/>
  <c r="AF15" i="20"/>
  <c r="AF16" i="20"/>
  <c r="AF17" i="20"/>
  <c r="AF18" i="20"/>
  <c r="AF19" i="20"/>
  <c r="AF20" i="20"/>
  <c r="AF21" i="20"/>
  <c r="AF22" i="20"/>
  <c r="AF23" i="20"/>
  <c r="AF24" i="20"/>
  <c r="AF25" i="20"/>
  <c r="AF26" i="20"/>
  <c r="AF27" i="20"/>
  <c r="AF28" i="20"/>
  <c r="AF29" i="20"/>
  <c r="AF30" i="20"/>
  <c r="AF31" i="20"/>
  <c r="AF32" i="20"/>
  <c r="AF33" i="20"/>
  <c r="AF34" i="20"/>
  <c r="AF35" i="20"/>
  <c r="AF36" i="20"/>
  <c r="AF37" i="20"/>
  <c r="AF38" i="20"/>
  <c r="AF39" i="20"/>
  <c r="AF40" i="20"/>
  <c r="AF41" i="20"/>
  <c r="AF42" i="20"/>
  <c r="AF43" i="20"/>
  <c r="AF44" i="20"/>
  <c r="AF45" i="20"/>
  <c r="AF46" i="20"/>
  <c r="AF47" i="20"/>
  <c r="AF48" i="20"/>
  <c r="AF49" i="20"/>
  <c r="AF50" i="20"/>
  <c r="AF51" i="20"/>
  <c r="AF52" i="20"/>
  <c r="AF53" i="20"/>
  <c r="AF54" i="20"/>
  <c r="AF55" i="20"/>
  <c r="AF56" i="20"/>
  <c r="AF57" i="20"/>
  <c r="AF58" i="20"/>
  <c r="Z6" i="1"/>
  <c r="AY15" i="20"/>
  <c r="AY59" i="20"/>
  <c r="AY12" i="20"/>
  <c r="AY13" i="20"/>
  <c r="BJ18" i="20"/>
  <c r="BH14" i="20"/>
  <c r="BH30" i="20"/>
  <c r="BH31" i="20"/>
  <c r="BH38" i="20"/>
  <c r="BH39" i="20"/>
  <c r="BH44" i="20"/>
  <c r="U3" i="20"/>
  <c r="AG4" i="20"/>
  <c r="AG5" i="20"/>
  <c r="AG6" i="20"/>
  <c r="AG7" i="20"/>
  <c r="AG8" i="20"/>
  <c r="AG9" i="20"/>
  <c r="AG10" i="20"/>
  <c r="AG11" i="20"/>
  <c r="AG12" i="20"/>
  <c r="AG13" i="20"/>
  <c r="AG14" i="20"/>
  <c r="AG15" i="20"/>
  <c r="AG16" i="20"/>
  <c r="AG17" i="20"/>
  <c r="AG18" i="20"/>
  <c r="AG19" i="20"/>
  <c r="AG20" i="20"/>
  <c r="AG21" i="20"/>
  <c r="AG22" i="20"/>
  <c r="AG23" i="20"/>
  <c r="AG24" i="20"/>
  <c r="AG25" i="20"/>
  <c r="AG26" i="20"/>
  <c r="AG27" i="20"/>
  <c r="AG28" i="20"/>
  <c r="AG29" i="20"/>
  <c r="AG30" i="20"/>
  <c r="AG31" i="20"/>
  <c r="AG32" i="20"/>
  <c r="AG33" i="20"/>
  <c r="AG34" i="20"/>
  <c r="AG35" i="20"/>
  <c r="AG36" i="20"/>
  <c r="AG37" i="20"/>
  <c r="AG38" i="20"/>
  <c r="AG39" i="20"/>
  <c r="AG40" i="20"/>
  <c r="AG41" i="20"/>
  <c r="AG42" i="20"/>
  <c r="AG43" i="20"/>
  <c r="AG44" i="20"/>
  <c r="AG45" i="20"/>
  <c r="AG46" i="20"/>
  <c r="AG47" i="20"/>
  <c r="AG48" i="20"/>
  <c r="AG49" i="20"/>
  <c r="AG50" i="20"/>
  <c r="AG51" i="20"/>
  <c r="AG52" i="20"/>
  <c r="AG53" i="20"/>
  <c r="AG54" i="20"/>
  <c r="AG55" i="20"/>
  <c r="AG56" i="20"/>
  <c r="AG57" i="20"/>
  <c r="AG58" i="20"/>
  <c r="AG59" i="20"/>
  <c r="AG60" i="20"/>
  <c r="AG61" i="20"/>
  <c r="AG62" i="20"/>
  <c r="AG63" i="20"/>
  <c r="AG64" i="20"/>
  <c r="AG65" i="20"/>
  <c r="AG66" i="20"/>
  <c r="AG67" i="20"/>
  <c r="AG68" i="20"/>
  <c r="AG69" i="20"/>
  <c r="AG70" i="20"/>
  <c r="AG71" i="20"/>
  <c r="AG72" i="20"/>
  <c r="AG73" i="20"/>
  <c r="AG74" i="20"/>
  <c r="AG3" i="20"/>
  <c r="AM5" i="20"/>
  <c r="AM6" i="20"/>
  <c r="AK59" i="20"/>
  <c r="AA14" i="20"/>
  <c r="AA15" i="20"/>
  <c r="AA20" i="20"/>
  <c r="AA22" i="20"/>
  <c r="AA23" i="20"/>
  <c r="AA32" i="20"/>
  <c r="AA41" i="20"/>
  <c r="AA48" i="20"/>
  <c r="AA49" i="20"/>
  <c r="AA56" i="20"/>
  <c r="AA57" i="20"/>
  <c r="AA63" i="20"/>
  <c r="AA73" i="20"/>
  <c r="AK22" i="20"/>
  <c r="AK23" i="20"/>
  <c r="AK24" i="20"/>
  <c r="AK25" i="20"/>
  <c r="AK26" i="20"/>
  <c r="AK27" i="20"/>
  <c r="AK28" i="20"/>
  <c r="AK29" i="20"/>
  <c r="AK30" i="20"/>
  <c r="AK31" i="20"/>
  <c r="AK32" i="20"/>
  <c r="AK33" i="20"/>
  <c r="AK34" i="20"/>
  <c r="AK35" i="20"/>
  <c r="AK36" i="20"/>
  <c r="AK37" i="20"/>
  <c r="AK38" i="20"/>
  <c r="AK39" i="20"/>
  <c r="AK40" i="20"/>
  <c r="AK41" i="20"/>
  <c r="AK42" i="20"/>
  <c r="AK43" i="20"/>
  <c r="AK44" i="20"/>
  <c r="AK45" i="20"/>
  <c r="AK46" i="20"/>
  <c r="AK47" i="20"/>
  <c r="AK48" i="20"/>
  <c r="AK49" i="20"/>
  <c r="AK50" i="20"/>
  <c r="AK51" i="20"/>
  <c r="AK52" i="20"/>
  <c r="AK53" i="20"/>
  <c r="AK54" i="20"/>
  <c r="AK55" i="20"/>
  <c r="AK56" i="20"/>
  <c r="AK57" i="20"/>
  <c r="AK58" i="20"/>
  <c r="AK60" i="20"/>
  <c r="AK61" i="20"/>
  <c r="AK62" i="20"/>
  <c r="AK63" i="20"/>
  <c r="AK64" i="20"/>
  <c r="AK65" i="20"/>
  <c r="AK66" i="20"/>
  <c r="AK67" i="20"/>
  <c r="AK68" i="20"/>
  <c r="AK69" i="20"/>
  <c r="AK70" i="20"/>
  <c r="AK71" i="20"/>
  <c r="AK72" i="20"/>
  <c r="AK73" i="20"/>
  <c r="AK74" i="20"/>
  <c r="AK4" i="20"/>
  <c r="AK7" i="20"/>
  <c r="AK8" i="20"/>
  <c r="AK9" i="20"/>
  <c r="AK10" i="20"/>
  <c r="AK11" i="20"/>
  <c r="AK12" i="20"/>
  <c r="AK13" i="20"/>
  <c r="AK14" i="20"/>
  <c r="AK15" i="20"/>
  <c r="AK16" i="20"/>
  <c r="AK17" i="20"/>
  <c r="AK18" i="20"/>
  <c r="AK19" i="20"/>
  <c r="AK20" i="20"/>
  <c r="AK21" i="20"/>
  <c r="M74" i="1" l="1"/>
  <c r="Z74" i="1" s="1"/>
  <c r="AQ74" i="1" s="1"/>
  <c r="AT74" i="1" s="1"/>
  <c r="AD75" i="1"/>
  <c r="Z75" i="1"/>
  <c r="Z77" i="1"/>
  <c r="Z76" i="1"/>
  <c r="AB77" i="1"/>
  <c r="AB75" i="1"/>
  <c r="AB76" i="1"/>
  <c r="BG75" i="20"/>
  <c r="BH75" i="20" s="1"/>
  <c r="BI75" i="20" s="1"/>
  <c r="AM75" i="20"/>
  <c r="AN75" i="20" s="1"/>
  <c r="AM15" i="20"/>
  <c r="AN15" i="20" s="1"/>
  <c r="AZ15" i="20" s="1"/>
  <c r="AM52" i="20"/>
  <c r="AN52" i="20" s="1"/>
  <c r="AM44" i="20"/>
  <c r="AN44" i="20" s="1"/>
  <c r="AM36" i="20"/>
  <c r="AM28" i="20"/>
  <c r="AN28" i="20" s="1"/>
  <c r="AM72" i="20"/>
  <c r="AN72" i="20" s="1"/>
  <c r="AN3" i="20"/>
  <c r="AM64" i="20"/>
  <c r="AN64" i="20" s="1"/>
  <c r="AM59" i="20"/>
  <c r="AN59" i="20" s="1"/>
  <c r="AZ59" i="20" s="1"/>
  <c r="AN36" i="20"/>
  <c r="AN6" i="20"/>
  <c r="AN5" i="20"/>
  <c r="AM66" i="20"/>
  <c r="AN66" i="20" s="1"/>
  <c r="AM68" i="20"/>
  <c r="AN68" i="20" s="1"/>
  <c r="AM60" i="20"/>
  <c r="AM16" i="20"/>
  <c r="AN16" i="20" s="1"/>
  <c r="AM42" i="20"/>
  <c r="AN42" i="20" s="1"/>
  <c r="AM53" i="20"/>
  <c r="AN53" i="20" s="1"/>
  <c r="AM29" i="20"/>
  <c r="AM46" i="20"/>
  <c r="AN46" i="20" s="1"/>
  <c r="AM62" i="20"/>
  <c r="AN62" i="20" s="1"/>
  <c r="AM69" i="20"/>
  <c r="AN69" i="20" s="1"/>
  <c r="AM61" i="20"/>
  <c r="AN61" i="20" s="1"/>
  <c r="AM22" i="20"/>
  <c r="AN22" i="20" s="1"/>
  <c r="AM45" i="20"/>
  <c r="AN45" i="20" s="1"/>
  <c r="AM37" i="20"/>
  <c r="AN37" i="20" s="1"/>
  <c r="AM38" i="20"/>
  <c r="AN38" i="20" s="1"/>
  <c r="AM54" i="20"/>
  <c r="AN54" i="20" s="1"/>
  <c r="AM70" i="20"/>
  <c r="AN70" i="20" s="1"/>
  <c r="AM21" i="20"/>
  <c r="AN21" i="20" s="1"/>
  <c r="AM58" i="20"/>
  <c r="AN58" i="20" s="1"/>
  <c r="AM50" i="20"/>
  <c r="AN50" i="20" s="1"/>
  <c r="AM26" i="20"/>
  <c r="AN26" i="20" s="1"/>
  <c r="AM9" i="20"/>
  <c r="AN9" i="20" s="1"/>
  <c r="AM17" i="20"/>
  <c r="AN17" i="20" s="1"/>
  <c r="AM25" i="20"/>
  <c r="AN25" i="20" s="1"/>
  <c r="AM33" i="20"/>
  <c r="AN33" i="20" s="1"/>
  <c r="AM41" i="20"/>
  <c r="AN41" i="20" s="1"/>
  <c r="AM49" i="20"/>
  <c r="AN49" i="20" s="1"/>
  <c r="AM74" i="20"/>
  <c r="AN74" i="20" s="1"/>
  <c r="AM18" i="20"/>
  <c r="AN18" i="20" s="1"/>
  <c r="AM10" i="20"/>
  <c r="AN10" i="20" s="1"/>
  <c r="AM34" i="20"/>
  <c r="AN34" i="20" s="1"/>
  <c r="AM57" i="20"/>
  <c r="AN57" i="20" s="1"/>
  <c r="AM55" i="20"/>
  <c r="AN55" i="20" s="1"/>
  <c r="AM39" i="20"/>
  <c r="AN39" i="20" s="1"/>
  <c r="AM11" i="20"/>
  <c r="AN11" i="20" s="1"/>
  <c r="AM19" i="20"/>
  <c r="AN19" i="20" s="1"/>
  <c r="AM31" i="20"/>
  <c r="AN31" i="20" s="1"/>
  <c r="AM71" i="20"/>
  <c r="AN71" i="20" s="1"/>
  <c r="AM63" i="20"/>
  <c r="AN63" i="20" s="1"/>
  <c r="AM30" i="20"/>
  <c r="AN30" i="20" s="1"/>
  <c r="AM12" i="20"/>
  <c r="AM47" i="20"/>
  <c r="AN47" i="20" s="1"/>
  <c r="AM23" i="20"/>
  <c r="AN23" i="20" s="1"/>
  <c r="AM13" i="20"/>
  <c r="AN13" i="20" s="1"/>
  <c r="AZ13" i="20" s="1"/>
  <c r="AM4" i="20"/>
  <c r="AN4" i="20" s="1"/>
  <c r="AM14" i="20"/>
  <c r="AN14" i="20" s="1"/>
  <c r="AM7" i="20"/>
  <c r="AN7" i="20" s="1"/>
  <c r="AM8" i="20"/>
  <c r="AN8" i="20" s="1"/>
  <c r="AM67" i="20"/>
  <c r="AN67" i="20" s="1"/>
  <c r="AM20" i="20"/>
  <c r="AN20" i="20" s="1"/>
  <c r="AM73" i="20"/>
  <c r="AN73" i="20" s="1"/>
  <c r="AM65" i="20"/>
  <c r="AN65" i="20" s="1"/>
  <c r="AM56" i="20"/>
  <c r="AN56" i="20" s="1"/>
  <c r="AM48" i="20"/>
  <c r="AN48" i="20" s="1"/>
  <c r="AM40" i="20"/>
  <c r="AM32" i="20"/>
  <c r="AN32" i="20" s="1"/>
  <c r="AM24" i="20"/>
  <c r="AN24" i="20" s="1"/>
  <c r="AM43" i="20"/>
  <c r="AN43" i="20" s="1"/>
  <c r="AM27" i="20"/>
  <c r="AN27" i="20" s="1"/>
  <c r="AM51" i="20"/>
  <c r="AN51" i="20" s="1"/>
  <c r="AM35" i="20"/>
  <c r="AN35" i="20" s="1"/>
  <c r="AQ76" i="1" l="1"/>
  <c r="AT76" i="1" s="1"/>
  <c r="AY77" i="20"/>
  <c r="AZ77" i="20" s="1"/>
  <c r="AQ77" i="1"/>
  <c r="AT77" i="1" s="1"/>
  <c r="AY78" i="20"/>
  <c r="AZ78" i="20" s="1"/>
  <c r="AQ75" i="1"/>
  <c r="AT75" i="1" s="1"/>
  <c r="AY76" i="20"/>
  <c r="AZ76" i="20" s="1"/>
  <c r="AY75" i="20"/>
  <c r="AZ75" i="20" s="1"/>
  <c r="AB74" i="1"/>
  <c r="AD74" i="1"/>
  <c r="AS74" i="1"/>
  <c r="AN12" i="20"/>
  <c r="AZ12" i="20" s="1"/>
  <c r="M63" i="1"/>
  <c r="M60" i="1"/>
  <c r="M61" i="1"/>
  <c r="U74" i="20"/>
  <c r="M73" i="1"/>
  <c r="Z73" i="1" s="1"/>
  <c r="AA73" i="1"/>
  <c r="BI73" i="20"/>
  <c r="U73" i="20"/>
  <c r="L73" i="20"/>
  <c r="BL73" i="20" s="1"/>
  <c r="C73" i="20"/>
  <c r="B73" i="20"/>
  <c r="AA72" i="1"/>
  <c r="R72" i="1"/>
  <c r="D72" i="1"/>
  <c r="C72" i="1"/>
  <c r="C73" i="1"/>
  <c r="D73" i="1"/>
  <c r="R73" i="1"/>
  <c r="M2" i="1"/>
  <c r="C72" i="20"/>
  <c r="B72" i="20"/>
  <c r="C71" i="20"/>
  <c r="B71" i="20"/>
  <c r="C70" i="20"/>
  <c r="B70" i="20"/>
  <c r="C69" i="20"/>
  <c r="B69" i="20"/>
  <c r="C61" i="20"/>
  <c r="B61" i="20"/>
  <c r="C60" i="20"/>
  <c r="B60" i="20"/>
  <c r="C59" i="20"/>
  <c r="B59" i="20"/>
  <c r="C58" i="20"/>
  <c r="B58" i="20"/>
  <c r="C57" i="20"/>
  <c r="B57" i="20"/>
  <c r="C56" i="20"/>
  <c r="B56" i="20"/>
  <c r="C55" i="20"/>
  <c r="B55" i="20"/>
  <c r="C54" i="20"/>
  <c r="B54" i="20"/>
  <c r="C53" i="20"/>
  <c r="B53" i="20"/>
  <c r="C52" i="20"/>
  <c r="B52" i="20"/>
  <c r="C51" i="20"/>
  <c r="B51" i="20"/>
  <c r="C50" i="20"/>
  <c r="B50" i="20"/>
  <c r="C49" i="20"/>
  <c r="B49" i="20"/>
  <c r="C45" i="20"/>
  <c r="B45" i="20"/>
  <c r="C44" i="20"/>
  <c r="B44" i="20"/>
  <c r="C43" i="20"/>
  <c r="B43" i="20"/>
  <c r="C42" i="20"/>
  <c r="B42" i="20"/>
  <c r="C41" i="20"/>
  <c r="B41" i="20"/>
  <c r="C40" i="20"/>
  <c r="B40" i="20"/>
  <c r="C39" i="20"/>
  <c r="B39" i="20"/>
  <c r="C38" i="20"/>
  <c r="B38" i="20"/>
  <c r="C37" i="20"/>
  <c r="B37" i="20"/>
  <c r="C36" i="20"/>
  <c r="B36" i="20"/>
  <c r="C35" i="20"/>
  <c r="B35" i="20"/>
  <c r="C34" i="20"/>
  <c r="B34" i="20"/>
  <c r="C33" i="20"/>
  <c r="B33" i="20"/>
  <c r="C32" i="20"/>
  <c r="B32" i="20"/>
  <c r="C31" i="20"/>
  <c r="B31" i="20"/>
  <c r="C30" i="20"/>
  <c r="B30" i="20"/>
  <c r="C29" i="20"/>
  <c r="B29" i="20"/>
  <c r="C28" i="20"/>
  <c r="B28" i="20"/>
  <c r="C27" i="20"/>
  <c r="B27" i="20"/>
  <c r="C26" i="20"/>
  <c r="B26" i="20"/>
  <c r="C25" i="20"/>
  <c r="B25" i="20"/>
  <c r="C24" i="20"/>
  <c r="B24" i="20"/>
  <c r="C23" i="20"/>
  <c r="B23" i="20"/>
  <c r="C22" i="20"/>
  <c r="B22" i="20"/>
  <c r="C21" i="20"/>
  <c r="B21" i="20"/>
  <c r="C20" i="20"/>
  <c r="B20" i="20"/>
  <c r="C19" i="20"/>
  <c r="B19" i="20"/>
  <c r="C18" i="20"/>
  <c r="B18" i="20"/>
  <c r="C17" i="20"/>
  <c r="B17" i="20"/>
  <c r="C16" i="20"/>
  <c r="B16" i="20"/>
  <c r="C15" i="20"/>
  <c r="B15" i="20"/>
  <c r="C14" i="20"/>
  <c r="B14" i="20"/>
  <c r="C13" i="20"/>
  <c r="B13" i="20"/>
  <c r="C12" i="20"/>
  <c r="B12" i="20"/>
  <c r="C11" i="20"/>
  <c r="B11" i="20"/>
  <c r="C10" i="20"/>
  <c r="B10" i="20"/>
  <c r="C9" i="20"/>
  <c r="B9" i="20"/>
  <c r="C8" i="20"/>
  <c r="B8" i="20"/>
  <c r="C7" i="20"/>
  <c r="B7" i="20"/>
  <c r="C6" i="20"/>
  <c r="B6" i="20"/>
  <c r="C5" i="20"/>
  <c r="B5" i="20"/>
  <c r="C4" i="20"/>
  <c r="B4" i="20"/>
  <c r="C3" i="20"/>
  <c r="B3" i="20"/>
  <c r="BL72" i="20"/>
  <c r="BI72" i="20"/>
  <c r="BJ72" i="20" s="1"/>
  <c r="BX72" i="20"/>
  <c r="U72" i="20"/>
  <c r="M71" i="1"/>
  <c r="AD71" i="1" s="1"/>
  <c r="BL71" i="20"/>
  <c r="BI71" i="20"/>
  <c r="BJ71" i="20" s="1"/>
  <c r="BX71" i="20"/>
  <c r="BZ71" i="20" s="1"/>
  <c r="U71" i="20"/>
  <c r="M70" i="1"/>
  <c r="AD70" i="1" s="1"/>
  <c r="BL70" i="20"/>
  <c r="BI70" i="20"/>
  <c r="BJ70" i="20" s="1"/>
  <c r="BX70" i="20"/>
  <c r="U70" i="20"/>
  <c r="M69" i="1"/>
  <c r="AD69" i="1" s="1"/>
  <c r="BI69" i="20"/>
  <c r="U69" i="20"/>
  <c r="L69" i="20"/>
  <c r="BL69" i="20" s="1"/>
  <c r="M68" i="1"/>
  <c r="BI68" i="20"/>
  <c r="U68" i="20"/>
  <c r="L68" i="20"/>
  <c r="BL68" i="20" s="1"/>
  <c r="M67" i="1"/>
  <c r="BI67" i="20"/>
  <c r="U67" i="20"/>
  <c r="L67" i="20"/>
  <c r="M66" i="1"/>
  <c r="BL66" i="20"/>
  <c r="BI66" i="20"/>
  <c r="BJ66" i="20" s="1"/>
  <c r="U66" i="20"/>
  <c r="M65" i="1"/>
  <c r="BL65" i="20"/>
  <c r="BI65" i="20"/>
  <c r="BJ65" i="20" s="1"/>
  <c r="U65" i="20"/>
  <c r="M64" i="1"/>
  <c r="CA64" i="20"/>
  <c r="BZ64" i="20"/>
  <c r="BL64" i="20"/>
  <c r="BI64" i="20"/>
  <c r="BJ64" i="20" s="1"/>
  <c r="U64" i="20"/>
  <c r="CA63" i="20"/>
  <c r="BZ63" i="20"/>
  <c r="BI63" i="20"/>
  <c r="U63" i="20"/>
  <c r="L63" i="20"/>
  <c r="M62" i="1"/>
  <c r="CA62" i="20"/>
  <c r="BZ62" i="20"/>
  <c r="BI62" i="20"/>
  <c r="U62" i="20"/>
  <c r="L62" i="20"/>
  <c r="BL62" i="20" s="1"/>
  <c r="BI61" i="20"/>
  <c r="U61" i="20"/>
  <c r="L61" i="20"/>
  <c r="BL61" i="20" s="1"/>
  <c r="BI60" i="20"/>
  <c r="S60" i="20"/>
  <c r="L60" i="20"/>
  <c r="BL60" i="20" s="1"/>
  <c r="U59" i="20"/>
  <c r="L59" i="20"/>
  <c r="M58" i="1"/>
  <c r="BI58" i="20"/>
  <c r="U58" i="20"/>
  <c r="L58" i="20"/>
  <c r="M57" i="1"/>
  <c r="BI57" i="20"/>
  <c r="U57" i="20"/>
  <c r="L57" i="20"/>
  <c r="BX57" i="20" s="1"/>
  <c r="M56" i="1"/>
  <c r="BI56" i="20"/>
  <c r="U56" i="20"/>
  <c r="L56" i="20"/>
  <c r="BX56" i="20" s="1"/>
  <c r="M55" i="1"/>
  <c r="BI55" i="20"/>
  <c r="U55" i="20"/>
  <c r="L55" i="20"/>
  <c r="BX55" i="20" s="1"/>
  <c r="M54" i="1"/>
  <c r="BI54" i="20"/>
  <c r="U54" i="20"/>
  <c r="L54" i="20"/>
  <c r="BX54" i="20" s="1"/>
  <c r="M53" i="1"/>
  <c r="BI53" i="20"/>
  <c r="U53" i="20"/>
  <c r="L53" i="20"/>
  <c r="BX53" i="20" s="1"/>
  <c r="M52" i="1"/>
  <c r="BI52" i="20"/>
  <c r="U52" i="20"/>
  <c r="L52" i="20"/>
  <c r="BX52" i="20" s="1"/>
  <c r="M51" i="1"/>
  <c r="BI51" i="20"/>
  <c r="U51" i="20"/>
  <c r="L51" i="20"/>
  <c r="BX51" i="20" s="1"/>
  <c r="M50" i="1"/>
  <c r="BI50" i="20"/>
  <c r="U50" i="20"/>
  <c r="L50" i="20"/>
  <c r="BX50" i="20" s="1"/>
  <c r="M49" i="1"/>
  <c r="BI49" i="20"/>
  <c r="U49" i="20"/>
  <c r="L49" i="20"/>
  <c r="BX49" i="20" s="1"/>
  <c r="M48" i="1"/>
  <c r="CA48" i="20"/>
  <c r="BL48" i="20"/>
  <c r="BI48" i="20"/>
  <c r="BJ48" i="20" s="1"/>
  <c r="U48" i="20"/>
  <c r="M47" i="1"/>
  <c r="CA47" i="20"/>
  <c r="BL47" i="20"/>
  <c r="BI47" i="20"/>
  <c r="BJ47" i="20" s="1"/>
  <c r="U47" i="20"/>
  <c r="M46" i="1"/>
  <c r="CA46" i="20"/>
  <c r="BL46" i="20"/>
  <c r="BI46" i="20"/>
  <c r="BJ46" i="20" s="1"/>
  <c r="U46" i="20"/>
  <c r="M45" i="1"/>
  <c r="BI45" i="20"/>
  <c r="U45" i="20"/>
  <c r="L45" i="20"/>
  <c r="BL45" i="20" s="1"/>
  <c r="M44" i="1"/>
  <c r="BI44" i="20"/>
  <c r="U44" i="20"/>
  <c r="L44" i="20"/>
  <c r="BL44" i="20" s="1"/>
  <c r="M43" i="1"/>
  <c r="BI43" i="20"/>
  <c r="U43" i="20"/>
  <c r="L43" i="20"/>
  <c r="BL43" i="20" s="1"/>
  <c r="M42" i="1"/>
  <c r="BI42" i="20"/>
  <c r="U42" i="20"/>
  <c r="L42" i="20"/>
  <c r="BX42" i="20" s="1"/>
  <c r="M41" i="1"/>
  <c r="BL41" i="20"/>
  <c r="BI41" i="20"/>
  <c r="BJ41" i="20" s="1"/>
  <c r="BX41" i="20"/>
  <c r="U41" i="20"/>
  <c r="M40" i="1"/>
  <c r="BI40" i="20"/>
  <c r="S40" i="20"/>
  <c r="R40" i="20"/>
  <c r="L40" i="20"/>
  <c r="J40" i="20"/>
  <c r="BI39" i="20"/>
  <c r="U39" i="20"/>
  <c r="L39" i="20"/>
  <c r="BL39" i="20" s="1"/>
  <c r="M38" i="1"/>
  <c r="BI38" i="20"/>
  <c r="U38" i="20"/>
  <c r="L38" i="20"/>
  <c r="BL38" i="20" s="1"/>
  <c r="M37" i="1"/>
  <c r="BI37" i="20"/>
  <c r="U37" i="20"/>
  <c r="L37" i="20"/>
  <c r="BL37" i="20" s="1"/>
  <c r="M36" i="1"/>
  <c r="BI36" i="20"/>
  <c r="U36" i="20"/>
  <c r="L36" i="20"/>
  <c r="BL36" i="20" s="1"/>
  <c r="M35" i="1"/>
  <c r="BI35" i="20"/>
  <c r="U35" i="20"/>
  <c r="L35" i="20"/>
  <c r="BL35" i="20" s="1"/>
  <c r="M34" i="1"/>
  <c r="BI34" i="20"/>
  <c r="U34" i="20"/>
  <c r="L34" i="20"/>
  <c r="BL34" i="20" s="1"/>
  <c r="M33" i="1"/>
  <c r="BI33" i="20"/>
  <c r="U33" i="20"/>
  <c r="L33" i="20"/>
  <c r="BL33" i="20" s="1"/>
  <c r="M32" i="1"/>
  <c r="BI32" i="20"/>
  <c r="U32" i="20"/>
  <c r="L32" i="20"/>
  <c r="BL32" i="20" s="1"/>
  <c r="M31" i="1"/>
  <c r="BI31" i="20"/>
  <c r="U31" i="20"/>
  <c r="L31" i="20"/>
  <c r="BL31" i="20" s="1"/>
  <c r="M30" i="1"/>
  <c r="BL30" i="20"/>
  <c r="BI30" i="20"/>
  <c r="BJ30" i="20" s="1"/>
  <c r="BX30" i="20"/>
  <c r="U30" i="20"/>
  <c r="M29" i="1"/>
  <c r="BI29" i="20"/>
  <c r="S29" i="20"/>
  <c r="L29" i="20"/>
  <c r="BL29" i="20" s="1"/>
  <c r="BI28" i="20"/>
  <c r="U28" i="20"/>
  <c r="L28" i="20"/>
  <c r="BX28" i="20" s="1"/>
  <c r="M27" i="1"/>
  <c r="BI27" i="20"/>
  <c r="U27" i="20"/>
  <c r="L27" i="20"/>
  <c r="BL27" i="20" s="1"/>
  <c r="M26" i="1"/>
  <c r="BI26" i="20"/>
  <c r="U26" i="20"/>
  <c r="L26" i="20"/>
  <c r="BX26" i="20" s="1"/>
  <c r="M25" i="1"/>
  <c r="BI25" i="20"/>
  <c r="U25" i="20"/>
  <c r="L25" i="20"/>
  <c r="BL25" i="20" s="1"/>
  <c r="M24" i="1"/>
  <c r="BI24" i="20"/>
  <c r="U24" i="20"/>
  <c r="L24" i="20"/>
  <c r="BX24" i="20" s="1"/>
  <c r="M23" i="1"/>
  <c r="BM23" i="20"/>
  <c r="U23" i="20"/>
  <c r="L23" i="20"/>
  <c r="BJ23" i="20" s="1"/>
  <c r="M22" i="1"/>
  <c r="BM22" i="20"/>
  <c r="U22" i="20"/>
  <c r="L22" i="20"/>
  <c r="BX22" i="20" s="1"/>
  <c r="M21" i="1"/>
  <c r="BM21" i="20"/>
  <c r="BL21" i="20"/>
  <c r="BJ21" i="20"/>
  <c r="BX21" i="20"/>
  <c r="CA21" i="20" s="1"/>
  <c r="U21" i="20"/>
  <c r="M20" i="1"/>
  <c r="BM20" i="20"/>
  <c r="BL20" i="20"/>
  <c r="BJ20" i="20"/>
  <c r="BX20" i="20"/>
  <c r="U20" i="20"/>
  <c r="M19" i="1"/>
  <c r="BM19" i="20"/>
  <c r="BL19" i="20"/>
  <c r="BI19" i="20"/>
  <c r="BJ19" i="20" s="1"/>
  <c r="BX19" i="20"/>
  <c r="CA19" i="20" s="1"/>
  <c r="U19" i="20"/>
  <c r="M18" i="1"/>
  <c r="BM18" i="20"/>
  <c r="BL18" i="20"/>
  <c r="CA18" i="20"/>
  <c r="U18" i="20"/>
  <c r="M17" i="1"/>
  <c r="BM17" i="20"/>
  <c r="BL17" i="20"/>
  <c r="BJ17" i="20"/>
  <c r="BX17" i="20"/>
  <c r="U17" i="20"/>
  <c r="M16" i="1"/>
  <c r="BM16" i="20"/>
  <c r="BL16" i="20"/>
  <c r="BJ16" i="20"/>
  <c r="BX16" i="20"/>
  <c r="U16" i="20"/>
  <c r="M15" i="1"/>
  <c r="BX15" i="20"/>
  <c r="CA15" i="20" s="1"/>
  <c r="BM15" i="20"/>
  <c r="U15" i="20"/>
  <c r="M14" i="1"/>
  <c r="BM14" i="20"/>
  <c r="BL14" i="20"/>
  <c r="BI14" i="20"/>
  <c r="BJ14" i="20" s="1"/>
  <c r="BX14" i="20"/>
  <c r="U14" i="20"/>
  <c r="M13" i="1"/>
  <c r="BM13" i="20"/>
  <c r="BL13" i="20"/>
  <c r="U13" i="20"/>
  <c r="M12" i="1"/>
  <c r="BM12" i="20"/>
  <c r="BL12" i="20"/>
  <c r="BJ12" i="20"/>
  <c r="U12" i="20"/>
  <c r="M11" i="1"/>
  <c r="BM11" i="20"/>
  <c r="BL11" i="20"/>
  <c r="BJ11" i="20"/>
  <c r="BX11" i="20"/>
  <c r="U11" i="20"/>
  <c r="M10" i="1"/>
  <c r="BM10" i="20"/>
  <c r="BL10" i="20"/>
  <c r="BJ10" i="20"/>
  <c r="BX10" i="20"/>
  <c r="U10" i="20"/>
  <c r="M9" i="1"/>
  <c r="BM9" i="20"/>
  <c r="BL9" i="20"/>
  <c r="BJ9" i="20"/>
  <c r="BX9" i="20"/>
  <c r="U9" i="20"/>
  <c r="M8" i="1"/>
  <c r="BM8" i="20"/>
  <c r="BL8" i="20"/>
  <c r="BJ8" i="20"/>
  <c r="BX8" i="20"/>
  <c r="CA8" i="20" s="1"/>
  <c r="U8" i="20"/>
  <c r="M7" i="1"/>
  <c r="BM7" i="20"/>
  <c r="BL7" i="20"/>
  <c r="BI7" i="20"/>
  <c r="BJ7" i="20" s="1"/>
  <c r="BX7" i="20"/>
  <c r="CA7" i="20" s="1"/>
  <c r="U7" i="20"/>
  <c r="BM6" i="20"/>
  <c r="BL6" i="20"/>
  <c r="BJ6" i="20"/>
  <c r="BX6" i="20"/>
  <c r="U6" i="20"/>
  <c r="M5" i="1"/>
  <c r="BM5" i="20"/>
  <c r="BL5" i="20"/>
  <c r="BJ5" i="20"/>
  <c r="BX5" i="20"/>
  <c r="U5" i="20"/>
  <c r="M4" i="1"/>
  <c r="CA4" i="20"/>
  <c r="BZ4" i="20"/>
  <c r="BM4" i="20"/>
  <c r="BL4" i="20"/>
  <c r="BJ4" i="20"/>
  <c r="U4" i="20"/>
  <c r="M3" i="1"/>
  <c r="BM3" i="20"/>
  <c r="BL3" i="20"/>
  <c r="BJ3" i="20"/>
  <c r="BX3" i="20"/>
  <c r="AS75" i="1" l="1"/>
  <c r="AS77" i="1"/>
  <c r="AS76" i="1"/>
  <c r="Y40" i="20"/>
  <c r="AA40" i="20" s="1"/>
  <c r="AN40" i="20" s="1"/>
  <c r="K40" i="20"/>
  <c r="BH40" i="20" s="1"/>
  <c r="BX40" i="20" s="1"/>
  <c r="K60" i="20"/>
  <c r="BH60" i="20" s="1"/>
  <c r="BX60" i="20" s="1"/>
  <c r="Y60" i="20"/>
  <c r="AA60" i="20" s="1"/>
  <c r="AN60" i="20" s="1"/>
  <c r="K29" i="20"/>
  <c r="BH29" i="20" s="1"/>
  <c r="BX29" i="20" s="1"/>
  <c r="CA29" i="20" s="1"/>
  <c r="Y29" i="20"/>
  <c r="AA29" i="20" s="1"/>
  <c r="AN29" i="20" s="1"/>
  <c r="AQ73" i="1"/>
  <c r="AS73" i="1" s="1"/>
  <c r="AY74" i="20"/>
  <c r="AZ74" i="20" s="1"/>
  <c r="U60" i="20"/>
  <c r="U29" i="20"/>
  <c r="BX61" i="20"/>
  <c r="CA61" i="20" s="1"/>
  <c r="BX32" i="20"/>
  <c r="CA32" i="20" s="1"/>
  <c r="M72" i="1"/>
  <c r="BX45" i="20"/>
  <c r="CA45" i="20" s="1"/>
  <c r="BX73" i="20"/>
  <c r="CA73" i="20" s="1"/>
  <c r="BJ54" i="20"/>
  <c r="BJ73" i="20"/>
  <c r="BL54" i="20"/>
  <c r="AD73" i="1"/>
  <c r="BJ56" i="20"/>
  <c r="BL23" i="20"/>
  <c r="BJ36" i="20"/>
  <c r="BX38" i="20"/>
  <c r="CA38" i="20" s="1"/>
  <c r="BJ25" i="20"/>
  <c r="BJ27" i="20"/>
  <c r="BJ38" i="20"/>
  <c r="BJ53" i="20"/>
  <c r="BL56" i="20"/>
  <c r="BJ60" i="20"/>
  <c r="BJ32" i="20"/>
  <c r="U40" i="20"/>
  <c r="BJ45" i="20"/>
  <c r="BJ52" i="20"/>
  <c r="BJ61" i="20"/>
  <c r="BJ67" i="20"/>
  <c r="BL67" i="20"/>
  <c r="AB73" i="1"/>
  <c r="BJ58" i="20"/>
  <c r="BJ22" i="20"/>
  <c r="BJ69" i="20"/>
  <c r="BJ55" i="20"/>
  <c r="BJ28" i="20"/>
  <c r="BJ35" i="20"/>
  <c r="BJ29" i="20"/>
  <c r="BJ26" i="20"/>
  <c r="BJ33" i="20"/>
  <c r="CA16" i="20"/>
  <c r="BZ16" i="20"/>
  <c r="BZ5" i="20"/>
  <c r="CA5" i="20"/>
  <c r="BZ10" i="20"/>
  <c r="CA10" i="20"/>
  <c r="BZ15" i="20"/>
  <c r="BZ21" i="20"/>
  <c r="BX34" i="20"/>
  <c r="CA34" i="20" s="1"/>
  <c r="BX43" i="20"/>
  <c r="CA43" i="20" s="1"/>
  <c r="BJ63" i="20"/>
  <c r="BJ34" i="20"/>
  <c r="BJ39" i="20"/>
  <c r="BJ42" i="20"/>
  <c r="BJ44" i="20"/>
  <c r="BJ51" i="20"/>
  <c r="BL52" i="20"/>
  <c r="BJ40" i="20"/>
  <c r="BL42" i="20"/>
  <c r="BJ43" i="20"/>
  <c r="BJ50" i="20"/>
  <c r="BL58" i="20"/>
  <c r="BL40" i="20"/>
  <c r="BJ49" i="20"/>
  <c r="BL50" i="20"/>
  <c r="BJ57" i="20"/>
  <c r="BL63" i="20"/>
  <c r="BJ68" i="20"/>
  <c r="BJ37" i="20"/>
  <c r="BJ24" i="20"/>
  <c r="BJ31" i="20"/>
  <c r="BX36" i="20"/>
  <c r="CA36" i="20" s="1"/>
  <c r="CA3" i="20"/>
  <c r="BZ3" i="20"/>
  <c r="CA11" i="20"/>
  <c r="BZ11" i="20"/>
  <c r="CA24" i="20"/>
  <c r="BZ24" i="20"/>
  <c r="CA22" i="20"/>
  <c r="BZ22" i="20"/>
  <c r="CA28" i="20"/>
  <c r="BZ28" i="20"/>
  <c r="CA30" i="20"/>
  <c r="BZ30" i="20"/>
  <c r="CA52" i="20"/>
  <c r="BZ52" i="20"/>
  <c r="CA53" i="20"/>
  <c r="BZ53" i="20"/>
  <c r="CA14" i="20"/>
  <c r="BZ14" i="20"/>
  <c r="BZ42" i="20"/>
  <c r="CA42" i="20"/>
  <c r="CA50" i="20"/>
  <c r="BZ50" i="20"/>
  <c r="CA26" i="20"/>
  <c r="BZ26" i="20"/>
  <c r="CA41" i="20"/>
  <c r="BZ41" i="20"/>
  <c r="CA6" i="20"/>
  <c r="BZ6" i="20"/>
  <c r="CA51" i="20"/>
  <c r="BZ51" i="20"/>
  <c r="CA9" i="20"/>
  <c r="BZ9" i="20"/>
  <c r="CA17" i="20"/>
  <c r="BZ17" i="20"/>
  <c r="CA49" i="20"/>
  <c r="BZ49" i="20"/>
  <c r="CA56" i="20"/>
  <c r="BZ56" i="20"/>
  <c r="CA57" i="20"/>
  <c r="BZ57" i="20"/>
  <c r="CA70" i="20"/>
  <c r="BZ70" i="20"/>
  <c r="CA20" i="20"/>
  <c r="BZ20" i="20"/>
  <c r="CA54" i="20"/>
  <c r="BZ54" i="20"/>
  <c r="CA55" i="20"/>
  <c r="BZ55" i="20"/>
  <c r="CA72" i="20"/>
  <c r="BZ72" i="20"/>
  <c r="CA71" i="20"/>
  <c r="BZ8" i="20"/>
  <c r="BL22" i="20"/>
  <c r="BZ19" i="20"/>
  <c r="BL24" i="20"/>
  <c r="BL26" i="20"/>
  <c r="BL28" i="20"/>
  <c r="BX44" i="20"/>
  <c r="BL49" i="20"/>
  <c r="BL51" i="20"/>
  <c r="BL53" i="20"/>
  <c r="BL55" i="20"/>
  <c r="BL57" i="20"/>
  <c r="BL59" i="20"/>
  <c r="BX58" i="20"/>
  <c r="BX23" i="20"/>
  <c r="BX25" i="20"/>
  <c r="BX27" i="20"/>
  <c r="BX31" i="20"/>
  <c r="BX33" i="20"/>
  <c r="BX35" i="20"/>
  <c r="BX37" i="20"/>
  <c r="BX39" i="20"/>
  <c r="BJ62" i="20"/>
  <c r="BX69" i="20"/>
  <c r="BZ7" i="20"/>
  <c r="BZ18" i="20"/>
  <c r="Z72" i="1" l="1"/>
  <c r="AQ72" i="1" s="1"/>
  <c r="AT72" i="1" s="1"/>
  <c r="AD72" i="1"/>
  <c r="M28" i="1"/>
  <c r="M59" i="1"/>
  <c r="M39" i="1"/>
  <c r="AT73" i="1"/>
  <c r="CA40" i="20"/>
  <c r="BZ40" i="20"/>
  <c r="BZ32" i="20"/>
  <c r="BZ61" i="20"/>
  <c r="BZ29" i="20"/>
  <c r="BZ45" i="20"/>
  <c r="BZ38" i="20"/>
  <c r="BZ73" i="20"/>
  <c r="AB72" i="1"/>
  <c r="BZ43" i="20"/>
  <c r="BZ34" i="20"/>
  <c r="BZ36" i="20"/>
  <c r="CA25" i="20"/>
  <c r="BZ25" i="20"/>
  <c r="CA23" i="20"/>
  <c r="BZ23" i="20"/>
  <c r="CA33" i="20"/>
  <c r="BZ33" i="20"/>
  <c r="CA58" i="20"/>
  <c r="BZ58" i="20"/>
  <c r="BZ44" i="20"/>
  <c r="CA44" i="20"/>
  <c r="CA60" i="20"/>
  <c r="BZ60" i="20"/>
  <c r="CA39" i="20"/>
  <c r="BZ39" i="20"/>
  <c r="CA35" i="20"/>
  <c r="BZ35" i="20"/>
  <c r="CA31" i="20"/>
  <c r="BZ31" i="20"/>
  <c r="CA37" i="20"/>
  <c r="BZ37" i="20"/>
  <c r="CA69" i="20"/>
  <c r="BZ69" i="20"/>
  <c r="CA27" i="20"/>
  <c r="BZ27" i="20"/>
  <c r="AY73" i="20" l="1"/>
  <c r="AZ73" i="20" s="1"/>
  <c r="AS72" i="1"/>
  <c r="Q39" i="1" l="1"/>
  <c r="R39" i="1" s="1"/>
  <c r="L39" i="1"/>
  <c r="Q28" i="1"/>
  <c r="R28" i="1" s="1"/>
  <c r="R2" i="1"/>
  <c r="R3" i="1"/>
  <c r="R4" i="1"/>
  <c r="R5" i="1"/>
  <c r="R6" i="1"/>
  <c r="R7" i="1"/>
  <c r="R8" i="1"/>
  <c r="R9" i="1"/>
  <c r="R10" i="1"/>
  <c r="R11" i="1"/>
  <c r="R12" i="1"/>
  <c r="R13" i="1"/>
  <c r="R14" i="1"/>
  <c r="R15" i="1"/>
  <c r="R16" i="1"/>
  <c r="R17" i="1"/>
  <c r="R18" i="1"/>
  <c r="R19" i="1"/>
  <c r="R20" i="1"/>
  <c r="R21" i="1"/>
  <c r="R22" i="1"/>
  <c r="Q59" i="1"/>
  <c r="R59" i="1" s="1"/>
  <c r="Q58" i="1"/>
  <c r="Q56" i="1"/>
  <c r="R56" i="1" s="1"/>
  <c r="R23" i="1"/>
  <c r="R24" i="1"/>
  <c r="R25" i="1"/>
  <c r="R26" i="1"/>
  <c r="R27" i="1"/>
  <c r="R29" i="1"/>
  <c r="R30" i="1"/>
  <c r="R31" i="1"/>
  <c r="R32" i="1"/>
  <c r="R33" i="1"/>
  <c r="R34" i="1"/>
  <c r="R35" i="1"/>
  <c r="R36" i="1"/>
  <c r="R37" i="1"/>
  <c r="R38" i="1"/>
  <c r="R40" i="1"/>
  <c r="R41" i="1"/>
  <c r="R42" i="1"/>
  <c r="R43" i="1"/>
  <c r="R44" i="1"/>
  <c r="R45" i="1"/>
  <c r="R46" i="1"/>
  <c r="R47" i="1"/>
  <c r="R48" i="1"/>
  <c r="R49" i="1"/>
  <c r="R50" i="1"/>
  <c r="R51" i="1"/>
  <c r="R53" i="1"/>
  <c r="R54" i="1"/>
  <c r="R55" i="1"/>
  <c r="R57" i="1"/>
  <c r="R58" i="1"/>
  <c r="R60" i="1"/>
  <c r="R61" i="1"/>
  <c r="R62" i="1"/>
  <c r="R63" i="1"/>
  <c r="R64" i="1"/>
  <c r="R65" i="1"/>
  <c r="R66" i="1"/>
  <c r="R67" i="1"/>
  <c r="R68" i="1"/>
  <c r="R69" i="1"/>
  <c r="R70" i="1"/>
  <c r="R71" i="1"/>
  <c r="M75" i="18"/>
  <c r="D75" i="18"/>
  <c r="C75" i="18"/>
  <c r="D74" i="18"/>
  <c r="C74" i="18"/>
  <c r="D73" i="18"/>
  <c r="C73" i="18"/>
  <c r="D72" i="18"/>
  <c r="C72" i="18"/>
  <c r="M71" i="18"/>
  <c r="D71" i="18"/>
  <c r="C71" i="18"/>
  <c r="M70" i="18"/>
  <c r="M69" i="18"/>
  <c r="M65" i="18"/>
  <c r="M64" i="18"/>
  <c r="M63" i="18"/>
  <c r="D63" i="18"/>
  <c r="C63" i="18"/>
  <c r="M62" i="18"/>
  <c r="D62" i="18"/>
  <c r="C62" i="18"/>
  <c r="M61" i="18"/>
  <c r="D61" i="18"/>
  <c r="C61" i="18"/>
  <c r="M60" i="18"/>
  <c r="D60" i="18"/>
  <c r="C60" i="18"/>
  <c r="M59" i="18"/>
  <c r="D59" i="18"/>
  <c r="C59" i="18"/>
  <c r="M58" i="18"/>
  <c r="D58" i="18"/>
  <c r="C58" i="18"/>
  <c r="M57" i="18"/>
  <c r="D57" i="18"/>
  <c r="C57" i="18"/>
  <c r="M56" i="18"/>
  <c r="D56" i="18"/>
  <c r="C56" i="18"/>
  <c r="M55" i="18"/>
  <c r="D55" i="18"/>
  <c r="C55" i="18"/>
  <c r="M54" i="18"/>
  <c r="D54" i="18"/>
  <c r="C54" i="18"/>
  <c r="M53" i="18"/>
  <c r="D53" i="18"/>
  <c r="C53" i="18"/>
  <c r="M52" i="18"/>
  <c r="D52" i="18"/>
  <c r="C52" i="18"/>
  <c r="M51" i="18"/>
  <c r="D51" i="18"/>
  <c r="C51" i="18"/>
  <c r="M47" i="18"/>
  <c r="D47" i="18"/>
  <c r="C47" i="18"/>
  <c r="M46" i="18"/>
  <c r="D46" i="18"/>
  <c r="C46" i="18"/>
  <c r="M45" i="18"/>
  <c r="D45" i="18"/>
  <c r="C45" i="18"/>
  <c r="M44" i="18"/>
  <c r="D44" i="18"/>
  <c r="C44" i="18"/>
  <c r="D43" i="18"/>
  <c r="C43" i="18"/>
  <c r="D42" i="18"/>
  <c r="C42" i="18"/>
  <c r="D41" i="18"/>
  <c r="C41" i="18"/>
  <c r="D40" i="18"/>
  <c r="C40" i="18"/>
  <c r="M39" i="18"/>
  <c r="D39" i="18"/>
  <c r="C39" i="18"/>
  <c r="M38" i="18"/>
  <c r="D38" i="18"/>
  <c r="C38" i="18"/>
  <c r="M37" i="18"/>
  <c r="D37" i="18"/>
  <c r="C37" i="18"/>
  <c r="M36" i="18"/>
  <c r="D36" i="18"/>
  <c r="C36" i="18"/>
  <c r="D35" i="18"/>
  <c r="C35" i="18"/>
  <c r="D34" i="18"/>
  <c r="C34" i="18"/>
  <c r="M33" i="18"/>
  <c r="D33" i="18"/>
  <c r="C33" i="18"/>
  <c r="D32" i="18"/>
  <c r="C32" i="18"/>
  <c r="D31" i="18"/>
  <c r="C31" i="18"/>
  <c r="M30" i="18"/>
  <c r="D30" i="18"/>
  <c r="C30" i="18"/>
  <c r="M29" i="18"/>
  <c r="D29" i="18"/>
  <c r="C29" i="18"/>
  <c r="M28" i="18"/>
  <c r="D28" i="18"/>
  <c r="C28" i="18"/>
  <c r="M27" i="18"/>
  <c r="D27" i="18"/>
  <c r="C27" i="18"/>
  <c r="M26" i="18"/>
  <c r="D26" i="18"/>
  <c r="C26" i="18"/>
  <c r="M25" i="18"/>
  <c r="D25" i="18"/>
  <c r="C25" i="18"/>
  <c r="M24" i="18"/>
  <c r="D24" i="18"/>
  <c r="C24" i="18"/>
  <c r="M23" i="18"/>
  <c r="D23" i="18"/>
  <c r="C23" i="18"/>
  <c r="D22" i="18"/>
  <c r="C22" i="18"/>
  <c r="D21" i="18"/>
  <c r="C21" i="18"/>
  <c r="D20" i="18"/>
  <c r="C20" i="18"/>
  <c r="D19" i="18"/>
  <c r="C19" i="18"/>
  <c r="D18" i="18"/>
  <c r="C18" i="18"/>
  <c r="D17" i="18"/>
  <c r="C17" i="18"/>
  <c r="D16" i="18"/>
  <c r="C16" i="18"/>
  <c r="D15" i="18"/>
  <c r="C15" i="18"/>
  <c r="D14" i="18"/>
  <c r="C14" i="18"/>
  <c r="D13" i="18"/>
  <c r="C13" i="18"/>
  <c r="D12" i="18"/>
  <c r="C12" i="18"/>
  <c r="D11" i="18"/>
  <c r="C11" i="18"/>
  <c r="D10" i="18"/>
  <c r="C10" i="18"/>
  <c r="D9" i="18"/>
  <c r="C9" i="18"/>
  <c r="D8" i="18"/>
  <c r="C8" i="18"/>
  <c r="D7" i="18"/>
  <c r="C7" i="18"/>
  <c r="D6" i="18"/>
  <c r="C6" i="18"/>
  <c r="D5" i="18"/>
  <c r="C5" i="18"/>
  <c r="D4" i="18"/>
  <c r="C4" i="18"/>
  <c r="D3" i="18"/>
  <c r="C3" i="18"/>
  <c r="D2" i="18"/>
  <c r="C2" i="18"/>
  <c r="Z55" i="1" l="1"/>
  <c r="AY56" i="20" s="1"/>
  <c r="AZ56" i="20" s="1"/>
  <c r="Z69" i="1" l="1"/>
  <c r="AY70" i="20" s="1"/>
  <c r="AZ70" i="20" s="1"/>
  <c r="Z70" i="1"/>
  <c r="AY71" i="20" s="1"/>
  <c r="AZ71" i="20" s="1"/>
  <c r="Z71" i="1"/>
  <c r="AY72" i="20" s="1"/>
  <c r="AZ72" i="20" s="1"/>
  <c r="AA68" i="1" l="1"/>
  <c r="AB68" i="1" s="1"/>
  <c r="Z68" i="1"/>
  <c r="C70" i="1"/>
  <c r="D70" i="1"/>
  <c r="AA70" i="1"/>
  <c r="AB70" i="1" s="1"/>
  <c r="AQ70" i="1"/>
  <c r="AS70" i="1" s="1"/>
  <c r="C71" i="1"/>
  <c r="D71" i="1"/>
  <c r="AA71" i="1"/>
  <c r="AB71" i="1" s="1"/>
  <c r="AQ71" i="1"/>
  <c r="AS71" i="1" s="1"/>
  <c r="C68" i="1"/>
  <c r="D68" i="1"/>
  <c r="C69" i="1"/>
  <c r="D69" i="1"/>
  <c r="AA69" i="1"/>
  <c r="AB69" i="1" s="1"/>
  <c r="AQ69" i="1"/>
  <c r="AS69" i="1" s="1"/>
  <c r="AD67" i="1"/>
  <c r="AA67" i="1"/>
  <c r="AB67" i="1" s="1"/>
  <c r="Z67" i="1"/>
  <c r="AS61" i="1"/>
  <c r="AS62" i="1"/>
  <c r="AS63" i="1"/>
  <c r="AD65" i="1"/>
  <c r="AD66" i="1"/>
  <c r="AA65" i="1"/>
  <c r="AA66" i="1"/>
  <c r="Z65" i="1"/>
  <c r="AY66" i="20" s="1"/>
  <c r="AZ66" i="20" s="1"/>
  <c r="Z66" i="1"/>
  <c r="AT45" i="1"/>
  <c r="AT46" i="1"/>
  <c r="AT47" i="1"/>
  <c r="AT61" i="1"/>
  <c r="AT62" i="1"/>
  <c r="AT63" i="1"/>
  <c r="AD64" i="1"/>
  <c r="AA64" i="1"/>
  <c r="Z64" i="1"/>
  <c r="AY65" i="20" s="1"/>
  <c r="AZ65" i="20" s="1"/>
  <c r="AD63" i="1"/>
  <c r="AA63" i="1"/>
  <c r="AB63" i="1" s="1"/>
  <c r="Z63" i="1"/>
  <c r="AY64" i="20" s="1"/>
  <c r="AZ64" i="20" s="1"/>
  <c r="AD60" i="1"/>
  <c r="AD61" i="1"/>
  <c r="AD62" i="1"/>
  <c r="AD45" i="1"/>
  <c r="AD46" i="1"/>
  <c r="AD47" i="1"/>
  <c r="AA60" i="1"/>
  <c r="AB60" i="1" s="1"/>
  <c r="AA61" i="1"/>
  <c r="AB61" i="1" s="1"/>
  <c r="AA62" i="1"/>
  <c r="AB62" i="1" s="1"/>
  <c r="AA45" i="1"/>
  <c r="AB45" i="1" s="1"/>
  <c r="AA46" i="1"/>
  <c r="AB46" i="1" s="1"/>
  <c r="AA47" i="1"/>
  <c r="AB47" i="1" s="1"/>
  <c r="Z60" i="1"/>
  <c r="AY61" i="20" s="1"/>
  <c r="AZ61" i="20" s="1"/>
  <c r="Z61" i="1"/>
  <c r="AY62" i="20" s="1"/>
  <c r="AZ62" i="20" s="1"/>
  <c r="Z62" i="1"/>
  <c r="AY63" i="20" s="1"/>
  <c r="AZ63" i="20" s="1"/>
  <c r="Z45" i="1"/>
  <c r="AY46" i="20" s="1"/>
  <c r="AZ46" i="20" s="1"/>
  <c r="Z46" i="1"/>
  <c r="AY47" i="20" s="1"/>
  <c r="AZ47" i="20" s="1"/>
  <c r="Z47" i="1"/>
  <c r="AY48" i="20" s="1"/>
  <c r="AZ48" i="20"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8" i="1"/>
  <c r="C49" i="1"/>
  <c r="C50" i="1"/>
  <c r="C51" i="1"/>
  <c r="C52" i="1"/>
  <c r="C53" i="1"/>
  <c r="C54" i="1"/>
  <c r="C55" i="1"/>
  <c r="C56" i="1"/>
  <c r="C57" i="1"/>
  <c r="C58" i="1"/>
  <c r="C59" i="1"/>
  <c r="C60" i="1"/>
  <c r="H2" i="3"/>
  <c r="H3" i="3"/>
  <c r="H5" i="3"/>
  <c r="H4" i="3"/>
  <c r="AQ66" i="1" l="1"/>
  <c r="AY67" i="20"/>
  <c r="AZ67" i="20" s="1"/>
  <c r="AQ67" i="1"/>
  <c r="AS67" i="1" s="1"/>
  <c r="AY68" i="20"/>
  <c r="AZ68" i="20" s="1"/>
  <c r="AQ68" i="1"/>
  <c r="AS68" i="1" s="1"/>
  <c r="AY69" i="20"/>
  <c r="AZ69" i="20" s="1"/>
  <c r="AQ64" i="1"/>
  <c r="AS64" i="1" s="1"/>
  <c r="BX67" i="20"/>
  <c r="BX65" i="20"/>
  <c r="AQ65" i="1"/>
  <c r="BX68" i="20"/>
  <c r="BX66" i="20"/>
  <c r="AT70" i="1"/>
  <c r="AT71" i="1"/>
  <c r="AT69" i="1"/>
  <c r="AB64" i="1"/>
  <c r="AB65" i="1"/>
  <c r="AB66" i="1"/>
  <c r="AQ60"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8" i="1"/>
  <c r="D49" i="1"/>
  <c r="D50" i="1"/>
  <c r="D51" i="1"/>
  <c r="D52" i="1"/>
  <c r="D53" i="1"/>
  <c r="D54" i="1"/>
  <c r="D55" i="1"/>
  <c r="D56" i="1"/>
  <c r="D57" i="1"/>
  <c r="D58" i="1"/>
  <c r="D59" i="1"/>
  <c r="D60" i="1"/>
  <c r="A3" i="2"/>
  <c r="AD59" i="1"/>
  <c r="AA59" i="1"/>
  <c r="AB59" i="1" s="1"/>
  <c r="Z59" i="1"/>
  <c r="AT58" i="1"/>
  <c r="AD58" i="1"/>
  <c r="Y58" i="1"/>
  <c r="AD57" i="1"/>
  <c r="AA57" i="1"/>
  <c r="AB57" i="1" s="1"/>
  <c r="Z57" i="1"/>
  <c r="AD56" i="1"/>
  <c r="AA56" i="1"/>
  <c r="AB56" i="1" s="1"/>
  <c r="Z56" i="1"/>
  <c r="AD55" i="1"/>
  <c r="AA55" i="1"/>
  <c r="AB55" i="1" s="1"/>
  <c r="AQ55" i="1"/>
  <c r="AD54" i="1"/>
  <c r="AA54" i="1"/>
  <c r="AB54" i="1" s="1"/>
  <c r="Z54" i="1"/>
  <c r="AD53" i="1"/>
  <c r="AA53" i="1"/>
  <c r="AB53" i="1" s="1"/>
  <c r="Z53" i="1"/>
  <c r="AD52" i="1"/>
  <c r="AA52" i="1"/>
  <c r="AB52" i="1" s="1"/>
  <c r="Z52" i="1"/>
  <c r="AD51" i="1"/>
  <c r="AA51" i="1"/>
  <c r="AB51" i="1" s="1"/>
  <c r="Z51" i="1"/>
  <c r="AD50" i="1"/>
  <c r="AA50" i="1"/>
  <c r="AB50" i="1" s="1"/>
  <c r="Z50" i="1"/>
  <c r="AD49" i="1"/>
  <c r="AA49" i="1"/>
  <c r="AB49" i="1" s="1"/>
  <c r="Z49" i="1"/>
  <c r="AD48" i="1"/>
  <c r="AA48" i="1"/>
  <c r="AB48" i="1" s="1"/>
  <c r="Z48" i="1"/>
  <c r="AD44" i="1"/>
  <c r="AA44" i="1"/>
  <c r="AB44" i="1" s="1"/>
  <c r="Z44" i="1"/>
  <c r="AD43" i="1"/>
  <c r="AA43" i="1"/>
  <c r="AB43" i="1" s="1"/>
  <c r="Z43" i="1"/>
  <c r="AD42" i="1"/>
  <c r="AA42" i="1"/>
  <c r="AB42" i="1" s="1"/>
  <c r="Z42" i="1"/>
  <c r="AD41" i="1"/>
  <c r="AA41" i="1"/>
  <c r="AB41" i="1" s="1"/>
  <c r="Z41" i="1"/>
  <c r="AD40" i="1"/>
  <c r="AA40" i="1"/>
  <c r="AB40" i="1" s="1"/>
  <c r="Z40" i="1"/>
  <c r="AD39" i="1"/>
  <c r="AA39" i="1"/>
  <c r="AB39" i="1" s="1"/>
  <c r="Z39" i="1"/>
  <c r="AD38" i="1"/>
  <c r="AA38" i="1"/>
  <c r="AB38" i="1" s="1"/>
  <c r="Z38" i="1"/>
  <c r="AD37" i="1"/>
  <c r="AA37" i="1"/>
  <c r="AB37" i="1" s="1"/>
  <c r="Z37" i="1"/>
  <c r="AD36" i="1"/>
  <c r="AA36" i="1"/>
  <c r="AB36" i="1" s="1"/>
  <c r="Z36" i="1"/>
  <c r="AD35" i="1"/>
  <c r="AA35" i="1"/>
  <c r="AB35" i="1" s="1"/>
  <c r="Z35" i="1"/>
  <c r="AD34" i="1"/>
  <c r="AA34" i="1"/>
  <c r="AB34" i="1" s="1"/>
  <c r="Z34" i="1"/>
  <c r="AD33" i="1"/>
  <c r="AA33" i="1"/>
  <c r="AB33" i="1" s="1"/>
  <c r="Z33" i="1"/>
  <c r="AD32" i="1"/>
  <c r="AA32" i="1"/>
  <c r="AB32" i="1" s="1"/>
  <c r="Z32" i="1"/>
  <c r="AD31" i="1"/>
  <c r="AA31" i="1"/>
  <c r="AB31" i="1" s="1"/>
  <c r="Z31" i="1"/>
  <c r="AD30" i="1"/>
  <c r="AA30" i="1"/>
  <c r="AB30" i="1" s="1"/>
  <c r="Z30" i="1"/>
  <c r="AD29" i="1"/>
  <c r="AA29" i="1"/>
  <c r="AB29" i="1" s="1"/>
  <c r="Z29" i="1"/>
  <c r="AD28" i="1"/>
  <c r="AA28" i="1"/>
  <c r="AB28" i="1" s="1"/>
  <c r="Z28" i="1"/>
  <c r="AD27" i="1"/>
  <c r="AA27" i="1"/>
  <c r="AB27" i="1" s="1"/>
  <c r="Z27" i="1"/>
  <c r="AD26" i="1"/>
  <c r="AA26" i="1"/>
  <c r="AB26" i="1" s="1"/>
  <c r="Z26" i="1"/>
  <c r="AD25" i="1"/>
  <c r="AA25" i="1"/>
  <c r="AB25" i="1" s="1"/>
  <c r="Z25" i="1"/>
  <c r="AD24" i="1"/>
  <c r="AA24" i="1"/>
  <c r="AB24" i="1" s="1"/>
  <c r="Z24" i="1"/>
  <c r="AD23" i="1"/>
  <c r="AA23" i="1"/>
  <c r="AB23" i="1" s="1"/>
  <c r="Z23" i="1"/>
  <c r="AE22" i="1"/>
  <c r="AD22" i="1"/>
  <c r="AB22" i="1"/>
  <c r="Z22" i="1"/>
  <c r="AE21" i="1"/>
  <c r="AD21" i="1"/>
  <c r="AB21" i="1"/>
  <c r="Z21" i="1"/>
  <c r="AE20" i="1"/>
  <c r="AD20" i="1"/>
  <c r="AB20" i="1"/>
  <c r="Z20" i="1"/>
  <c r="AE19" i="1"/>
  <c r="AD19" i="1"/>
  <c r="AB19" i="1"/>
  <c r="Z19" i="1"/>
  <c r="AE18" i="1"/>
  <c r="AD18" i="1"/>
  <c r="AA18" i="1"/>
  <c r="AB18" i="1" s="1"/>
  <c r="Z18" i="1"/>
  <c r="AE17" i="1"/>
  <c r="AD17" i="1"/>
  <c r="AB17" i="1"/>
  <c r="Z17" i="1"/>
  <c r="AE16" i="1"/>
  <c r="AD16" i="1"/>
  <c r="AB16" i="1"/>
  <c r="Z16" i="1"/>
  <c r="AE15" i="1"/>
  <c r="AD15" i="1"/>
  <c r="AB15" i="1"/>
  <c r="Z15" i="1"/>
  <c r="AQ14" i="1"/>
  <c r="AT14" i="1" s="1"/>
  <c r="AE14" i="1"/>
  <c r="AE13" i="1"/>
  <c r="AD13" i="1"/>
  <c r="AA13" i="1"/>
  <c r="AB13" i="1" s="1"/>
  <c r="Z13" i="1"/>
  <c r="AQ12" i="1"/>
  <c r="AS12" i="1" s="1"/>
  <c r="AE12" i="1"/>
  <c r="AD12" i="1"/>
  <c r="Y12" i="1"/>
  <c r="AA12" i="1" s="1"/>
  <c r="AB12" i="1" s="1"/>
  <c r="AQ11" i="1"/>
  <c r="AT11" i="1" s="1"/>
  <c r="AE11" i="1"/>
  <c r="AD11" i="1"/>
  <c r="AB11" i="1"/>
  <c r="Y11" i="1"/>
  <c r="AE10" i="1"/>
  <c r="AD10" i="1"/>
  <c r="AB10" i="1"/>
  <c r="Z10" i="1"/>
  <c r="AE9" i="1"/>
  <c r="AD9" i="1"/>
  <c r="AB9" i="1"/>
  <c r="Z9" i="1"/>
  <c r="AE8" i="1"/>
  <c r="AD8" i="1"/>
  <c r="AB8" i="1"/>
  <c r="Z8" i="1"/>
  <c r="AE7" i="1"/>
  <c r="AD7" i="1"/>
  <c r="AB7" i="1"/>
  <c r="Z7" i="1"/>
  <c r="AE6" i="1"/>
  <c r="AD6" i="1"/>
  <c r="AA6" i="1"/>
  <c r="AB6" i="1" s="1"/>
  <c r="AT6" i="1"/>
  <c r="AD5" i="1"/>
  <c r="AB5" i="1"/>
  <c r="Z5" i="1"/>
  <c r="AD4" i="1"/>
  <c r="AB4" i="1"/>
  <c r="Z4" i="1"/>
  <c r="AT3" i="1"/>
  <c r="AS3" i="1"/>
  <c r="AE3" i="1"/>
  <c r="AD3" i="1"/>
  <c r="AB3" i="1"/>
  <c r="Z3" i="1"/>
  <c r="AY4" i="20" s="1"/>
  <c r="AZ4" i="20" s="1"/>
  <c r="AD2" i="1"/>
  <c r="AB2" i="1"/>
  <c r="Z2" i="1"/>
  <c r="AA58" i="1" l="1"/>
  <c r="AB58" i="1" s="1"/>
  <c r="AT68" i="1"/>
  <c r="AT67" i="1"/>
  <c r="AQ16" i="1"/>
  <c r="AT16" i="1" s="1"/>
  <c r="AY17" i="20"/>
  <c r="AZ17" i="20" s="1"/>
  <c r="AQ18" i="1"/>
  <c r="AT18" i="1" s="1"/>
  <c r="AY19" i="20"/>
  <c r="AZ19" i="20" s="1"/>
  <c r="AQ20" i="1"/>
  <c r="AT20" i="1" s="1"/>
  <c r="AY21" i="20"/>
  <c r="AZ21" i="20" s="1"/>
  <c r="AQ22" i="1"/>
  <c r="AT22" i="1" s="1"/>
  <c r="AY23" i="20"/>
  <c r="AZ23" i="20" s="1"/>
  <c r="AQ27" i="1"/>
  <c r="AT27" i="1" s="1"/>
  <c r="AY28" i="20"/>
  <c r="AZ28" i="20" s="1"/>
  <c r="AQ35" i="1"/>
  <c r="AT35" i="1" s="1"/>
  <c r="AY36" i="20"/>
  <c r="AZ36" i="20" s="1"/>
  <c r="AQ43" i="1"/>
  <c r="AT43" i="1" s="1"/>
  <c r="AY44" i="20"/>
  <c r="AZ44" i="20" s="1"/>
  <c r="AQ54" i="1"/>
  <c r="AT54" i="1" s="1"/>
  <c r="AY55" i="20"/>
  <c r="AZ55" i="20" s="1"/>
  <c r="AQ8" i="1"/>
  <c r="AT8" i="1" s="1"/>
  <c r="AY9" i="20"/>
  <c r="AZ9" i="20" s="1"/>
  <c r="AQ10" i="1"/>
  <c r="AT10" i="1" s="1"/>
  <c r="AY11" i="20"/>
  <c r="AZ11" i="20" s="1"/>
  <c r="AQ30" i="1"/>
  <c r="AT30" i="1" s="1"/>
  <c r="AY31" i="20"/>
  <c r="AZ31" i="20" s="1"/>
  <c r="AQ38" i="1"/>
  <c r="AT38" i="1" s="1"/>
  <c r="AY39" i="20"/>
  <c r="AZ39" i="20" s="1"/>
  <c r="AQ49" i="1"/>
  <c r="AT49" i="1" s="1"/>
  <c r="AY50" i="20"/>
  <c r="AZ50" i="20" s="1"/>
  <c r="AQ57" i="1"/>
  <c r="AT57" i="1" s="1"/>
  <c r="AY58" i="20"/>
  <c r="AZ58" i="20" s="1"/>
  <c r="AQ25" i="1"/>
  <c r="AT25" i="1" s="1"/>
  <c r="AY26" i="20"/>
  <c r="AZ26" i="20" s="1"/>
  <c r="AQ33" i="1"/>
  <c r="AT33" i="1" s="1"/>
  <c r="AY34" i="20"/>
  <c r="AZ34" i="20" s="1"/>
  <c r="AQ41" i="1"/>
  <c r="AT41" i="1" s="1"/>
  <c r="AY42" i="20"/>
  <c r="AZ42" i="20" s="1"/>
  <c r="AQ52" i="1"/>
  <c r="AT52" i="1" s="1"/>
  <c r="AY53" i="20"/>
  <c r="AZ53" i="20" s="1"/>
  <c r="AQ4" i="1"/>
  <c r="AY5" i="20"/>
  <c r="AZ5" i="20" s="1"/>
  <c r="AQ28" i="1"/>
  <c r="AT28" i="1" s="1"/>
  <c r="AY29" i="20"/>
  <c r="AZ29" i="20" s="1"/>
  <c r="AQ36" i="1"/>
  <c r="AS36" i="1" s="1"/>
  <c r="AY37" i="20"/>
  <c r="AZ37" i="20" s="1"/>
  <c r="AQ44" i="1"/>
  <c r="AS44" i="1" s="1"/>
  <c r="AY45" i="20"/>
  <c r="AZ45" i="20" s="1"/>
  <c r="AQ15" i="1"/>
  <c r="AT15" i="1" s="1"/>
  <c r="AY16" i="20"/>
  <c r="AZ16" i="20" s="1"/>
  <c r="AQ21" i="1"/>
  <c r="AT21" i="1" s="1"/>
  <c r="AY22" i="20"/>
  <c r="AZ22" i="20" s="1"/>
  <c r="AQ23" i="1"/>
  <c r="AS23" i="1" s="1"/>
  <c r="AY24" i="20"/>
  <c r="AZ24" i="20" s="1"/>
  <c r="AQ39" i="1"/>
  <c r="AS39" i="1" s="1"/>
  <c r="AY40" i="20"/>
  <c r="AZ40" i="20" s="1"/>
  <c r="AQ50" i="1"/>
  <c r="AT50" i="1" s="1"/>
  <c r="AY51" i="20"/>
  <c r="AZ51" i="20" s="1"/>
  <c r="AQ2" i="1"/>
  <c r="AS2" i="1" s="1"/>
  <c r="AY3" i="20"/>
  <c r="AZ3" i="20" s="1"/>
  <c r="AQ7" i="1"/>
  <c r="AT7" i="1" s="1"/>
  <c r="AY8" i="20"/>
  <c r="AZ8" i="20" s="1"/>
  <c r="AQ9" i="1"/>
  <c r="AT9" i="1" s="1"/>
  <c r="AY10" i="20"/>
  <c r="AZ10" i="20" s="1"/>
  <c r="AQ26" i="1"/>
  <c r="AS26" i="1" s="1"/>
  <c r="AY27" i="20"/>
  <c r="AZ27" i="20" s="1"/>
  <c r="AQ34" i="1"/>
  <c r="AS34" i="1" s="1"/>
  <c r="AY35" i="20"/>
  <c r="AZ35" i="20" s="1"/>
  <c r="AQ42" i="1"/>
  <c r="AT42" i="1" s="1"/>
  <c r="AY43" i="20"/>
  <c r="AZ43" i="20" s="1"/>
  <c r="AQ53" i="1"/>
  <c r="AT53" i="1" s="1"/>
  <c r="AY54" i="20"/>
  <c r="AZ54" i="20" s="1"/>
  <c r="AQ17" i="1"/>
  <c r="AT17" i="1" s="1"/>
  <c r="AY18" i="20"/>
  <c r="AZ18" i="20" s="1"/>
  <c r="AQ13" i="1"/>
  <c r="AS13" i="1" s="1"/>
  <c r="AY14" i="20"/>
  <c r="AZ14" i="20" s="1"/>
  <c r="AQ29" i="1"/>
  <c r="AS29" i="1" s="1"/>
  <c r="AY30" i="20"/>
  <c r="AZ30" i="20" s="1"/>
  <c r="AQ37" i="1"/>
  <c r="AT37" i="1" s="1"/>
  <c r="AY38" i="20"/>
  <c r="AZ38" i="20" s="1"/>
  <c r="AQ48" i="1"/>
  <c r="AT48" i="1" s="1"/>
  <c r="AY49" i="20"/>
  <c r="AZ49" i="20" s="1"/>
  <c r="AQ56" i="1"/>
  <c r="AT56" i="1" s="1"/>
  <c r="AY57" i="20"/>
  <c r="AZ57" i="20" s="1"/>
  <c r="AQ19" i="1"/>
  <c r="AS19" i="1" s="1"/>
  <c r="AY20" i="20"/>
  <c r="AZ20" i="20" s="1"/>
  <c r="AQ31" i="1"/>
  <c r="AS31" i="1" s="1"/>
  <c r="AY32" i="20"/>
  <c r="AZ32" i="20" s="1"/>
  <c r="AQ5" i="1"/>
  <c r="AT5" i="1" s="1"/>
  <c r="AZ7" i="20"/>
  <c r="AY6" i="20"/>
  <c r="AZ6" i="20" s="1"/>
  <c r="AQ24" i="1"/>
  <c r="AS24" i="1" s="1"/>
  <c r="AY25" i="20"/>
  <c r="AZ25" i="20" s="1"/>
  <c r="AQ32" i="1"/>
  <c r="AS32" i="1" s="1"/>
  <c r="AY33" i="20"/>
  <c r="AZ33" i="20" s="1"/>
  <c r="AQ40" i="1"/>
  <c r="AT40" i="1" s="1"/>
  <c r="AY41" i="20"/>
  <c r="AZ41" i="20" s="1"/>
  <c r="AQ51" i="1"/>
  <c r="AT51" i="1" s="1"/>
  <c r="AY52" i="20"/>
  <c r="AZ52" i="20" s="1"/>
  <c r="AQ59" i="1"/>
  <c r="AT59" i="1" s="1"/>
  <c r="AY60" i="20"/>
  <c r="AZ60" i="20" s="1"/>
  <c r="AT64" i="1"/>
  <c r="CA66" i="20"/>
  <c r="BZ66" i="20"/>
  <c r="BZ68" i="20"/>
  <c r="CA68" i="20"/>
  <c r="BZ65" i="20"/>
  <c r="CA65" i="20"/>
  <c r="CA67" i="20"/>
  <c r="BZ67" i="20"/>
  <c r="AS65" i="1"/>
  <c r="AT65" i="1"/>
  <c r="AS66" i="1"/>
  <c r="AT66" i="1"/>
  <c r="AS60" i="1"/>
  <c r="AT60" i="1"/>
  <c r="AS55" i="1"/>
  <c r="AT55" i="1"/>
  <c r="AS52" i="1"/>
  <c r="AT12" i="1"/>
  <c r="AS27" i="1"/>
  <c r="AS11" i="1"/>
  <c r="AE5" i="1"/>
  <c r="AS6" i="1"/>
  <c r="AS8" i="1"/>
  <c r="AS14" i="1"/>
  <c r="AT36" i="1" l="1"/>
  <c r="AT19" i="1"/>
  <c r="AS42" i="1"/>
  <c r="AT23" i="1"/>
  <c r="AS41" i="1"/>
  <c r="AS49" i="1"/>
  <c r="AS30" i="1"/>
  <c r="AS50" i="1"/>
  <c r="AS10" i="1"/>
  <c r="AS9" i="1"/>
  <c r="AS37" i="1"/>
  <c r="AS18" i="1"/>
  <c r="AT44" i="1"/>
  <c r="AS16" i="1"/>
  <c r="AS35" i="1"/>
  <c r="AT31" i="1"/>
  <c r="AS57" i="1"/>
  <c r="AT39" i="1"/>
  <c r="AS53" i="1"/>
  <c r="AS7" i="1"/>
  <c r="AT29" i="1"/>
  <c r="AS43" i="1"/>
  <c r="AS17" i="1"/>
  <c r="AS48" i="1"/>
  <c r="AS20" i="1"/>
  <c r="AS25" i="1"/>
  <c r="AS15" i="1"/>
  <c r="AT26" i="1"/>
  <c r="AS5" i="1"/>
  <c r="AS28" i="1"/>
  <c r="AS22" i="1"/>
  <c r="AS33" i="1"/>
  <c r="AT34" i="1"/>
  <c r="AT13" i="1"/>
  <c r="AS38" i="1"/>
  <c r="AS54" i="1"/>
  <c r="AS56" i="1"/>
  <c r="AS21" i="1"/>
  <c r="AT32" i="1"/>
  <c r="AT24" i="1"/>
  <c r="AS51" i="1"/>
  <c r="AS40" i="1"/>
  <c r="AS59" i="1"/>
  <c r="AE2" i="1"/>
  <c r="AT2" i="1"/>
  <c r="AE4" i="1"/>
  <c r="AT4" i="1"/>
  <c r="AS4" i="1"/>
  <c r="BX59" i="20" l="1"/>
  <c r="BZ59" i="20" s="1"/>
  <c r="BI59" i="20"/>
  <c r="BJ59" i="20" s="1"/>
  <c r="CA59" i="20" l="1"/>
  <c r="AD68" i="1" l="1"/>
  <c r="BH12" i="20" l="1"/>
  <c r="BG12" i="20"/>
  <c r="BX12" i="20"/>
  <c r="BZ12" i="20"/>
  <c r="BG13" i="20"/>
  <c r="BH13" i="20"/>
  <c r="BX13" i="20"/>
  <c r="BI13" i="20"/>
  <c r="BZ13" i="20"/>
  <c r="CA12" i="20"/>
  <c r="BJ13" i="20"/>
  <c r="CA1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Rawan Ammar</author>
  </authors>
  <commentList>
    <comment ref="M18" authorId="0" shapeId="0" xr:uid="{7A4BE10C-6286-4703-B075-B9CD185D0721}">
      <text>
        <r>
          <rPr>
            <b/>
            <sz val="9"/>
            <color indexed="81"/>
            <rFont val="Tahoma"/>
            <family val="2"/>
          </rPr>
          <t>Rawan Ammar:</t>
        </r>
        <r>
          <rPr>
            <sz val="9"/>
            <color indexed="81"/>
            <rFont val="Tahoma"/>
            <family val="2"/>
          </rPr>
          <t xml:space="preserve">
NC 42- 5 wet bags</t>
        </r>
      </text>
    </comment>
    <comment ref="M19" authorId="0" shapeId="0" xr:uid="{AA6C5818-DA2D-4DFE-B213-9A4D3DF6A3FE}">
      <text>
        <r>
          <rPr>
            <b/>
            <sz val="9"/>
            <color indexed="81"/>
            <rFont val="Tahoma"/>
            <family val="2"/>
          </rPr>
          <t>Rawan Ammar:</t>
        </r>
        <r>
          <rPr>
            <sz val="9"/>
            <color indexed="81"/>
            <rFont val="Tahoma"/>
            <family val="2"/>
          </rPr>
          <t xml:space="preserve">
NC 49 total torn 139-Loss 12 west 3 bags</t>
        </r>
      </text>
    </comment>
    <comment ref="M21" authorId="0" shapeId="0" xr:uid="{87F5A59D-D4CA-4673-83A7-154DC9E6C4D7}">
      <text>
        <r>
          <rPr>
            <b/>
            <sz val="9"/>
            <color indexed="81"/>
            <rFont val="Tahoma"/>
            <family val="2"/>
          </rPr>
          <t>Rawan Ammar:</t>
        </r>
        <r>
          <rPr>
            <sz val="9"/>
            <color indexed="81"/>
            <rFont val="Tahoma"/>
            <family val="2"/>
          </rPr>
          <t xml:space="preserve">
NC 47 for BL 1000 &amp; 1001-loss 46</t>
        </r>
      </text>
    </comment>
    <comment ref="M22" authorId="0" shapeId="0" xr:uid="{BBCFF147-F735-4CD8-9F4E-B7614DB76DC7}">
      <text>
        <r>
          <rPr>
            <b/>
            <sz val="9"/>
            <color indexed="81"/>
            <rFont val="Tahoma"/>
            <family val="2"/>
          </rPr>
          <t>Rawan Ammar:</t>
        </r>
        <r>
          <rPr>
            <sz val="9"/>
            <color indexed="81"/>
            <rFont val="Tahoma"/>
            <family val="2"/>
          </rPr>
          <t xml:space="preserve">
NC 47 for BL 1000 &amp; 1001-loss 46</t>
        </r>
      </text>
    </comment>
    <comment ref="M23" authorId="0" shapeId="0" xr:uid="{D0C22734-4874-457F-A0A2-7E578C93D6F6}">
      <text>
        <r>
          <rPr>
            <b/>
            <sz val="9"/>
            <color indexed="81"/>
            <rFont val="Tahoma"/>
            <family val="2"/>
          </rPr>
          <t>Rawan Ammar:</t>
        </r>
        <r>
          <rPr>
            <sz val="9"/>
            <color indexed="81"/>
            <rFont val="Tahoma"/>
            <family val="2"/>
          </rPr>
          <t xml:space="preserve">
NC 69
Loss 20
Waste 4 Sold as it is</t>
        </r>
      </text>
    </comment>
    <comment ref="M24" authorId="0" shapeId="0" xr:uid="{3D620E32-2DC7-41B2-AD43-527B3BD43DD3}">
      <text>
        <r>
          <rPr>
            <b/>
            <sz val="9"/>
            <color indexed="81"/>
            <rFont val="Tahoma"/>
            <family val="2"/>
          </rPr>
          <t>Rawan Ammar:</t>
        </r>
        <r>
          <rPr>
            <sz val="9"/>
            <color indexed="81"/>
            <rFont val="Tahoma"/>
            <family val="2"/>
          </rPr>
          <t xml:space="preserve">
NC 70
Loss 18
</t>
        </r>
      </text>
    </comment>
    <comment ref="M25" authorId="0" shapeId="0" xr:uid="{3564F5B1-1FB2-4DBB-88FE-B07F2DD8CA46}">
      <text>
        <r>
          <rPr>
            <b/>
            <sz val="9"/>
            <color indexed="81"/>
            <rFont val="Tahoma"/>
            <family val="2"/>
          </rPr>
          <t>Rawan Ammar:</t>
        </r>
        <r>
          <rPr>
            <sz val="9"/>
            <color indexed="81"/>
            <rFont val="Tahoma"/>
            <family val="2"/>
          </rPr>
          <t xml:space="preserve">
NC 75
Loss 11
</t>
        </r>
      </text>
    </comment>
    <comment ref="M26" authorId="0" shapeId="0" xr:uid="{9A9399B4-FE88-4814-9CA2-CC505B67C354}">
      <text>
        <r>
          <rPr>
            <b/>
            <sz val="9"/>
            <color indexed="81"/>
            <rFont val="Tahoma"/>
            <family val="2"/>
          </rPr>
          <t>Rawan Ammar:</t>
        </r>
        <r>
          <rPr>
            <sz val="9"/>
            <color indexed="81"/>
            <rFont val="Tahoma"/>
            <family val="2"/>
          </rPr>
          <t xml:space="preserve">
NC 83
Loss 14</t>
        </r>
      </text>
    </comment>
    <comment ref="M27" authorId="0" shapeId="0" xr:uid="{953DC57B-4700-4C2F-A6B4-5075D860906A}">
      <text>
        <r>
          <rPr>
            <b/>
            <sz val="9"/>
            <color indexed="81"/>
            <rFont val="Tahoma"/>
            <family val="2"/>
          </rPr>
          <t>Rawan Ammar:</t>
        </r>
        <r>
          <rPr>
            <sz val="9"/>
            <color indexed="81"/>
            <rFont val="Tahoma"/>
            <family val="2"/>
          </rPr>
          <t xml:space="preserve">
NC 84
Loss 17
</t>
        </r>
      </text>
    </comment>
    <comment ref="M28" authorId="0" shapeId="0" xr:uid="{52BA8792-56C1-4CF7-95BA-6B761C3796D0}">
      <text>
        <r>
          <rPr>
            <b/>
            <sz val="9"/>
            <color indexed="81"/>
            <rFont val="Tahoma"/>
            <family val="2"/>
          </rPr>
          <t>Rawan Ammar:</t>
        </r>
        <r>
          <rPr>
            <sz val="9"/>
            <color indexed="81"/>
            <rFont val="Tahoma"/>
            <family val="2"/>
          </rPr>
          <t xml:space="preserve">
NC 122 torn 95
loss 16
waste 3
Sold 3
wet 7 sold As AF &amp; NC 125
NC 125 Torn 21-loss 4
Total NC (122 &amp;125)125 bags not 127 bags</t>
        </r>
      </text>
    </comment>
    <comment ref="M29" authorId="0" shapeId="0" xr:uid="{313DADD4-C696-4045-BFBA-243B1EBF1180}">
      <text>
        <r>
          <rPr>
            <b/>
            <sz val="9"/>
            <color indexed="81"/>
            <rFont val="Tahoma"/>
            <family val="2"/>
          </rPr>
          <t>Rawan Ammar:</t>
        </r>
        <r>
          <rPr>
            <sz val="9"/>
            <color indexed="81"/>
            <rFont val="Tahoma"/>
            <family val="2"/>
          </rPr>
          <t xml:space="preserve">
NC 86 torn during offloading- 26 loss 6
while torn at Survey report 18 torn
</t>
        </r>
      </text>
    </comment>
    <comment ref="M30" authorId="0" shapeId="0" xr:uid="{D8FB0682-C8AD-4683-A092-8AEB6C5EBDC1}">
      <text>
        <r>
          <rPr>
            <b/>
            <sz val="9"/>
            <color indexed="81"/>
            <rFont val="Tahoma"/>
            <family val="2"/>
          </rPr>
          <t>Rawan Ammar:</t>
        </r>
        <r>
          <rPr>
            <sz val="9"/>
            <color indexed="81"/>
            <rFont val="Tahoma"/>
            <family val="2"/>
          </rPr>
          <t xml:space="preserve">
NC 93 Torn 56-Loss 9
NC 94 Wet 121 Sold as AF
</t>
        </r>
      </text>
    </comment>
    <comment ref="M31" authorId="0" shapeId="0" xr:uid="{18C89D55-9E0F-44C8-9DE6-C5F5E1155201}">
      <text>
        <r>
          <rPr>
            <b/>
            <sz val="9"/>
            <color indexed="81"/>
            <rFont val="Tahoma"/>
            <family val="2"/>
          </rPr>
          <t>Rawan Ammar:</t>
        </r>
        <r>
          <rPr>
            <sz val="9"/>
            <color indexed="81"/>
            <rFont val="Tahoma"/>
            <family val="2"/>
          </rPr>
          <t xml:space="preserve">
NC 89 
8 Loss
1 West</t>
        </r>
      </text>
    </comment>
    <comment ref="M32" authorId="0" shapeId="0" xr:uid="{B252100C-3770-4B8A-9B86-ADEFE1264F94}">
      <text>
        <r>
          <rPr>
            <b/>
            <sz val="9"/>
            <color indexed="81"/>
            <rFont val="Tahoma"/>
            <family val="2"/>
          </rPr>
          <t>Rawan Ammar:</t>
        </r>
        <r>
          <rPr>
            <sz val="9"/>
            <color indexed="81"/>
            <rFont val="Tahoma"/>
            <family val="2"/>
          </rPr>
          <t xml:space="preserve">
NC 90
West 1
loss 14
</t>
        </r>
      </text>
    </comment>
    <comment ref="M33" authorId="0" shapeId="0" xr:uid="{3376BFE8-9C16-4A38-BCBE-E0BCB6E79830}">
      <text>
        <r>
          <rPr>
            <b/>
            <sz val="9"/>
            <color indexed="81"/>
            <rFont val="Tahoma"/>
            <family val="2"/>
          </rPr>
          <t>Rawan Ammar:</t>
        </r>
        <r>
          <rPr>
            <sz val="9"/>
            <color indexed="81"/>
            <rFont val="Tahoma"/>
            <family val="2"/>
          </rPr>
          <t xml:space="preserve">
NC 95
Loss 5
</t>
        </r>
      </text>
    </comment>
    <comment ref="M34" authorId="0" shapeId="0" xr:uid="{6B875223-F2E8-47E2-9BA5-324BB84586D1}">
      <text>
        <r>
          <rPr>
            <b/>
            <sz val="9"/>
            <color indexed="81"/>
            <rFont val="Tahoma"/>
            <family val="2"/>
          </rPr>
          <t>Rawan Ammar:</t>
        </r>
        <r>
          <rPr>
            <sz val="9"/>
            <color indexed="81"/>
            <rFont val="Tahoma"/>
            <family val="2"/>
          </rPr>
          <t xml:space="preserve">
NC 96
Loss 7</t>
        </r>
      </text>
    </comment>
    <comment ref="M35" authorId="0" shapeId="0" xr:uid="{C338F52B-3F89-4AB1-8453-E1C98888E6E4}">
      <text>
        <r>
          <rPr>
            <b/>
            <sz val="9"/>
            <color indexed="81"/>
            <rFont val="Tahoma"/>
            <family val="2"/>
          </rPr>
          <t>Rawan Ammar:</t>
        </r>
        <r>
          <rPr>
            <sz val="9"/>
            <color indexed="81"/>
            <rFont val="Tahoma"/>
            <family val="2"/>
          </rPr>
          <t xml:space="preserve">
NC 100
loss 19
</t>
        </r>
      </text>
    </comment>
    <comment ref="M36" authorId="0" shapeId="0" xr:uid="{07878BB5-AFA2-4640-888E-015DF62D8A0A}">
      <text>
        <r>
          <rPr>
            <b/>
            <sz val="9"/>
            <color indexed="81"/>
            <rFont val="Tahoma"/>
            <family val="2"/>
          </rPr>
          <t>Rawan Ammar:</t>
        </r>
        <r>
          <rPr>
            <sz val="9"/>
            <color indexed="81"/>
            <rFont val="Tahoma"/>
            <family val="2"/>
          </rPr>
          <t xml:space="preserve">
NC 101
loss 8</t>
        </r>
      </text>
    </comment>
    <comment ref="M37" authorId="0" shapeId="0" xr:uid="{1EC4BCE9-F79F-4401-A7CA-5585FEF88B2E}">
      <text>
        <r>
          <rPr>
            <b/>
            <sz val="9"/>
            <color indexed="81"/>
            <rFont val="Tahoma"/>
            <family val="2"/>
          </rPr>
          <t>Rawan Ammar:</t>
        </r>
        <r>
          <rPr>
            <sz val="9"/>
            <color indexed="81"/>
            <rFont val="Tahoma"/>
            <family val="2"/>
          </rPr>
          <t xml:space="preserve">
NC 76
Torn 31 bags-Loss 9</t>
        </r>
      </text>
    </comment>
    <comment ref="M38" authorId="0" shapeId="0" xr:uid="{F530FE0F-351D-48A7-99AD-55B97D2A27C3}">
      <text>
        <r>
          <rPr>
            <b/>
            <sz val="9"/>
            <color indexed="81"/>
            <rFont val="Tahoma"/>
            <family val="2"/>
          </rPr>
          <t>Rawan Ammar:</t>
        </r>
        <r>
          <rPr>
            <sz val="9"/>
            <color indexed="81"/>
            <rFont val="Tahoma"/>
            <family val="2"/>
          </rPr>
          <t xml:space="preserve">
NC 82
Torn 33- Loss 13
NC 99 4 wet sold as AF
</t>
        </r>
      </text>
    </comment>
    <comment ref="M39" authorId="0" shapeId="0" xr:uid="{8F14CC39-3BEF-406E-A47D-0359420EDF97}">
      <text>
        <r>
          <rPr>
            <b/>
            <sz val="9"/>
            <color indexed="81"/>
            <rFont val="Tahoma"/>
            <family val="2"/>
          </rPr>
          <t>Rawan Ammar:</t>
        </r>
        <r>
          <rPr>
            <sz val="9"/>
            <color indexed="81"/>
            <rFont val="Tahoma"/>
            <family val="2"/>
          </rPr>
          <t xml:space="preserve">
NC 80
Torn 24-Loss 5
NC 98 torn 4-loss 1
Total NC torn 28 while survey report 28 torn &amp; 24 hight polish 
</t>
        </r>
      </text>
    </comment>
    <comment ref="M40" authorId="0" shapeId="0" xr:uid="{1271195B-2B61-4191-8CF1-3D49E5F0004D}">
      <text>
        <r>
          <rPr>
            <b/>
            <sz val="9"/>
            <color indexed="81"/>
            <rFont val="Tahoma"/>
            <family val="2"/>
          </rPr>
          <t>Rawan Ammar:</t>
        </r>
        <r>
          <rPr>
            <sz val="9"/>
            <color indexed="81"/>
            <rFont val="Tahoma"/>
            <family val="2"/>
          </rPr>
          <t xml:space="preserve">
NC 102 
Loss 8 bags</t>
        </r>
      </text>
    </comment>
    <comment ref="M41" authorId="0" shapeId="0" xr:uid="{595BA92C-9FB4-49EF-8C7C-24CE2D4C53B3}">
      <text>
        <r>
          <rPr>
            <b/>
            <sz val="9"/>
            <color indexed="81"/>
            <rFont val="Tahoma"/>
            <family val="2"/>
          </rPr>
          <t>Rawan Ammar:</t>
        </r>
        <r>
          <rPr>
            <sz val="9"/>
            <color indexed="81"/>
            <rFont val="Tahoma"/>
            <family val="2"/>
          </rPr>
          <t xml:space="preserve">
NC103
Torn 76-Loss 14
Wet 13 sold as AF
NC No.103 report 79 torn and 13 wet</t>
        </r>
      </text>
    </comment>
    <comment ref="M42" authorId="0" shapeId="0" xr:uid="{0AE8897C-A4F0-4432-AE02-7B83F789BBD3}">
      <text>
        <r>
          <rPr>
            <b/>
            <sz val="9"/>
            <color indexed="81"/>
            <rFont val="Tahoma"/>
            <family val="2"/>
          </rPr>
          <t>Rawan Ammar:</t>
        </r>
        <r>
          <rPr>
            <sz val="9"/>
            <color indexed="81"/>
            <rFont val="Tahoma"/>
            <family val="2"/>
          </rPr>
          <t xml:space="preserve">
NC 105 
Loss 13
Wet 5 Sold as AF</t>
        </r>
      </text>
    </comment>
    <comment ref="M43" authorId="0" shapeId="0" xr:uid="{3D9EBB86-791E-438C-8368-040D2F2E8B91}">
      <text>
        <r>
          <rPr>
            <b/>
            <sz val="9"/>
            <color indexed="81"/>
            <rFont val="Tahoma"/>
            <family val="2"/>
          </rPr>
          <t>Rawan Ammar:</t>
        </r>
        <r>
          <rPr>
            <sz val="9"/>
            <color indexed="81"/>
            <rFont val="Tahoma"/>
            <family val="2"/>
          </rPr>
          <t xml:space="preserve">
NC 109
Loss 2
Wet 2 Sold as AF</t>
        </r>
      </text>
    </comment>
    <comment ref="M44" authorId="0" shapeId="0" xr:uid="{604CA2D7-B765-45CB-8CE6-48CC0F2DF070}">
      <text>
        <r>
          <rPr>
            <b/>
            <sz val="9"/>
            <color indexed="81"/>
            <rFont val="Tahoma"/>
            <family val="2"/>
          </rPr>
          <t>Rawan Ammar:</t>
        </r>
        <r>
          <rPr>
            <sz val="9"/>
            <color indexed="81"/>
            <rFont val="Tahoma"/>
            <family val="2"/>
          </rPr>
          <t xml:space="preserve">
NC 108
Loss 9
Wet 46 Sold as AF</t>
        </r>
      </text>
    </comment>
    <comment ref="M48" authorId="0" shapeId="0" xr:uid="{78C2375B-377F-4718-84CF-148E6428A500}">
      <text>
        <r>
          <rPr>
            <b/>
            <sz val="9"/>
            <color indexed="81"/>
            <rFont val="Tahoma"/>
            <family val="2"/>
          </rPr>
          <t>Rawan Ammar:</t>
        </r>
        <r>
          <rPr>
            <sz val="9"/>
            <color indexed="81"/>
            <rFont val="Tahoma"/>
            <family val="2"/>
          </rPr>
          <t xml:space="preserve">
NC 114
Loss 15 bags</t>
        </r>
      </text>
    </comment>
    <comment ref="M49" authorId="0" shapeId="0" xr:uid="{69D04447-3BB2-4415-B2F8-9E12EBC1FC10}">
      <text>
        <r>
          <rPr>
            <b/>
            <sz val="9"/>
            <color indexed="81"/>
            <rFont val="Tahoma"/>
            <family val="2"/>
          </rPr>
          <t>Rawan Ammar:</t>
        </r>
        <r>
          <rPr>
            <sz val="9"/>
            <color indexed="81"/>
            <rFont val="Tahoma"/>
            <family val="2"/>
          </rPr>
          <t xml:space="preserve">
NC 112
NC QTY 23 bags loss 5 bags
Survey report torn 42 bags</t>
        </r>
      </text>
    </comment>
    <comment ref="M50" authorId="0" shapeId="0" xr:uid="{0E6C1E7C-650D-4ACF-9AA3-E62A51C2601C}">
      <text>
        <r>
          <rPr>
            <b/>
            <sz val="9"/>
            <color indexed="81"/>
            <rFont val="Tahoma"/>
            <family val="2"/>
          </rPr>
          <t>Rawan Ammar:</t>
        </r>
        <r>
          <rPr>
            <sz val="9"/>
            <color indexed="81"/>
            <rFont val="Tahoma"/>
            <family val="2"/>
          </rPr>
          <t xml:space="preserve">
NC 113 
NC QTY 42 bags loss 8 bags
Survey report torn 23 bags
there is Swap between BL:8000 &amp; 8001</t>
        </r>
      </text>
    </comment>
    <comment ref="M51" authorId="0" shapeId="0" xr:uid="{AA3151C5-58B8-42E7-9EA6-E9860E14A2FC}">
      <text>
        <r>
          <rPr>
            <b/>
            <sz val="9"/>
            <color indexed="81"/>
            <rFont val="Tahoma"/>
            <family val="2"/>
          </rPr>
          <t>Rawan Ammar:</t>
        </r>
        <r>
          <rPr>
            <sz val="9"/>
            <color indexed="81"/>
            <rFont val="Tahoma"/>
            <family val="2"/>
          </rPr>
          <t xml:space="preserve">
NC 116 
Loss 5
Wet 13 Sold as AF</t>
        </r>
      </text>
    </comment>
    <comment ref="M52" authorId="0" shapeId="0" xr:uid="{499407BA-D682-4429-B546-49852BC2A765}">
      <text>
        <r>
          <rPr>
            <b/>
            <sz val="9"/>
            <color indexed="81"/>
            <rFont val="Tahoma"/>
            <family val="2"/>
          </rPr>
          <t>Rawan Ammar:</t>
        </r>
        <r>
          <rPr>
            <sz val="9"/>
            <color indexed="81"/>
            <rFont val="Tahoma"/>
            <family val="2"/>
          </rPr>
          <t xml:space="preserve">
NC 117
loss 9 
1 wet bas sold as AF</t>
        </r>
      </text>
    </comment>
    <comment ref="M53" authorId="0" shapeId="0" xr:uid="{387B7610-0E59-4FF7-B0E4-E34F1B3288CE}">
      <text>
        <r>
          <rPr>
            <b/>
            <sz val="9"/>
            <color indexed="81"/>
            <rFont val="Tahoma"/>
            <family val="2"/>
          </rPr>
          <t>Rawan Ammar:</t>
        </r>
        <r>
          <rPr>
            <sz val="9"/>
            <color indexed="81"/>
            <rFont val="Tahoma"/>
            <family val="2"/>
          </rPr>
          <t xml:space="preserve">
NC 118 
Loss 12 
1 wet bas sold as AF</t>
        </r>
      </text>
    </comment>
    <comment ref="M54" authorId="0" shapeId="0" xr:uid="{AB82C448-6258-4D4F-AF4A-B41C43AEDE17}">
      <text>
        <r>
          <rPr>
            <b/>
            <sz val="9"/>
            <color indexed="81"/>
            <rFont val="Tahoma"/>
            <family val="2"/>
          </rPr>
          <t>Rawan Ammar:</t>
        </r>
        <r>
          <rPr>
            <sz val="9"/>
            <color indexed="81"/>
            <rFont val="Tahoma"/>
            <family val="2"/>
          </rPr>
          <t xml:space="preserve">
NC 115
Loss 9
Wet 11 sold as AF</t>
        </r>
      </text>
    </comment>
    <comment ref="M55" authorId="0" shapeId="0" xr:uid="{784000D4-A72B-4DC3-84E3-6582F6B4B93F}">
      <text>
        <r>
          <rPr>
            <b/>
            <sz val="9"/>
            <color indexed="81"/>
            <rFont val="Tahoma"/>
            <family val="2"/>
          </rPr>
          <t>Rawan Ammar:</t>
        </r>
        <r>
          <rPr>
            <sz val="9"/>
            <color indexed="81"/>
            <rFont val="Tahoma"/>
            <family val="2"/>
          </rPr>
          <t xml:space="preserve">
NC 121 
only for torn bags 
loss 13 bags
there is no wet QTY at NC</t>
        </r>
      </text>
    </comment>
    <comment ref="M56" authorId="0" shapeId="0" xr:uid="{5C2D7550-F57A-4509-9269-284A1E9A5636}">
      <text>
        <r>
          <rPr>
            <b/>
            <sz val="9"/>
            <color indexed="81"/>
            <rFont val="Tahoma"/>
            <family val="2"/>
          </rPr>
          <t>Rawan Ammar:</t>
        </r>
        <r>
          <rPr>
            <sz val="9"/>
            <color indexed="81"/>
            <rFont val="Tahoma"/>
            <family val="2"/>
          </rPr>
          <t xml:space="preserve">
NC 122
Loss 16 Bags
Wast 3 bags
Sold 3 bags
Wet 3 bags Sold as AF</t>
        </r>
      </text>
    </comment>
    <comment ref="M57" authorId="0" shapeId="0" xr:uid="{BEF7F901-1DDA-44F1-AAA0-02207CD06892}">
      <text>
        <r>
          <rPr>
            <b/>
            <sz val="9"/>
            <color indexed="81"/>
            <rFont val="Tahoma"/>
            <family val="2"/>
          </rPr>
          <t>Rawan Ammar:</t>
        </r>
        <r>
          <rPr>
            <sz val="9"/>
            <color indexed="81"/>
            <rFont val="Tahoma"/>
            <family val="2"/>
          </rPr>
          <t xml:space="preserve">
NC 124
Loss 18
</t>
        </r>
      </text>
    </comment>
    <comment ref="M58" authorId="0" shapeId="0" xr:uid="{5A445B41-922C-4FBE-805D-3F880102C36E}">
      <text>
        <r>
          <rPr>
            <b/>
            <sz val="9"/>
            <color indexed="81"/>
            <rFont val="Tahoma"/>
            <family val="2"/>
          </rPr>
          <t>Rawan Ammar:</t>
        </r>
        <r>
          <rPr>
            <sz val="9"/>
            <color indexed="81"/>
            <rFont val="Tahoma"/>
            <family val="2"/>
          </rPr>
          <t xml:space="preserve">
NC 132
Loss 11
Waste 2
Wet 95 sold as AF under proccess with insurance team after rise sold invoice</t>
        </r>
      </text>
    </comment>
    <comment ref="M59" authorId="0" shapeId="0" xr:uid="{53C35387-F322-4C63-9565-AACF1273809B}">
      <text>
        <r>
          <rPr>
            <b/>
            <sz val="9"/>
            <color indexed="81"/>
            <rFont val="Tahoma"/>
            <family val="2"/>
          </rPr>
          <t>Rawan Ammar:</t>
        </r>
        <r>
          <rPr>
            <sz val="9"/>
            <color indexed="81"/>
            <rFont val="Tahoma"/>
            <family val="2"/>
          </rPr>
          <t xml:space="preserve">
NC 129
Loss 14
Waste 3
Wet 1 Sold as AF
</t>
        </r>
      </text>
    </comment>
    <comment ref="M60" authorId="0" shapeId="0" xr:uid="{ED1FDEE3-4EBC-48DA-8FBC-EF3F42B76801}">
      <text>
        <r>
          <rPr>
            <b/>
            <sz val="9"/>
            <color indexed="81"/>
            <rFont val="Tahoma"/>
            <family val="2"/>
          </rPr>
          <t>Rawan Ammar:</t>
        </r>
        <r>
          <rPr>
            <sz val="9"/>
            <color indexed="81"/>
            <rFont val="Tahoma"/>
            <family val="2"/>
          </rPr>
          <t xml:space="preserve">
NC 135
Loss 6 
Wet QTY under process</t>
        </r>
      </text>
    </comment>
    <comment ref="M61" authorId="0" shapeId="0" xr:uid="{A0284E6C-6D7B-471B-B2B5-AF92EA5938C0}">
      <text>
        <r>
          <rPr>
            <b/>
            <sz val="9"/>
            <color indexed="81"/>
            <rFont val="Tahoma"/>
            <family val="2"/>
          </rPr>
          <t>Rawan Ammar:</t>
        </r>
        <r>
          <rPr>
            <sz val="9"/>
            <color indexed="81"/>
            <rFont val="Tahoma"/>
            <family val="2"/>
          </rPr>
          <t xml:space="preserve">
NC 126
49 torn bag 13 loss
157 Hight polish under process
</t>
        </r>
      </text>
    </comment>
    <comment ref="M62" authorId="0" shapeId="0" xr:uid="{DBF349D3-31B9-4FDD-8770-EF7189707DEE}">
      <text>
        <r>
          <rPr>
            <b/>
            <sz val="9"/>
            <color indexed="81"/>
            <rFont val="Tahoma"/>
            <family val="2"/>
          </rPr>
          <t xml:space="preserve">Rawan Ammar:
</t>
        </r>
        <r>
          <rPr>
            <sz val="9"/>
            <color indexed="81"/>
            <rFont val="Tahoma"/>
            <family val="2"/>
          </rPr>
          <t xml:space="preserve">NC 127
17 loss
</t>
        </r>
      </text>
    </comment>
    <comment ref="M63" authorId="0" shapeId="0" xr:uid="{80C27DDD-8AD4-4E7F-A3D1-2E9F39C87F8F}">
      <text>
        <r>
          <rPr>
            <b/>
            <sz val="9"/>
            <color indexed="81"/>
            <rFont val="Tahoma"/>
            <family val="2"/>
          </rPr>
          <t>Rawan Ammar:</t>
        </r>
        <r>
          <rPr>
            <sz val="9"/>
            <color indexed="81"/>
            <rFont val="Tahoma"/>
            <family val="2"/>
          </rPr>
          <t xml:space="preserve">
NC 130
Torn 48 Under process</t>
        </r>
      </text>
    </comment>
    <comment ref="M64" authorId="0" shapeId="0" xr:uid="{8B5E2021-88E1-4CA7-9BCA-6106ACF3C4A9}">
      <text>
        <r>
          <rPr>
            <b/>
            <sz val="9"/>
            <color indexed="81"/>
            <rFont val="Tahoma"/>
            <family val="2"/>
          </rPr>
          <t>Rawan Ammar:</t>
        </r>
        <r>
          <rPr>
            <sz val="9"/>
            <color indexed="81"/>
            <rFont val="Tahoma"/>
            <family val="2"/>
          </rPr>
          <t xml:space="preserve">
NC 139
Under process for torn and wet bag</t>
        </r>
      </text>
    </comment>
    <comment ref="M65" authorId="0" shapeId="0" xr:uid="{FC7D3588-9670-489E-9F04-FED34C1C6C45}">
      <text>
        <r>
          <rPr>
            <b/>
            <sz val="9"/>
            <color indexed="81"/>
            <rFont val="Tahoma"/>
            <family val="2"/>
          </rPr>
          <t>Rawan Ammar:</t>
        </r>
        <r>
          <rPr>
            <sz val="9"/>
            <color indexed="81"/>
            <rFont val="Tahoma"/>
            <family val="2"/>
          </rPr>
          <t xml:space="preserve">
NC 138
creat for torn QTY 39 bags, 20 bags wet QTY not add at NC, th NC under process</t>
        </r>
      </text>
    </comment>
    <comment ref="M66" authorId="0" shapeId="0" xr:uid="{96CFC60F-886F-4B16-A832-D0901B275DA5}">
      <text>
        <r>
          <rPr>
            <b/>
            <sz val="9"/>
            <color indexed="81"/>
            <rFont val="Tahoma"/>
            <family val="2"/>
          </rPr>
          <t>Rawan Ammar:</t>
        </r>
        <r>
          <rPr>
            <sz val="9"/>
            <color indexed="81"/>
            <rFont val="Tahoma"/>
            <family val="2"/>
          </rPr>
          <t xml:space="preserve">
NC 141
Loss 13 bags
Wet 78 under process
</t>
        </r>
      </text>
    </comment>
    <comment ref="M67" authorId="0" shapeId="0" xr:uid="{D646CD71-8CD8-4450-921C-E38B15E556EE}">
      <text>
        <r>
          <rPr>
            <b/>
            <sz val="9"/>
            <color indexed="81"/>
            <rFont val="Tahoma"/>
            <family val="2"/>
          </rPr>
          <t>Rawan Ammar:</t>
        </r>
        <r>
          <rPr>
            <sz val="9"/>
            <color indexed="81"/>
            <rFont val="Tahoma"/>
            <family val="2"/>
          </rPr>
          <t xml:space="preserve">
NC 142
7 Loss 
29 wet bag under process</t>
        </r>
      </text>
    </comment>
    <comment ref="M68" authorId="0" shapeId="0" xr:uid="{16E9C9A8-D9DB-4A61-B93A-B3204D93FBC5}">
      <text>
        <r>
          <rPr>
            <b/>
            <sz val="9"/>
            <color indexed="81"/>
            <rFont val="Tahoma"/>
            <family val="2"/>
          </rPr>
          <t>Rawan Ammar:</t>
        </r>
        <r>
          <rPr>
            <sz val="9"/>
            <color indexed="81"/>
            <rFont val="Tahoma"/>
            <family val="2"/>
          </rPr>
          <t xml:space="preserve">
NC 123
Loss 15 bags
</t>
        </r>
      </text>
    </comment>
    <comment ref="M69" authorId="0" shapeId="0" xr:uid="{38F08E8C-3C97-4597-92D3-9C8FD7F4454D}">
      <text>
        <r>
          <rPr>
            <b/>
            <sz val="9"/>
            <color indexed="81"/>
            <rFont val="Tahoma"/>
            <family val="2"/>
          </rPr>
          <t>Rawan Ammar:</t>
        </r>
        <r>
          <rPr>
            <sz val="9"/>
            <color indexed="81"/>
            <rFont val="Tahoma"/>
            <family val="2"/>
          </rPr>
          <t xml:space="preserve">
NC 160
Torn and wet bags under process</t>
        </r>
      </text>
    </comment>
    <comment ref="M70" authorId="0" shapeId="0" xr:uid="{7E992AB1-9E9C-41B4-9C96-5A4494648C8D}">
      <text>
        <r>
          <rPr>
            <b/>
            <sz val="9"/>
            <color indexed="81"/>
            <rFont val="Tahoma"/>
            <family val="2"/>
          </rPr>
          <t>Rawan Ammar:</t>
        </r>
        <r>
          <rPr>
            <sz val="9"/>
            <color indexed="81"/>
            <rFont val="Tahoma"/>
            <family val="2"/>
          </rPr>
          <t xml:space="preserve">
NC 161
Torn bags under process</t>
        </r>
      </text>
    </comment>
    <comment ref="M71" authorId="0" shapeId="0" xr:uid="{6863CDC9-E23F-4F26-875C-01DD9C4D08DD}">
      <text>
        <r>
          <rPr>
            <b/>
            <sz val="9"/>
            <color indexed="81"/>
            <rFont val="Tahoma"/>
            <family val="2"/>
          </rPr>
          <t>Rawan Ammar:</t>
        </r>
        <r>
          <rPr>
            <sz val="9"/>
            <color indexed="81"/>
            <rFont val="Tahoma"/>
            <family val="2"/>
          </rPr>
          <t xml:space="preserve">
NC 162
Torn and wet bag under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Rawan Ammar</author>
  </authors>
  <commentList>
    <comment ref="L19" authorId="0" shapeId="0" xr:uid="{586AF2D6-1FC1-48B7-A1D0-62FE329BB13A}">
      <text>
        <r>
          <rPr>
            <b/>
            <sz val="9"/>
            <color indexed="81"/>
            <rFont val="Tahoma"/>
            <family val="2"/>
          </rPr>
          <t>Rawan Ammar:</t>
        </r>
        <r>
          <rPr>
            <sz val="9"/>
            <color indexed="81"/>
            <rFont val="Tahoma"/>
            <family val="2"/>
          </rPr>
          <t xml:space="preserve">
NC 42- 5 wet bags</t>
        </r>
      </text>
    </comment>
    <comment ref="L20" authorId="0" shapeId="0" xr:uid="{C636D311-7B9B-44AF-B07F-AAD9910FA2F2}">
      <text>
        <r>
          <rPr>
            <b/>
            <sz val="9"/>
            <color indexed="81"/>
            <rFont val="Tahoma"/>
            <family val="2"/>
          </rPr>
          <t>Rawan Ammar:</t>
        </r>
        <r>
          <rPr>
            <sz val="9"/>
            <color indexed="81"/>
            <rFont val="Tahoma"/>
            <family val="2"/>
          </rPr>
          <t xml:space="preserve">
NC 49 total torn 139-Loss 12 west 3 bags</t>
        </r>
      </text>
    </comment>
    <comment ref="L22" authorId="0" shapeId="0" xr:uid="{478B41DD-C80F-4147-B543-CAD3EBE3AAD9}">
      <text>
        <r>
          <rPr>
            <b/>
            <sz val="9"/>
            <color indexed="81"/>
            <rFont val="Tahoma"/>
            <family val="2"/>
          </rPr>
          <t>Rawan Ammar:</t>
        </r>
        <r>
          <rPr>
            <sz val="9"/>
            <color indexed="81"/>
            <rFont val="Tahoma"/>
            <family val="2"/>
          </rPr>
          <t xml:space="preserve">
NC 47 for BL 1000 &amp; 1001-loss 46</t>
        </r>
      </text>
    </comment>
    <comment ref="L23" authorId="0" shapeId="0" xr:uid="{2F847743-8295-4D6D-AEB2-1E37BDF222C3}">
      <text>
        <r>
          <rPr>
            <b/>
            <sz val="9"/>
            <color indexed="81"/>
            <rFont val="Tahoma"/>
            <family val="2"/>
          </rPr>
          <t>Rawan Ammar:</t>
        </r>
        <r>
          <rPr>
            <sz val="9"/>
            <color indexed="81"/>
            <rFont val="Tahoma"/>
            <family val="2"/>
          </rPr>
          <t xml:space="preserve">
NC 47 for BL 1000 &amp; 1001-loss 46</t>
        </r>
      </text>
    </comment>
    <comment ref="L24" authorId="0" shapeId="0" xr:uid="{A0646B3E-E695-42E1-9846-045777D91D6C}">
      <text>
        <r>
          <rPr>
            <b/>
            <sz val="9"/>
            <color indexed="81"/>
            <rFont val="Tahoma"/>
            <family val="2"/>
          </rPr>
          <t>Rawan Ammar:</t>
        </r>
        <r>
          <rPr>
            <sz val="9"/>
            <color indexed="81"/>
            <rFont val="Tahoma"/>
            <family val="2"/>
          </rPr>
          <t xml:space="preserve">
NC 69
Loss 20
Waste 4 Sold as it is</t>
        </r>
      </text>
    </comment>
    <comment ref="AB24" authorId="0" shapeId="0" xr:uid="{B522485C-53FB-4950-9E1D-CEF44DA1AD08}">
      <text>
        <r>
          <rPr>
            <b/>
            <sz val="9"/>
            <color indexed="81"/>
            <rFont val="Tahoma"/>
            <family val="2"/>
          </rPr>
          <t>Rawan Ammar:</t>
        </r>
        <r>
          <rPr>
            <sz val="9"/>
            <color indexed="81"/>
            <rFont val="Tahoma"/>
            <family val="2"/>
          </rPr>
          <t xml:space="preserve">
Survey report 7 wet bags 
While at NC 4 wet bags</t>
        </r>
      </text>
    </comment>
    <comment ref="L25" authorId="0" shapeId="0" xr:uid="{2AF776A7-F33A-4CF1-A8AC-D9E03172526F}">
      <text>
        <r>
          <rPr>
            <b/>
            <sz val="9"/>
            <color indexed="81"/>
            <rFont val="Tahoma"/>
            <family val="2"/>
          </rPr>
          <t>Rawan Ammar:</t>
        </r>
        <r>
          <rPr>
            <sz val="9"/>
            <color indexed="81"/>
            <rFont val="Tahoma"/>
            <family val="2"/>
          </rPr>
          <t xml:space="preserve">
NC 70
Loss 18
</t>
        </r>
      </text>
    </comment>
    <comment ref="L26" authorId="0" shapeId="0" xr:uid="{DC047C36-0B39-42EA-9621-600271AE14F1}">
      <text>
        <r>
          <rPr>
            <b/>
            <sz val="9"/>
            <color indexed="81"/>
            <rFont val="Tahoma"/>
            <family val="2"/>
          </rPr>
          <t>Rawan Ammar:</t>
        </r>
        <r>
          <rPr>
            <sz val="9"/>
            <color indexed="81"/>
            <rFont val="Tahoma"/>
            <family val="2"/>
          </rPr>
          <t xml:space="preserve">
NC 75
Loss 11
</t>
        </r>
      </text>
    </comment>
    <comment ref="L27" authorId="0" shapeId="0" xr:uid="{D8C26422-E6E7-4D3A-8DCE-95EA37DD421E}">
      <text>
        <r>
          <rPr>
            <b/>
            <sz val="9"/>
            <color indexed="81"/>
            <rFont val="Tahoma"/>
            <family val="2"/>
          </rPr>
          <t>Rawan Ammar:</t>
        </r>
        <r>
          <rPr>
            <sz val="9"/>
            <color indexed="81"/>
            <rFont val="Tahoma"/>
            <family val="2"/>
          </rPr>
          <t xml:space="preserve">
NC 83
Loss 14</t>
        </r>
      </text>
    </comment>
    <comment ref="L28" authorId="0" shapeId="0" xr:uid="{9050ADD8-B5DA-4CCD-B826-91A83B88588E}">
      <text>
        <r>
          <rPr>
            <b/>
            <sz val="9"/>
            <color indexed="81"/>
            <rFont val="Tahoma"/>
            <family val="2"/>
          </rPr>
          <t>Rawan Ammar:</t>
        </r>
        <r>
          <rPr>
            <sz val="9"/>
            <color indexed="81"/>
            <rFont val="Tahoma"/>
            <family val="2"/>
          </rPr>
          <t xml:space="preserve">
NC 84
Loss 17
</t>
        </r>
      </text>
    </comment>
    <comment ref="L29" authorId="0" shapeId="0" xr:uid="{85C8711F-904A-4FF9-9A5F-442A41C9CB19}">
      <text>
        <r>
          <rPr>
            <b/>
            <sz val="9"/>
            <color indexed="81"/>
            <rFont val="Tahoma"/>
            <family val="2"/>
          </rPr>
          <t>Rawan Ammar:</t>
        </r>
        <r>
          <rPr>
            <sz val="9"/>
            <color indexed="81"/>
            <rFont val="Tahoma"/>
            <family val="2"/>
          </rPr>
          <t xml:space="preserve">
NC 122 torn 95
loss 16
waste 3
Sold 3
wet 7 sold As AF &amp; NC 125
NC 125 Torn 21-loss 4
Total NC (122 &amp;125)125 bags not 127 bags</t>
        </r>
      </text>
    </comment>
    <comment ref="L30" authorId="0" shapeId="0" xr:uid="{9CE25A92-15C5-49ED-9899-38A4D4E9C749}">
      <text>
        <r>
          <rPr>
            <b/>
            <sz val="9"/>
            <color indexed="81"/>
            <rFont val="Tahoma"/>
            <family val="2"/>
          </rPr>
          <t>Rawan Ammar:</t>
        </r>
        <r>
          <rPr>
            <sz val="9"/>
            <color indexed="81"/>
            <rFont val="Tahoma"/>
            <family val="2"/>
          </rPr>
          <t xml:space="preserve">
NC 86 torn during offloading- 26 loss 6
while torn at Survey report 18 torn
</t>
        </r>
      </text>
    </comment>
    <comment ref="L31" authorId="0" shapeId="0" xr:uid="{8677732A-CA95-425F-8C77-05C902682DDC}">
      <text>
        <r>
          <rPr>
            <b/>
            <sz val="9"/>
            <color indexed="81"/>
            <rFont val="Tahoma"/>
            <family val="2"/>
          </rPr>
          <t>Rawan Ammar:</t>
        </r>
        <r>
          <rPr>
            <sz val="9"/>
            <color indexed="81"/>
            <rFont val="Tahoma"/>
            <family val="2"/>
          </rPr>
          <t xml:space="preserve">
NC 93 Torn 56-Loss 9
NC 94 Wet 121 Sold as AF
</t>
        </r>
      </text>
    </comment>
    <comment ref="L32" authorId="0" shapeId="0" xr:uid="{07D2D28E-727D-4A02-910A-A461E4BC2B32}">
      <text>
        <r>
          <rPr>
            <b/>
            <sz val="9"/>
            <color indexed="81"/>
            <rFont val="Tahoma"/>
            <family val="2"/>
          </rPr>
          <t>Rawan Ammar:</t>
        </r>
        <r>
          <rPr>
            <sz val="9"/>
            <color indexed="81"/>
            <rFont val="Tahoma"/>
            <family val="2"/>
          </rPr>
          <t xml:space="preserve">
NC 89 
8 Loss
1 Waste</t>
        </r>
      </text>
    </comment>
    <comment ref="L33" authorId="0" shapeId="0" xr:uid="{64CAC33A-857E-49C8-A880-D6B58C516180}">
      <text>
        <r>
          <rPr>
            <b/>
            <sz val="9"/>
            <color indexed="81"/>
            <rFont val="Tahoma"/>
            <family val="2"/>
          </rPr>
          <t>Rawan Ammar:</t>
        </r>
        <r>
          <rPr>
            <sz val="9"/>
            <color indexed="81"/>
            <rFont val="Tahoma"/>
            <family val="2"/>
          </rPr>
          <t xml:space="preserve">
NC 90
Waste 1
loss 15
</t>
        </r>
      </text>
    </comment>
    <comment ref="L34" authorId="0" shapeId="0" xr:uid="{5148913B-03E2-44B2-A2E7-08BAF9C9E074}">
      <text>
        <r>
          <rPr>
            <b/>
            <sz val="9"/>
            <color indexed="81"/>
            <rFont val="Tahoma"/>
            <family val="2"/>
          </rPr>
          <t>Rawan Ammar:</t>
        </r>
        <r>
          <rPr>
            <sz val="9"/>
            <color indexed="81"/>
            <rFont val="Tahoma"/>
            <family val="2"/>
          </rPr>
          <t xml:space="preserve">
NC 95
Loss 5
</t>
        </r>
      </text>
    </comment>
    <comment ref="L35" authorId="0" shapeId="0" xr:uid="{E5047397-D36D-461A-85DF-BDC91A265B9E}">
      <text>
        <r>
          <rPr>
            <b/>
            <sz val="9"/>
            <color indexed="81"/>
            <rFont val="Tahoma"/>
            <family val="2"/>
          </rPr>
          <t>Rawan Ammar:</t>
        </r>
        <r>
          <rPr>
            <sz val="9"/>
            <color indexed="81"/>
            <rFont val="Tahoma"/>
            <family val="2"/>
          </rPr>
          <t xml:space="preserve">
NC 96
Loss 7</t>
        </r>
      </text>
    </comment>
    <comment ref="L36" authorId="0" shapeId="0" xr:uid="{EB1C81DA-33FC-4C73-9CC0-BCAE48BAE15D}">
      <text>
        <r>
          <rPr>
            <b/>
            <sz val="9"/>
            <color indexed="81"/>
            <rFont val="Tahoma"/>
            <family val="2"/>
          </rPr>
          <t>Rawan Ammar:</t>
        </r>
        <r>
          <rPr>
            <sz val="9"/>
            <color indexed="81"/>
            <rFont val="Tahoma"/>
            <family val="2"/>
          </rPr>
          <t xml:space="preserve">
NC 100
loss 19
</t>
        </r>
      </text>
    </comment>
    <comment ref="L37" authorId="0" shapeId="0" xr:uid="{A29662D1-8A01-4BE4-AAC6-FA787DFE8FB5}">
      <text>
        <r>
          <rPr>
            <b/>
            <sz val="9"/>
            <color indexed="81"/>
            <rFont val="Tahoma"/>
            <family val="2"/>
          </rPr>
          <t>Rawan Ammar:</t>
        </r>
        <r>
          <rPr>
            <sz val="9"/>
            <color indexed="81"/>
            <rFont val="Tahoma"/>
            <family val="2"/>
          </rPr>
          <t xml:space="preserve">
NC 101
loss 8</t>
        </r>
      </text>
    </comment>
    <comment ref="L38" authorId="0" shapeId="0" xr:uid="{1E0C95E3-677F-4517-9E1D-8579D6FAA4AB}">
      <text>
        <r>
          <rPr>
            <b/>
            <sz val="9"/>
            <color indexed="81"/>
            <rFont val="Tahoma"/>
            <family val="2"/>
          </rPr>
          <t>Rawan Ammar:</t>
        </r>
        <r>
          <rPr>
            <sz val="9"/>
            <color indexed="81"/>
            <rFont val="Tahoma"/>
            <family val="2"/>
          </rPr>
          <t xml:space="preserve">
NC 76
Torn 31 bags-Loss 9
</t>
        </r>
      </text>
    </comment>
    <comment ref="L39" authorId="0" shapeId="0" xr:uid="{D08802D1-67F8-4A23-A2F0-8355D57CE504}">
      <text>
        <r>
          <rPr>
            <b/>
            <sz val="9"/>
            <color indexed="81"/>
            <rFont val="Tahoma"/>
            <family val="2"/>
          </rPr>
          <t>Rawan Ammar:</t>
        </r>
        <r>
          <rPr>
            <sz val="9"/>
            <color indexed="81"/>
            <rFont val="Tahoma"/>
            <family val="2"/>
          </rPr>
          <t xml:space="preserve">
NC 82
Torn 33- Loss 13
NC 99 4 wet sold as AF
</t>
        </r>
      </text>
    </comment>
    <comment ref="L40" authorId="0" shapeId="0" xr:uid="{61FB1794-A654-4555-8A00-8ED30BFC5DD4}">
      <text>
        <r>
          <rPr>
            <b/>
            <sz val="9"/>
            <color indexed="81"/>
            <rFont val="Tahoma"/>
            <family val="2"/>
          </rPr>
          <t>Rawan Ammar:</t>
        </r>
        <r>
          <rPr>
            <sz val="9"/>
            <color indexed="81"/>
            <rFont val="Tahoma"/>
            <family val="2"/>
          </rPr>
          <t xml:space="preserve">
NC 80
Torn 24-Loss 5
NC 98 torn 4-loss 1
Total NC torn 28 while survey report 28 torn &amp; 24 hight polish
24 hight polish not reported
</t>
        </r>
      </text>
    </comment>
    <comment ref="L41" authorId="0" shapeId="0" xr:uid="{2D029231-0074-43EC-9350-1B00C9D8DA84}">
      <text>
        <r>
          <rPr>
            <b/>
            <sz val="9"/>
            <color indexed="81"/>
            <rFont val="Tahoma"/>
            <family val="2"/>
          </rPr>
          <t>Rawan Ammar:</t>
        </r>
        <r>
          <rPr>
            <sz val="9"/>
            <color indexed="81"/>
            <rFont val="Tahoma"/>
            <family val="2"/>
          </rPr>
          <t xml:space="preserve">
NC 102 
Loss 8 bags</t>
        </r>
      </text>
    </comment>
    <comment ref="L42" authorId="0" shapeId="0" xr:uid="{09D27B94-21CE-4A37-BF3C-D0807F0B15CE}">
      <text>
        <r>
          <rPr>
            <b/>
            <sz val="9"/>
            <color indexed="81"/>
            <rFont val="Tahoma"/>
            <family val="2"/>
          </rPr>
          <t>Rawan Ammar:</t>
        </r>
        <r>
          <rPr>
            <sz val="9"/>
            <color indexed="81"/>
            <rFont val="Tahoma"/>
            <family val="2"/>
          </rPr>
          <t xml:space="preserve">
NC103
Torn 76-Loss 14
Wet 13 sold as AF
NC No.103 report 79 torn and 13 wet</t>
        </r>
      </text>
    </comment>
    <comment ref="L43" authorId="0" shapeId="0" xr:uid="{888C5F7C-18DD-4394-B917-74DF9B6174EC}">
      <text>
        <r>
          <rPr>
            <b/>
            <sz val="9"/>
            <color indexed="81"/>
            <rFont val="Tahoma"/>
            <family val="2"/>
          </rPr>
          <t>Rawan Ammar:</t>
        </r>
        <r>
          <rPr>
            <sz val="9"/>
            <color indexed="81"/>
            <rFont val="Tahoma"/>
            <family val="2"/>
          </rPr>
          <t xml:space="preserve">
NC 105 
Loss 13
Wet 5 Sold as AF</t>
        </r>
      </text>
    </comment>
    <comment ref="L44" authorId="0" shapeId="0" xr:uid="{52282360-269C-4F98-A48D-3576539A831D}">
      <text>
        <r>
          <rPr>
            <b/>
            <sz val="9"/>
            <color indexed="81"/>
            <rFont val="Tahoma"/>
            <family val="2"/>
          </rPr>
          <t>Rawan Ammar:</t>
        </r>
        <r>
          <rPr>
            <sz val="9"/>
            <color indexed="81"/>
            <rFont val="Tahoma"/>
            <family val="2"/>
          </rPr>
          <t xml:space="preserve">
NC 109
Loss 2
Wet 2 Sold as AF</t>
        </r>
      </text>
    </comment>
    <comment ref="L45" authorId="0" shapeId="0" xr:uid="{14AEAF62-7723-40EA-8DD7-8D8E56992097}">
      <text>
        <r>
          <rPr>
            <b/>
            <sz val="9"/>
            <color indexed="81"/>
            <rFont val="Tahoma"/>
            <family val="2"/>
          </rPr>
          <t>Rawan Ammar:</t>
        </r>
        <r>
          <rPr>
            <sz val="9"/>
            <color indexed="81"/>
            <rFont val="Tahoma"/>
            <family val="2"/>
          </rPr>
          <t xml:space="preserve">
NC 108
Loss 9
Wet 46 Sold as AF</t>
        </r>
      </text>
    </comment>
    <comment ref="L49" authorId="0" shapeId="0" xr:uid="{7F4AFEB5-C157-42B0-A7B0-3CE3ED4DBFDD}">
      <text>
        <r>
          <rPr>
            <b/>
            <sz val="9"/>
            <color indexed="81"/>
            <rFont val="Tahoma"/>
            <family val="2"/>
          </rPr>
          <t>Rawan Ammar:</t>
        </r>
        <r>
          <rPr>
            <sz val="9"/>
            <color indexed="81"/>
            <rFont val="Tahoma"/>
            <family val="2"/>
          </rPr>
          <t xml:space="preserve">
NC 114
Loss 15 bags</t>
        </r>
      </text>
    </comment>
    <comment ref="L50" authorId="0" shapeId="0" xr:uid="{E594DAA4-242F-44C5-B2BC-26ED5B25102D}">
      <text>
        <r>
          <rPr>
            <b/>
            <sz val="9"/>
            <color indexed="81"/>
            <rFont val="Tahoma"/>
            <family val="2"/>
          </rPr>
          <t>Rawan Ammar:</t>
        </r>
        <r>
          <rPr>
            <sz val="9"/>
            <color indexed="81"/>
            <rFont val="Tahoma"/>
            <family val="2"/>
          </rPr>
          <t xml:space="preserve">
NC 112
NC QTY 23 bags loss 5 bags
Survey report torn 42 bags</t>
        </r>
      </text>
    </comment>
    <comment ref="L51" authorId="0" shapeId="0" xr:uid="{83103FF6-1F88-432F-A458-4842C6D6EB63}">
      <text>
        <r>
          <rPr>
            <b/>
            <sz val="9"/>
            <color indexed="81"/>
            <rFont val="Tahoma"/>
            <family val="2"/>
          </rPr>
          <t>Rawan Ammar:</t>
        </r>
        <r>
          <rPr>
            <sz val="9"/>
            <color indexed="81"/>
            <rFont val="Tahoma"/>
            <family val="2"/>
          </rPr>
          <t xml:space="preserve">
NC 113 
NC QTY 42 bags loss 8 bags
Survey report torn 23 bags
there is Swap between BL:8000 &amp; 8001</t>
        </r>
      </text>
    </comment>
    <comment ref="L52" authorId="0" shapeId="0" xr:uid="{0FB6D0E2-D3D6-4CDC-8EB4-71F745AFF015}">
      <text>
        <r>
          <rPr>
            <b/>
            <sz val="9"/>
            <color indexed="81"/>
            <rFont val="Tahoma"/>
            <family val="2"/>
          </rPr>
          <t>Rawan Ammar:</t>
        </r>
        <r>
          <rPr>
            <sz val="9"/>
            <color indexed="81"/>
            <rFont val="Tahoma"/>
            <family val="2"/>
          </rPr>
          <t xml:space="preserve">
NC 116 
Loss 5
Wet 13 Sold as AF</t>
        </r>
      </text>
    </comment>
    <comment ref="L53" authorId="0" shapeId="0" xr:uid="{D75D8F47-761E-4930-B3C4-0D8409A27EFA}">
      <text>
        <r>
          <rPr>
            <b/>
            <sz val="9"/>
            <color indexed="81"/>
            <rFont val="Tahoma"/>
            <family val="2"/>
          </rPr>
          <t>Rawan Ammar:</t>
        </r>
        <r>
          <rPr>
            <sz val="9"/>
            <color indexed="81"/>
            <rFont val="Tahoma"/>
            <family val="2"/>
          </rPr>
          <t xml:space="preserve">
NC 117
loss 9 
1 wet bas sold as AF</t>
        </r>
      </text>
    </comment>
    <comment ref="L54" authorId="0" shapeId="0" xr:uid="{3725BB09-20AE-4AFA-9E6B-971C582F3055}">
      <text>
        <r>
          <rPr>
            <b/>
            <sz val="9"/>
            <color indexed="81"/>
            <rFont val="Tahoma"/>
            <family val="2"/>
          </rPr>
          <t>Rawan Ammar:</t>
        </r>
        <r>
          <rPr>
            <sz val="9"/>
            <color indexed="81"/>
            <rFont val="Tahoma"/>
            <family val="2"/>
          </rPr>
          <t xml:space="preserve">
NC 118 
Loss 12 
1 wet bas sold as AF</t>
        </r>
      </text>
    </comment>
    <comment ref="L55" authorId="0" shapeId="0" xr:uid="{614507B6-8C46-4789-A6F7-DAEC8D1E4F54}">
      <text>
        <r>
          <rPr>
            <b/>
            <sz val="9"/>
            <color indexed="81"/>
            <rFont val="Tahoma"/>
            <family val="2"/>
          </rPr>
          <t>Rawan Ammar:</t>
        </r>
        <r>
          <rPr>
            <sz val="9"/>
            <color indexed="81"/>
            <rFont val="Tahoma"/>
            <family val="2"/>
          </rPr>
          <t xml:space="preserve">
NC 115
Loss 9
Wet 11 sold as AF</t>
        </r>
      </text>
    </comment>
    <comment ref="L56" authorId="0" shapeId="0" xr:uid="{59D0606B-78C5-4D0E-88A6-22FE3C65F455}">
      <text>
        <r>
          <rPr>
            <b/>
            <sz val="9"/>
            <color indexed="81"/>
            <rFont val="Tahoma"/>
            <family val="2"/>
          </rPr>
          <t>Rawan Ammar:</t>
        </r>
        <r>
          <rPr>
            <sz val="9"/>
            <color indexed="81"/>
            <rFont val="Tahoma"/>
            <family val="2"/>
          </rPr>
          <t xml:space="preserve">
NC 121 
only for torn bags 
loss 13 bags
there is no wet QTY at NC</t>
        </r>
      </text>
    </comment>
    <comment ref="L57" authorId="0" shapeId="0" xr:uid="{C6A6AA8C-2983-4557-A804-68A7788AD48D}">
      <text>
        <r>
          <rPr>
            <b/>
            <sz val="9"/>
            <color indexed="81"/>
            <rFont val="Tahoma"/>
            <family val="2"/>
          </rPr>
          <t>Rawan Ammar:</t>
        </r>
        <r>
          <rPr>
            <sz val="9"/>
            <color indexed="81"/>
            <rFont val="Tahoma"/>
            <family val="2"/>
          </rPr>
          <t xml:space="preserve">
NC 122
Loss 16 Bags
Wast 3 bags
Sold 3 bags
Wet 3 bags Sold as AF</t>
        </r>
      </text>
    </comment>
    <comment ref="L58" authorId="0" shapeId="0" xr:uid="{4E890808-0170-4DE5-82AD-606ED73EE233}">
      <text>
        <r>
          <rPr>
            <b/>
            <sz val="9"/>
            <color indexed="81"/>
            <rFont val="Tahoma"/>
            <family val="2"/>
          </rPr>
          <t>Rawan Ammar:</t>
        </r>
        <r>
          <rPr>
            <sz val="9"/>
            <color indexed="81"/>
            <rFont val="Tahoma"/>
            <family val="2"/>
          </rPr>
          <t xml:space="preserve">
NC 124
Loss 18
</t>
        </r>
      </text>
    </comment>
    <comment ref="L59" authorId="0" shapeId="0" xr:uid="{91D90A54-2C2B-457B-8D81-BB2D98435FD4}">
      <text>
        <r>
          <rPr>
            <b/>
            <sz val="9"/>
            <color indexed="81"/>
            <rFont val="Tahoma"/>
            <family val="2"/>
          </rPr>
          <t>Rawan Ammar:</t>
        </r>
        <r>
          <rPr>
            <sz val="9"/>
            <color indexed="81"/>
            <rFont val="Tahoma"/>
            <family val="2"/>
          </rPr>
          <t xml:space="preserve">
NC 132
Loss 11
Waste 2
Wet 95 sold as AF under proccess with insurance team after rise sold invoice</t>
        </r>
      </text>
    </comment>
    <comment ref="L60" authorId="0" shapeId="0" xr:uid="{3D6918E1-E932-4C41-8522-3BD462E1C8B4}">
      <text>
        <r>
          <rPr>
            <b/>
            <sz val="9"/>
            <color indexed="81"/>
            <rFont val="Tahoma"/>
            <family val="2"/>
          </rPr>
          <t>Rawan Ammar:</t>
        </r>
        <r>
          <rPr>
            <sz val="9"/>
            <color indexed="81"/>
            <rFont val="Tahoma"/>
            <family val="2"/>
          </rPr>
          <t xml:space="preserve">
NC 129
Loss 14
Waste 3
Wet 1 Sold as AF
</t>
        </r>
      </text>
    </comment>
    <comment ref="L61" authorId="0" shapeId="0" xr:uid="{ABB0F436-B23E-4754-8F06-ACD632EB2394}">
      <text>
        <r>
          <rPr>
            <b/>
            <sz val="9"/>
            <color indexed="81"/>
            <rFont val="Tahoma"/>
            <family val="2"/>
          </rPr>
          <t>Rawan Ammar:</t>
        </r>
        <r>
          <rPr>
            <sz val="9"/>
            <color indexed="81"/>
            <rFont val="Tahoma"/>
            <family val="2"/>
          </rPr>
          <t xml:space="preserve">
NC 135
Loss 6 
Wet QTY under process</t>
        </r>
      </text>
    </comment>
    <comment ref="L62" authorId="0" shapeId="0" xr:uid="{F742F613-D740-496A-B725-ED2C522B9206}">
      <text>
        <r>
          <rPr>
            <b/>
            <sz val="9"/>
            <color indexed="81"/>
            <rFont val="Tahoma"/>
            <family val="2"/>
          </rPr>
          <t>Rawan Ammar:</t>
        </r>
        <r>
          <rPr>
            <sz val="9"/>
            <color indexed="81"/>
            <rFont val="Tahoma"/>
            <family val="2"/>
          </rPr>
          <t xml:space="preserve">
NC 126
49 torn bag 13 loss
157 Hight polish under process
</t>
        </r>
      </text>
    </comment>
    <comment ref="L63" authorId="0" shapeId="0" xr:uid="{974A769F-675F-4756-91C3-49DDAA420E5C}">
      <text>
        <r>
          <rPr>
            <b/>
            <sz val="9"/>
            <color indexed="81"/>
            <rFont val="Tahoma"/>
            <family val="2"/>
          </rPr>
          <t xml:space="preserve">Rawan Ammar:
</t>
        </r>
        <r>
          <rPr>
            <sz val="9"/>
            <color indexed="81"/>
            <rFont val="Tahoma"/>
            <family val="2"/>
          </rPr>
          <t xml:space="preserve">NC 127
17 loss
</t>
        </r>
      </text>
    </comment>
    <comment ref="L64" authorId="0" shapeId="0" xr:uid="{F81343FD-1FFC-4E7E-A1B3-3EFE7DAD7999}">
      <text>
        <r>
          <rPr>
            <b/>
            <sz val="9"/>
            <color indexed="81"/>
            <rFont val="Tahoma"/>
            <family val="2"/>
          </rPr>
          <t>Rawan Ammar:</t>
        </r>
        <r>
          <rPr>
            <sz val="9"/>
            <color indexed="81"/>
            <rFont val="Tahoma"/>
            <family val="2"/>
          </rPr>
          <t xml:space="preserve">
NC 130
Torn 48 Under process</t>
        </r>
      </text>
    </comment>
    <comment ref="L65" authorId="0" shapeId="0" xr:uid="{B35D9967-8D10-4CF4-A36B-A633AA1146B5}">
      <text>
        <r>
          <rPr>
            <b/>
            <sz val="9"/>
            <color indexed="81"/>
            <rFont val="Tahoma"/>
            <family val="2"/>
          </rPr>
          <t>Rawan Ammar:</t>
        </r>
        <r>
          <rPr>
            <sz val="9"/>
            <color indexed="81"/>
            <rFont val="Tahoma"/>
            <family val="2"/>
          </rPr>
          <t xml:space="preserve">
NC 139
Under process for torn and wet bag</t>
        </r>
      </text>
    </comment>
    <comment ref="L66" authorId="0" shapeId="0" xr:uid="{6E1A6DEE-606F-4C03-8861-4515E96B6B98}">
      <text>
        <r>
          <rPr>
            <b/>
            <sz val="9"/>
            <color indexed="81"/>
            <rFont val="Tahoma"/>
            <family val="2"/>
          </rPr>
          <t>Rawan Ammar:</t>
        </r>
        <r>
          <rPr>
            <sz val="9"/>
            <color indexed="81"/>
            <rFont val="Tahoma"/>
            <family val="2"/>
          </rPr>
          <t xml:space="preserve">
NC 138
creat for torn QTY 39 bags, 20 bags wet QTY not add at NC, th NC under process</t>
        </r>
      </text>
    </comment>
    <comment ref="L67" authorId="0" shapeId="0" xr:uid="{DC3B9FA0-3089-481B-A895-5EE47B778D8B}">
      <text>
        <r>
          <rPr>
            <b/>
            <sz val="9"/>
            <color indexed="81"/>
            <rFont val="Tahoma"/>
            <family val="2"/>
          </rPr>
          <t>Rawan Ammar:</t>
        </r>
        <r>
          <rPr>
            <sz val="9"/>
            <color indexed="81"/>
            <rFont val="Tahoma"/>
            <family val="2"/>
          </rPr>
          <t xml:space="preserve">
NC 141
Loss 13 bags
Wet 78 under process
</t>
        </r>
      </text>
    </comment>
    <comment ref="L68" authorId="0" shapeId="0" xr:uid="{10E842CD-4C10-4A03-B611-CC6F96DA8E2F}">
      <text>
        <r>
          <rPr>
            <b/>
            <sz val="9"/>
            <color indexed="81"/>
            <rFont val="Tahoma"/>
            <family val="2"/>
          </rPr>
          <t>Rawan Ammar:</t>
        </r>
        <r>
          <rPr>
            <sz val="9"/>
            <color indexed="81"/>
            <rFont val="Tahoma"/>
            <family val="2"/>
          </rPr>
          <t xml:space="preserve">
NC 142
7 Loss 
29 wet bag under process</t>
        </r>
      </text>
    </comment>
    <comment ref="L69" authorId="0" shapeId="0" xr:uid="{85709233-DA26-4E98-92AE-85838E3DB657}">
      <text>
        <r>
          <rPr>
            <b/>
            <sz val="9"/>
            <color indexed="81"/>
            <rFont val="Tahoma"/>
            <family val="2"/>
          </rPr>
          <t>Rawan Ammar:</t>
        </r>
        <r>
          <rPr>
            <sz val="9"/>
            <color indexed="81"/>
            <rFont val="Tahoma"/>
            <family val="2"/>
          </rPr>
          <t xml:space="preserve">
NC 123
Loss 15 bags
</t>
        </r>
      </text>
    </comment>
    <comment ref="L70" authorId="0" shapeId="0" xr:uid="{56D74099-3528-4FEB-9861-361FE309EA79}">
      <text>
        <r>
          <rPr>
            <b/>
            <sz val="9"/>
            <color indexed="81"/>
            <rFont val="Tahoma"/>
            <family val="2"/>
          </rPr>
          <t>Rawan Ammar:</t>
        </r>
        <r>
          <rPr>
            <sz val="9"/>
            <color indexed="81"/>
            <rFont val="Tahoma"/>
            <family val="2"/>
          </rPr>
          <t xml:space="preserve">
NC 160
Torn and wet bags under process</t>
        </r>
      </text>
    </comment>
    <comment ref="L71" authorId="0" shapeId="0" xr:uid="{F61D3652-3ACA-4F67-94F8-A149D32BDC67}">
      <text>
        <r>
          <rPr>
            <b/>
            <sz val="9"/>
            <color indexed="81"/>
            <rFont val="Tahoma"/>
            <family val="2"/>
          </rPr>
          <t>Rawan Ammar:</t>
        </r>
        <r>
          <rPr>
            <sz val="9"/>
            <color indexed="81"/>
            <rFont val="Tahoma"/>
            <family val="2"/>
          </rPr>
          <t xml:space="preserve">
NC 161
Torn bags under process</t>
        </r>
      </text>
    </comment>
    <comment ref="L72" authorId="0" shapeId="0" xr:uid="{89B986BA-F9E5-412B-8B3A-A4DC10EA1CC3}">
      <text>
        <r>
          <rPr>
            <b/>
            <sz val="9"/>
            <color indexed="81"/>
            <rFont val="Tahoma"/>
            <family val="2"/>
          </rPr>
          <t>Rawan Ammar:</t>
        </r>
        <r>
          <rPr>
            <sz val="9"/>
            <color indexed="81"/>
            <rFont val="Tahoma"/>
            <family val="2"/>
          </rPr>
          <t xml:space="preserve">
NC 162
Torn and wet bag under process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Rawan Ammar</author>
  </authors>
  <commentList>
    <comment ref="M23" authorId="0" shapeId="0" xr:uid="{9245DC9A-CDEB-4309-8666-0FCA84AE4489}">
      <text>
        <r>
          <rPr>
            <b/>
            <sz val="9"/>
            <color indexed="81"/>
            <rFont val="Tahoma"/>
            <family val="2"/>
          </rPr>
          <t>Rawan Ammar:</t>
        </r>
        <r>
          <rPr>
            <sz val="9"/>
            <color indexed="81"/>
            <rFont val="Tahoma"/>
            <family val="2"/>
          </rPr>
          <t xml:space="preserve">
NC 69
Loss 20
Waste 4 Sold as it is</t>
        </r>
      </text>
    </comment>
    <comment ref="P23" authorId="0" shapeId="0" xr:uid="{C79EB9E7-0028-40AE-BDCE-14E2F969954F}">
      <text>
        <r>
          <rPr>
            <b/>
            <sz val="9"/>
            <color indexed="81"/>
            <rFont val="Tahoma"/>
            <family val="2"/>
          </rPr>
          <t>Rawan Ammar:</t>
        </r>
        <r>
          <rPr>
            <sz val="9"/>
            <color indexed="81"/>
            <rFont val="Tahoma"/>
            <family val="2"/>
          </rPr>
          <t xml:space="preserve">
Survey report 7 wet bags 
While at NC 4 wet bags</t>
        </r>
      </text>
    </comment>
    <comment ref="M24" authorId="0" shapeId="0" xr:uid="{8AA08FB0-ECFB-4D2F-9F62-BB30011F052F}">
      <text>
        <r>
          <rPr>
            <b/>
            <sz val="9"/>
            <color indexed="81"/>
            <rFont val="Tahoma"/>
            <family val="2"/>
          </rPr>
          <t>Rawan Ammar:</t>
        </r>
        <r>
          <rPr>
            <sz val="9"/>
            <color indexed="81"/>
            <rFont val="Tahoma"/>
            <family val="2"/>
          </rPr>
          <t xml:space="preserve">
NC 70
Loss 18
</t>
        </r>
      </text>
    </comment>
    <comment ref="M25" authorId="0" shapeId="0" xr:uid="{35BB5BCB-506B-49F6-8F4D-30D66BE56703}">
      <text>
        <r>
          <rPr>
            <b/>
            <sz val="9"/>
            <color indexed="81"/>
            <rFont val="Tahoma"/>
            <family val="2"/>
          </rPr>
          <t>Rawan Ammar:</t>
        </r>
        <r>
          <rPr>
            <sz val="9"/>
            <color indexed="81"/>
            <rFont val="Tahoma"/>
            <family val="2"/>
          </rPr>
          <t xml:space="preserve">
NC 76
Loss 9
</t>
        </r>
      </text>
    </comment>
    <comment ref="M26" authorId="0" shapeId="0" xr:uid="{37EF073A-B103-4914-9BC4-CA83DC9EB6E3}">
      <text>
        <r>
          <rPr>
            <b/>
            <sz val="9"/>
            <color indexed="81"/>
            <rFont val="Tahoma"/>
            <family val="2"/>
          </rPr>
          <t>Rawan Ammar:</t>
        </r>
        <r>
          <rPr>
            <sz val="9"/>
            <color indexed="81"/>
            <rFont val="Tahoma"/>
            <family val="2"/>
          </rPr>
          <t xml:space="preserve">
NC 75
Loss 11
</t>
        </r>
      </text>
    </comment>
    <comment ref="M27" authorId="0" shapeId="0" xr:uid="{34676C5B-B7F5-499E-A759-475B6F9B3BD4}">
      <text>
        <r>
          <rPr>
            <b/>
            <sz val="9"/>
            <color indexed="81"/>
            <rFont val="Tahoma"/>
            <family val="2"/>
          </rPr>
          <t>Rawan Ammar:</t>
        </r>
        <r>
          <rPr>
            <sz val="9"/>
            <color indexed="81"/>
            <rFont val="Tahoma"/>
            <family val="2"/>
          </rPr>
          <t xml:space="preserve">
NC 82
Loss 13
</t>
        </r>
      </text>
    </comment>
    <comment ref="M28" authorId="0" shapeId="0" xr:uid="{2015AADE-147A-4D76-B062-820B5BC2646D}">
      <text>
        <r>
          <rPr>
            <b/>
            <sz val="9"/>
            <color indexed="81"/>
            <rFont val="Tahoma"/>
            <family val="2"/>
          </rPr>
          <t>Rawan Ammar:</t>
        </r>
        <r>
          <rPr>
            <sz val="9"/>
            <color indexed="81"/>
            <rFont val="Tahoma"/>
            <family val="2"/>
          </rPr>
          <t xml:space="preserve">
NC 80
Loss 5
</t>
        </r>
      </text>
    </comment>
    <comment ref="M29" authorId="0" shapeId="0" xr:uid="{F5C6D99F-8B65-4F61-8986-EC51BFF0B131}">
      <text>
        <r>
          <rPr>
            <b/>
            <sz val="9"/>
            <color indexed="81"/>
            <rFont val="Tahoma"/>
            <family val="2"/>
          </rPr>
          <t>Rawan Ammar:</t>
        </r>
        <r>
          <rPr>
            <sz val="9"/>
            <color indexed="81"/>
            <rFont val="Tahoma"/>
            <family val="2"/>
          </rPr>
          <t xml:space="preserve">
NC 83
Loss 14</t>
        </r>
      </text>
    </comment>
    <comment ref="M30" authorId="0" shapeId="0" xr:uid="{CD4E4B19-EC99-4E25-8361-53A262C5F672}">
      <text>
        <r>
          <rPr>
            <b/>
            <sz val="9"/>
            <color indexed="81"/>
            <rFont val="Tahoma"/>
            <family val="2"/>
          </rPr>
          <t>Rawan Ammar:</t>
        </r>
        <r>
          <rPr>
            <sz val="9"/>
            <color indexed="81"/>
            <rFont val="Tahoma"/>
            <family val="2"/>
          </rPr>
          <t xml:space="preserve">
NC 84
Loss 17
</t>
        </r>
      </text>
    </comment>
    <comment ref="M33" authorId="0" shapeId="0" xr:uid="{00D43FA2-F8F6-4EF1-91AF-B7872FA51282}">
      <text>
        <r>
          <rPr>
            <b/>
            <sz val="9"/>
            <color indexed="81"/>
            <rFont val="Tahoma"/>
            <family val="2"/>
          </rPr>
          <t>Rawan Ammar:</t>
        </r>
        <r>
          <rPr>
            <sz val="9"/>
            <color indexed="81"/>
            <rFont val="Tahoma"/>
            <family val="2"/>
          </rPr>
          <t xml:space="preserve">
NC93 &amp; NC 94</t>
        </r>
      </text>
    </comment>
    <comment ref="M34" authorId="0" shapeId="0" xr:uid="{8C79E7AA-8255-4818-9790-DB18F4C648EE}">
      <text>
        <r>
          <rPr>
            <b/>
            <sz val="9"/>
            <color indexed="81"/>
            <rFont val="Tahoma"/>
            <family val="2"/>
          </rPr>
          <t>Rawan Ammar:</t>
        </r>
        <r>
          <rPr>
            <sz val="9"/>
            <color indexed="81"/>
            <rFont val="Tahoma"/>
            <family val="2"/>
          </rPr>
          <t xml:space="preserve">
NC 89 
8 Loss
1 West</t>
        </r>
      </text>
    </comment>
    <comment ref="M35" authorId="0" shapeId="0" xr:uid="{28658122-6AEA-4A4C-A53D-F33B00F69CBA}">
      <text>
        <r>
          <rPr>
            <b/>
            <sz val="9"/>
            <color indexed="81"/>
            <rFont val="Tahoma"/>
            <family val="2"/>
          </rPr>
          <t>Rawan Ammar:</t>
        </r>
        <r>
          <rPr>
            <sz val="9"/>
            <color indexed="81"/>
            <rFont val="Tahoma"/>
            <family val="2"/>
          </rPr>
          <t xml:space="preserve">
NC 90
West 1
loss 14
</t>
        </r>
      </text>
    </comment>
    <comment ref="M36" authorId="0" shapeId="0" xr:uid="{74F18E42-EC6A-4A89-9CD9-407F4584F6B3}">
      <text>
        <r>
          <rPr>
            <b/>
            <sz val="9"/>
            <color indexed="81"/>
            <rFont val="Tahoma"/>
            <family val="2"/>
          </rPr>
          <t>Rawan Ammar:</t>
        </r>
        <r>
          <rPr>
            <sz val="9"/>
            <color indexed="81"/>
            <rFont val="Tahoma"/>
            <family val="2"/>
          </rPr>
          <t xml:space="preserve">
NC 95
Loss 5
</t>
        </r>
      </text>
    </comment>
    <comment ref="M37" authorId="0" shapeId="0" xr:uid="{5BC5D353-D052-4E03-9E73-79F1C8540E10}">
      <text>
        <r>
          <rPr>
            <b/>
            <sz val="9"/>
            <color indexed="81"/>
            <rFont val="Tahoma"/>
            <family val="2"/>
          </rPr>
          <t>Rawan Ammar:</t>
        </r>
        <r>
          <rPr>
            <sz val="9"/>
            <color indexed="81"/>
            <rFont val="Tahoma"/>
            <family val="2"/>
          </rPr>
          <t xml:space="preserve">
NC 96
Loss 7</t>
        </r>
      </text>
    </comment>
    <comment ref="M38" authorId="0" shapeId="0" xr:uid="{8C850994-8054-468D-BC1D-985E8FA41D95}">
      <text>
        <r>
          <rPr>
            <b/>
            <sz val="9"/>
            <color indexed="81"/>
            <rFont val="Tahoma"/>
            <family val="2"/>
          </rPr>
          <t>Rawan Ammar:</t>
        </r>
        <r>
          <rPr>
            <sz val="9"/>
            <color indexed="81"/>
            <rFont val="Tahoma"/>
            <family val="2"/>
          </rPr>
          <t xml:space="preserve">
NC 100
loss 19
</t>
        </r>
      </text>
    </comment>
    <comment ref="M39" authorId="0" shapeId="0" xr:uid="{95A99FF4-DCC8-44FF-99B0-9C99D769862D}">
      <text>
        <r>
          <rPr>
            <b/>
            <sz val="9"/>
            <color indexed="81"/>
            <rFont val="Tahoma"/>
            <family val="2"/>
          </rPr>
          <t>Rawan Ammar:</t>
        </r>
        <r>
          <rPr>
            <sz val="9"/>
            <color indexed="81"/>
            <rFont val="Tahoma"/>
            <family val="2"/>
          </rPr>
          <t xml:space="preserve">
NC 101
loss 8</t>
        </r>
      </text>
    </comment>
    <comment ref="M43" authorId="0" shapeId="0" xr:uid="{99CE8ABA-76FE-4D14-B1A2-0E475CF883E8}">
      <text>
        <r>
          <rPr>
            <b/>
            <sz val="9"/>
            <color indexed="81"/>
            <rFont val="Tahoma"/>
            <family val="2"/>
          </rPr>
          <t>Rawan Ammar:</t>
        </r>
        <r>
          <rPr>
            <sz val="9"/>
            <color indexed="81"/>
            <rFont val="Tahoma"/>
            <family val="2"/>
          </rPr>
          <t xml:space="preserve">
NC 102 
Loss 8 bags</t>
        </r>
      </text>
    </comment>
    <comment ref="M44" authorId="0" shapeId="0" xr:uid="{3551E511-366A-4118-8268-B1B483130A0F}">
      <text>
        <r>
          <rPr>
            <b/>
            <sz val="9"/>
            <color indexed="81"/>
            <rFont val="Tahoma"/>
            <family val="2"/>
          </rPr>
          <t>Rawan Ammar:</t>
        </r>
        <r>
          <rPr>
            <sz val="9"/>
            <color indexed="81"/>
            <rFont val="Tahoma"/>
            <family val="2"/>
          </rPr>
          <t xml:space="preserve">
NC103
Loss 14
Wet 13 sold as AF
NC No.103 report 79 torn and 13 wet</t>
        </r>
      </text>
    </comment>
    <comment ref="M45" authorId="0" shapeId="0" xr:uid="{BE6431B5-801C-4E4E-A7E2-967D35EAF015}">
      <text>
        <r>
          <rPr>
            <b/>
            <sz val="9"/>
            <color indexed="81"/>
            <rFont val="Tahoma"/>
            <family val="2"/>
          </rPr>
          <t>Rawan Ammar:</t>
        </r>
        <r>
          <rPr>
            <sz val="9"/>
            <color indexed="81"/>
            <rFont val="Tahoma"/>
            <family val="2"/>
          </rPr>
          <t xml:space="preserve">
NC 105 
Loss 13
Wet 5 Sold as AF</t>
        </r>
      </text>
    </comment>
    <comment ref="M46" authorId="0" shapeId="0" xr:uid="{11BC4A98-5030-4DDE-B033-1949E34A0674}">
      <text>
        <r>
          <rPr>
            <b/>
            <sz val="9"/>
            <color indexed="81"/>
            <rFont val="Tahoma"/>
            <family val="2"/>
          </rPr>
          <t>Rawan Ammar:</t>
        </r>
        <r>
          <rPr>
            <sz val="9"/>
            <color indexed="81"/>
            <rFont val="Tahoma"/>
            <family val="2"/>
          </rPr>
          <t xml:space="preserve">
NC 109
Loss 2
Wet 2 Sold as AF</t>
        </r>
      </text>
    </comment>
    <comment ref="M47" authorId="0" shapeId="0" xr:uid="{CB2CD9B1-6510-47E6-B07E-20149439B07B}">
      <text>
        <r>
          <rPr>
            <b/>
            <sz val="9"/>
            <color indexed="81"/>
            <rFont val="Tahoma"/>
            <family val="2"/>
          </rPr>
          <t>Rawan Ammar:</t>
        </r>
        <r>
          <rPr>
            <sz val="9"/>
            <color indexed="81"/>
            <rFont val="Tahoma"/>
            <family val="2"/>
          </rPr>
          <t xml:space="preserve">
NC 108
Loss 9
Wet 46 Sold as AF</t>
        </r>
      </text>
    </comment>
    <comment ref="M51" authorId="0" shapeId="0" xr:uid="{756B90D0-7570-4C8E-A0A9-91B4B83689D3}">
      <text>
        <r>
          <rPr>
            <b/>
            <sz val="9"/>
            <color indexed="81"/>
            <rFont val="Tahoma"/>
            <family val="2"/>
          </rPr>
          <t>Rawan Ammar:</t>
        </r>
        <r>
          <rPr>
            <sz val="9"/>
            <color indexed="81"/>
            <rFont val="Tahoma"/>
            <family val="2"/>
          </rPr>
          <t xml:space="preserve">
NC 114
Loss 15 bags</t>
        </r>
      </text>
    </comment>
    <comment ref="M52" authorId="0" shapeId="0" xr:uid="{9ED246CF-0E65-4231-B3B9-A6B645010BFD}">
      <text>
        <r>
          <rPr>
            <b/>
            <sz val="9"/>
            <color indexed="81"/>
            <rFont val="Tahoma"/>
            <family val="2"/>
          </rPr>
          <t>Rawan Ammar:</t>
        </r>
        <r>
          <rPr>
            <sz val="9"/>
            <color indexed="81"/>
            <rFont val="Tahoma"/>
            <family val="2"/>
          </rPr>
          <t xml:space="preserve">
NC 112
NC QTY 23 bags loss 5 bags
Survey report torn 42 bags</t>
        </r>
      </text>
    </comment>
    <comment ref="M53" authorId="0" shapeId="0" xr:uid="{3B6088FC-C947-4377-A90C-7A701AC6CF1A}">
      <text>
        <r>
          <rPr>
            <b/>
            <sz val="9"/>
            <color indexed="81"/>
            <rFont val="Tahoma"/>
            <family val="2"/>
          </rPr>
          <t>Rawan Ammar:</t>
        </r>
        <r>
          <rPr>
            <sz val="9"/>
            <color indexed="81"/>
            <rFont val="Tahoma"/>
            <family val="2"/>
          </rPr>
          <t xml:space="preserve">
NC 113 
NC QTY 42 bags loss 8 bags
Survey report torn 23 bags
there is Swap between BL:8000 &amp; 8001</t>
        </r>
      </text>
    </comment>
    <comment ref="M54" authorId="0" shapeId="0" xr:uid="{F8B60873-EB25-47A4-9820-68BA6A79644A}">
      <text>
        <r>
          <rPr>
            <b/>
            <sz val="9"/>
            <color indexed="81"/>
            <rFont val="Tahoma"/>
            <family val="2"/>
          </rPr>
          <t>Rawan Ammar:</t>
        </r>
        <r>
          <rPr>
            <sz val="9"/>
            <color indexed="81"/>
            <rFont val="Tahoma"/>
            <family val="2"/>
          </rPr>
          <t xml:space="preserve">
NC 116 
Loss 5
Wet 13 Sold as AF</t>
        </r>
      </text>
    </comment>
    <comment ref="M55" authorId="0" shapeId="0" xr:uid="{CC4C9956-C84B-4A31-82DB-BB541371B760}">
      <text>
        <r>
          <rPr>
            <b/>
            <sz val="9"/>
            <color indexed="81"/>
            <rFont val="Tahoma"/>
            <family val="2"/>
          </rPr>
          <t>Rawan Ammar:</t>
        </r>
        <r>
          <rPr>
            <sz val="9"/>
            <color indexed="81"/>
            <rFont val="Tahoma"/>
            <family val="2"/>
          </rPr>
          <t xml:space="preserve">
NC 117
loss 9 
1 wet bas sold as AF</t>
        </r>
      </text>
    </comment>
    <comment ref="M56" authorId="0" shapeId="0" xr:uid="{1F0B94BF-3E27-4669-BF1D-29853F7B2C8A}">
      <text>
        <r>
          <rPr>
            <b/>
            <sz val="9"/>
            <color indexed="81"/>
            <rFont val="Tahoma"/>
            <family val="2"/>
          </rPr>
          <t>Rawan Ammar:</t>
        </r>
        <r>
          <rPr>
            <sz val="9"/>
            <color indexed="81"/>
            <rFont val="Tahoma"/>
            <family val="2"/>
          </rPr>
          <t xml:space="preserve">
NC 118 
Loss 12 
1 wet bas sold as AF</t>
        </r>
      </text>
    </comment>
    <comment ref="M57" authorId="0" shapeId="0" xr:uid="{A91AABD6-62E6-46D5-9179-DC21C254DB9F}">
      <text>
        <r>
          <rPr>
            <b/>
            <sz val="9"/>
            <color indexed="81"/>
            <rFont val="Tahoma"/>
            <family val="2"/>
          </rPr>
          <t>Rawan Ammar:</t>
        </r>
        <r>
          <rPr>
            <sz val="9"/>
            <color indexed="81"/>
            <rFont val="Tahoma"/>
            <family val="2"/>
          </rPr>
          <t xml:space="preserve">
NC 115
Loss 9
Wet 11 sold as AF</t>
        </r>
      </text>
    </comment>
    <comment ref="M58" authorId="0" shapeId="0" xr:uid="{8EAC6C15-6603-45A1-A6FD-6D3E93C9D9AC}">
      <text>
        <r>
          <rPr>
            <b/>
            <sz val="9"/>
            <color indexed="81"/>
            <rFont val="Tahoma"/>
            <family val="2"/>
          </rPr>
          <t>Rawan Ammar:</t>
        </r>
        <r>
          <rPr>
            <sz val="9"/>
            <color indexed="81"/>
            <rFont val="Tahoma"/>
            <family val="2"/>
          </rPr>
          <t xml:space="preserve">
NC 121 
only for torn bags 
loss 13 bags
there is no wet QTY at NC</t>
        </r>
      </text>
    </comment>
    <comment ref="M59" authorId="0" shapeId="0" xr:uid="{6635AA5C-8D89-4046-A0FE-979E6D57CF1E}">
      <text>
        <r>
          <rPr>
            <b/>
            <sz val="9"/>
            <color indexed="81"/>
            <rFont val="Tahoma"/>
            <family val="2"/>
          </rPr>
          <t>Rawan Ammar:</t>
        </r>
        <r>
          <rPr>
            <sz val="9"/>
            <color indexed="81"/>
            <rFont val="Tahoma"/>
            <family val="2"/>
          </rPr>
          <t xml:space="preserve">
NC 122
Loss 16 Bags
Wast 3 bags
Sold 3 bags
Wet 3 bags Sold as AF</t>
        </r>
      </text>
    </comment>
    <comment ref="M60" authorId="0" shapeId="0" xr:uid="{E6F389DF-E774-4835-95FE-EC4271CD0F7F}">
      <text>
        <r>
          <rPr>
            <b/>
            <sz val="9"/>
            <color indexed="81"/>
            <rFont val="Tahoma"/>
            <family val="2"/>
          </rPr>
          <t>Rawan Ammar:</t>
        </r>
        <r>
          <rPr>
            <sz val="9"/>
            <color indexed="81"/>
            <rFont val="Tahoma"/>
            <family val="2"/>
          </rPr>
          <t xml:space="preserve">
NC 124
Loss 18
</t>
        </r>
      </text>
    </comment>
    <comment ref="M61" authorId="0" shapeId="0" xr:uid="{2B3D2C72-2F19-47A2-9949-FC9EF28A3352}">
      <text>
        <r>
          <rPr>
            <b/>
            <sz val="9"/>
            <color indexed="81"/>
            <rFont val="Tahoma"/>
            <family val="2"/>
          </rPr>
          <t>Rawan Ammar:</t>
        </r>
        <r>
          <rPr>
            <sz val="9"/>
            <color indexed="81"/>
            <rFont val="Tahoma"/>
            <family val="2"/>
          </rPr>
          <t xml:space="preserve">
NC 132
Loss 11
Waste 2
Wet 95 sold as AF under proccess with insurance team after rise sold invoice</t>
        </r>
      </text>
    </comment>
    <comment ref="M62" authorId="0" shapeId="0" xr:uid="{9592E78A-940F-4A88-B76B-26E6C477C17B}">
      <text>
        <r>
          <rPr>
            <b/>
            <sz val="9"/>
            <color indexed="81"/>
            <rFont val="Tahoma"/>
            <family val="2"/>
          </rPr>
          <t>Rawan Ammar:</t>
        </r>
        <r>
          <rPr>
            <sz val="9"/>
            <color indexed="81"/>
            <rFont val="Tahoma"/>
            <family val="2"/>
          </rPr>
          <t xml:space="preserve">
NC 129
Loss 14
Waste 3
Wet 1 Sold as AF
</t>
        </r>
      </text>
    </comment>
    <comment ref="M63" authorId="0" shapeId="0" xr:uid="{5AC8FE5F-A820-4A7D-88C9-6187A955E723}">
      <text>
        <r>
          <rPr>
            <b/>
            <sz val="9"/>
            <color indexed="81"/>
            <rFont val="Tahoma"/>
            <family val="2"/>
          </rPr>
          <t>Rawan Ammar:</t>
        </r>
        <r>
          <rPr>
            <sz val="9"/>
            <color indexed="81"/>
            <rFont val="Tahoma"/>
            <family val="2"/>
          </rPr>
          <t xml:space="preserve">
NC 135
Loss 6 
Wet QTY under process</t>
        </r>
      </text>
    </comment>
    <comment ref="M64" authorId="0" shapeId="0" xr:uid="{84F5015B-D384-45C1-805D-374D7725F992}">
      <text>
        <r>
          <rPr>
            <b/>
            <sz val="9"/>
            <color indexed="81"/>
            <rFont val="Tahoma"/>
            <family val="2"/>
          </rPr>
          <t>Rawan Ammar:</t>
        </r>
        <r>
          <rPr>
            <sz val="9"/>
            <color indexed="81"/>
            <rFont val="Tahoma"/>
            <family val="2"/>
          </rPr>
          <t xml:space="preserve">
NC 126
49 torn bag 13 loss
157 Hight polish under process
</t>
        </r>
      </text>
    </comment>
    <comment ref="M65" authorId="0" shapeId="0" xr:uid="{36B3685E-12A6-4EE9-AB7E-BFFF1EDC6E29}">
      <text>
        <r>
          <rPr>
            <b/>
            <sz val="9"/>
            <color indexed="81"/>
            <rFont val="Tahoma"/>
            <family val="2"/>
          </rPr>
          <t xml:space="preserve">Rawan Ammar:
</t>
        </r>
        <r>
          <rPr>
            <sz val="9"/>
            <color indexed="81"/>
            <rFont val="Tahoma"/>
            <family val="2"/>
          </rPr>
          <t xml:space="preserve">NC 127
17 loss
</t>
        </r>
      </text>
    </comment>
    <comment ref="M66" authorId="0" shapeId="0" xr:uid="{200A77D7-D2B7-4C67-8315-BC0081D35BD4}">
      <text>
        <r>
          <rPr>
            <b/>
            <sz val="9"/>
            <color indexed="81"/>
            <rFont val="Tahoma"/>
            <family val="2"/>
          </rPr>
          <t>Rawan Ammar:</t>
        </r>
        <r>
          <rPr>
            <sz val="9"/>
            <color indexed="81"/>
            <rFont val="Tahoma"/>
            <family val="2"/>
          </rPr>
          <t xml:space="preserve">
NC 130
Torn 48 Under process</t>
        </r>
      </text>
    </comment>
    <comment ref="M67" authorId="0" shapeId="0" xr:uid="{67CBFB20-C7BD-43D1-BA85-6DB36C5F24F0}">
      <text>
        <r>
          <rPr>
            <b/>
            <sz val="9"/>
            <color indexed="81"/>
            <rFont val="Tahoma"/>
            <family val="2"/>
          </rPr>
          <t>Rawan Ammar:</t>
        </r>
        <r>
          <rPr>
            <sz val="9"/>
            <color indexed="81"/>
            <rFont val="Tahoma"/>
            <family val="2"/>
          </rPr>
          <t xml:space="preserve">
NC 139
Under process for torn and wet bag</t>
        </r>
      </text>
    </comment>
    <comment ref="M68" authorId="0" shapeId="0" xr:uid="{AE4E286A-1CEE-4777-B38E-58C10327BF75}">
      <text>
        <r>
          <rPr>
            <b/>
            <sz val="9"/>
            <color indexed="81"/>
            <rFont val="Tahoma"/>
            <family val="2"/>
          </rPr>
          <t>Rawan Ammar:</t>
        </r>
        <r>
          <rPr>
            <sz val="9"/>
            <color indexed="81"/>
            <rFont val="Tahoma"/>
            <family val="2"/>
          </rPr>
          <t xml:space="preserve">
NC 138
creat for torn QTY 39 bags, 20 bags wet QTY not add at NC, th NC under process</t>
        </r>
      </text>
    </comment>
    <comment ref="P68" authorId="0" shapeId="0" xr:uid="{1FC7BFE3-D7AA-45D7-8270-525479D7D0BE}">
      <text>
        <r>
          <rPr>
            <b/>
            <sz val="9"/>
            <color indexed="81"/>
            <rFont val="Tahoma"/>
            <family val="2"/>
          </rPr>
          <t>Rawan Ammar:</t>
        </r>
        <r>
          <rPr>
            <sz val="9"/>
            <color indexed="81"/>
            <rFont val="Tahoma"/>
            <family val="2"/>
          </rPr>
          <t xml:space="preserve">
Kindly Share the NC number of wet QTY
</t>
        </r>
      </text>
    </comment>
    <comment ref="M69" authorId="0" shapeId="0" xr:uid="{EABB28E0-4807-43F6-B21C-59670F9AE356}">
      <text>
        <r>
          <rPr>
            <b/>
            <sz val="9"/>
            <color indexed="81"/>
            <rFont val="Tahoma"/>
            <family val="2"/>
          </rPr>
          <t>Rawan Ammar:</t>
        </r>
        <r>
          <rPr>
            <sz val="9"/>
            <color indexed="81"/>
            <rFont val="Tahoma"/>
            <family val="2"/>
          </rPr>
          <t xml:space="preserve">
NC 141
Loss 13 bags
Wet 78 under process
</t>
        </r>
      </text>
    </comment>
    <comment ref="M70" authorId="0" shapeId="0" xr:uid="{55749039-868B-4E04-8D05-29A77CC6945D}">
      <text>
        <r>
          <rPr>
            <b/>
            <sz val="9"/>
            <color indexed="81"/>
            <rFont val="Tahoma"/>
            <family val="2"/>
          </rPr>
          <t>Rawan Ammar:</t>
        </r>
        <r>
          <rPr>
            <sz val="9"/>
            <color indexed="81"/>
            <rFont val="Tahoma"/>
            <family val="2"/>
          </rPr>
          <t xml:space="preserve">
NC 142
7 Loss 
29 wet bag under process</t>
        </r>
      </text>
    </comment>
    <comment ref="M71" authorId="0" shapeId="0" xr:uid="{4C23BDBD-D939-44EA-A1BE-5FA6006E5B9C}">
      <text>
        <r>
          <rPr>
            <b/>
            <sz val="9"/>
            <color indexed="81"/>
            <rFont val="Tahoma"/>
            <family val="2"/>
          </rPr>
          <t>Rawan Ammar:</t>
        </r>
        <r>
          <rPr>
            <sz val="9"/>
            <color indexed="81"/>
            <rFont val="Tahoma"/>
            <family val="2"/>
          </rPr>
          <t xml:space="preserve">
NC 123
Loss 15 bags
</t>
        </r>
      </text>
    </comment>
    <comment ref="M72" authorId="0" shapeId="0" xr:uid="{252392FE-DC1B-4111-8157-04F128DBBDF9}">
      <text>
        <r>
          <rPr>
            <b/>
            <sz val="9"/>
            <color indexed="81"/>
            <rFont val="Tahoma"/>
            <family val="2"/>
          </rPr>
          <t>Rawan Ammar:</t>
        </r>
        <r>
          <rPr>
            <sz val="9"/>
            <color indexed="81"/>
            <rFont val="Tahoma"/>
            <family val="2"/>
          </rPr>
          <t xml:space="preserve">
NC 160
Torn and wet bags under process</t>
        </r>
      </text>
    </comment>
    <comment ref="M73" authorId="0" shapeId="0" xr:uid="{4700AC3B-1491-44B3-BCD7-7A7EB8A75527}">
      <text>
        <r>
          <rPr>
            <b/>
            <sz val="9"/>
            <color indexed="81"/>
            <rFont val="Tahoma"/>
            <family val="2"/>
          </rPr>
          <t>Rawan Ammar:</t>
        </r>
        <r>
          <rPr>
            <sz val="9"/>
            <color indexed="81"/>
            <rFont val="Tahoma"/>
            <family val="2"/>
          </rPr>
          <t xml:space="preserve">
NC 161
Torn bags under process</t>
        </r>
      </text>
    </comment>
    <comment ref="M74" authorId="0" shapeId="0" xr:uid="{73A199D7-58FE-4012-9C35-675517AAB288}">
      <text>
        <r>
          <rPr>
            <b/>
            <sz val="9"/>
            <color indexed="81"/>
            <rFont val="Tahoma"/>
            <family val="2"/>
          </rPr>
          <t>Rawan Ammar:</t>
        </r>
        <r>
          <rPr>
            <sz val="9"/>
            <color indexed="81"/>
            <rFont val="Tahoma"/>
            <family val="2"/>
          </rPr>
          <t xml:space="preserve">
NC 162
Torn and wet bag under process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C7EDCA-A7AA-47E8-B1B0-F963EF75D7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6A11691-1226-4F5E-9B2C-D93671A5999A}" name="WorksheetConnection_Summary - !$A$1:$AP$143" type="102" refreshedVersion="8" minRefreshableVersion="5">
    <extLst>
      <ext xmlns:x15="http://schemas.microsoft.com/office/spreadsheetml/2010/11/main" uri="{DE250136-89BD-433C-8126-D09CA5730AF9}">
        <x15:connection id="Range" autoDelete="1">
          <x15:rangePr sourceName="_xlcn.WorksheetConnection_SummaryA1AP14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laim Status].&amp;[Accept]}"/>
  </metadataStrings>
  <mdxMetadata count="1">
    <mdx n="0" f="s">
      <ms ns="1" c="0"/>
    </mdx>
  </mdxMetadata>
  <valueMetadata count="1">
    <bk>
      <rc t="1" v="0"/>
    </bk>
  </valueMetadata>
</metadata>
</file>

<file path=xl/sharedStrings.xml><?xml version="1.0" encoding="utf-8"?>
<sst xmlns="http://schemas.openxmlformats.org/spreadsheetml/2006/main" count="4136" uniqueCount="481">
  <si>
    <t>Date</t>
  </si>
  <si>
    <t>Season</t>
  </si>
  <si>
    <t>Year</t>
  </si>
  <si>
    <t>Case Number</t>
  </si>
  <si>
    <t>WH</t>
  </si>
  <si>
    <t>Location</t>
  </si>
  <si>
    <t>Product</t>
  </si>
  <si>
    <t>Product Description</t>
  </si>
  <si>
    <t>Owner</t>
  </si>
  <si>
    <t xml:space="preserve">Adjusted Quantity </t>
  </si>
  <si>
    <t>Unit</t>
  </si>
  <si>
    <t>Cause of Loss</t>
  </si>
  <si>
    <t>Type</t>
  </si>
  <si>
    <t>Detailed Description</t>
  </si>
  <si>
    <t xml:space="preserve">Available documents </t>
  </si>
  <si>
    <t>Unit Cost USD</t>
  </si>
  <si>
    <t>Total Value USD</t>
  </si>
  <si>
    <t>Unit Cost - SDG</t>
  </si>
  <si>
    <t>Total Value SDG</t>
  </si>
  <si>
    <t>STD Cost-SDG</t>
  </si>
  <si>
    <t>STD Value-SDG</t>
  </si>
  <si>
    <t>Compensation Value</t>
  </si>
  <si>
    <t>Exchange Rate</t>
  </si>
  <si>
    <t>Compensation Status</t>
  </si>
  <si>
    <t>System Status</t>
  </si>
  <si>
    <t>Follow Up Person</t>
  </si>
  <si>
    <t>Report by</t>
  </si>
  <si>
    <t>Remark</t>
  </si>
  <si>
    <t>Claim Status</t>
  </si>
  <si>
    <t>Status</t>
  </si>
  <si>
    <t>Status Update</t>
  </si>
  <si>
    <t>Claim Value SDG</t>
  </si>
  <si>
    <t>Claim Value USD</t>
  </si>
  <si>
    <t>Compensation Value USD</t>
  </si>
  <si>
    <t>Different</t>
  </si>
  <si>
    <t>% of different</t>
  </si>
  <si>
    <t xml:space="preserve">Remark of different </t>
  </si>
  <si>
    <t xml:space="preserve">Remark </t>
  </si>
  <si>
    <t>Fire</t>
  </si>
  <si>
    <t>Compensated</t>
  </si>
  <si>
    <t>Adjusted</t>
  </si>
  <si>
    <t>Accept</t>
  </si>
  <si>
    <t>Close</t>
  </si>
  <si>
    <t xml:space="preserve">Fire </t>
  </si>
  <si>
    <t>Theft</t>
  </si>
  <si>
    <t>N/A</t>
  </si>
  <si>
    <t>PZU</t>
  </si>
  <si>
    <t>Road Accident</t>
  </si>
  <si>
    <t>Machinery Handling Accident</t>
  </si>
  <si>
    <t>Import</t>
  </si>
  <si>
    <t>Pending</t>
  </si>
  <si>
    <t>Rain Damage</t>
  </si>
  <si>
    <t>LE0001</t>
  </si>
  <si>
    <t>Truck Fire</t>
  </si>
  <si>
    <t>Rawan</t>
  </si>
  <si>
    <t>Waiting Feedback</t>
  </si>
  <si>
    <t xml:space="preserve">Truck Accident </t>
  </si>
  <si>
    <t>Insurance compensation</t>
  </si>
  <si>
    <t>S7</t>
  </si>
  <si>
    <t>No cargo damage</t>
  </si>
  <si>
    <t>Damage Bags</t>
  </si>
  <si>
    <t>Case rejected</t>
  </si>
  <si>
    <t>Case Reject/No compensation</t>
  </si>
  <si>
    <t>Rain effect</t>
  </si>
  <si>
    <t>Ajay/Limitz</t>
  </si>
  <si>
    <t>Reject</t>
  </si>
  <si>
    <t>E2</t>
  </si>
  <si>
    <t>20KG BAGS</t>
  </si>
  <si>
    <t>Accident</t>
  </si>
  <si>
    <t>XI</t>
  </si>
  <si>
    <t>PZU-Bond area</t>
  </si>
  <si>
    <t>LENTIL TAT 20KG</t>
  </si>
  <si>
    <t>Container Damage</t>
  </si>
  <si>
    <t>Final inspection report, which confirms that there are no damaged bags as previously reported Container NO:FYCU7233921, BL NO:3100033205A</t>
  </si>
  <si>
    <t>CIS report</t>
  </si>
  <si>
    <t>RC0004</t>
  </si>
  <si>
    <t>Shipment arrived Bond Area, container NO: JZPU1111481, BL XERNSAPSZU14324. The damage quantity of rice in 20kg bags is (215 bags 20KG) noted in wet and damage condition. We have received 50% of claim amount after the standard deduction (as per the policy) from insurance company. From insurance side they have made payment and closed their file, amount received is $1248.</t>
  </si>
  <si>
    <t>CIS report/Photo</t>
  </si>
  <si>
    <t>Ajay/Shijil</t>
  </si>
  <si>
    <t>As Shijil Email, We have received 50% of claim amount after the standard deduction (as per the policy) from insurance company.</t>
  </si>
  <si>
    <t>Final inspection report, which confirms that there are no damaged bags as previously reported Container NO: CAAU6382276 /BL 245672578</t>
  </si>
  <si>
    <t>Final inspection report, which confirms that there are no damaged bags as previously reported Container NO:MSKU0899606 /BL 245672856</t>
  </si>
  <si>
    <t>Shipment arrived Bond Area, Container NO: MVIU0022134 /BL 245672856-The damage quantity of rice in 20kg bags is (21 bags 20KG), having received 434,28 USD being the insurance claim amount.</t>
  </si>
  <si>
    <t>CIS report/LOP</t>
  </si>
  <si>
    <t>Shipment arrived Bond Area, Container NO:TEMU4187019 /BL XERNSAPSZU1462425 (14 bags), XERNSAPSZU1472425(11 bags) Total (25 bags). The damage quantity of rice in 20kg bags is 25 bags 20KG), case reject There is 0.5% excess payable for each claim (in this case $1826.55). Claim Value of 25 bags is less than 0.5% excess value hence insurance company has closed the file.</t>
  </si>
  <si>
    <t>Container Short</t>
  </si>
  <si>
    <t xml:space="preserve">45 bags found shortage at container  BL:247070297 -  MAEU247070297 </t>
  </si>
  <si>
    <t xml:space="preserve">54 bags found shortage at container  BL:248620904 </t>
  </si>
  <si>
    <t>107 bags found shortage at container  BL:248619667</t>
  </si>
  <si>
    <t>55 bags found shortage at container  BL:248620255</t>
  </si>
  <si>
    <t>30 bags found shortage at container  BL:248621429</t>
  </si>
  <si>
    <t>62 bags found shortage at container  BL:248622146</t>
  </si>
  <si>
    <t>54 bags found shortage at container  BL:248623021</t>
  </si>
  <si>
    <t>XZ</t>
  </si>
  <si>
    <t>28 bags found shortage at container  BL:248624161</t>
  </si>
  <si>
    <t>23 bags found shortage at container  BL:248623393</t>
  </si>
  <si>
    <t>33 bags found shortage at container  BL:248623928</t>
  </si>
  <si>
    <t>Vessel Reject/Short</t>
  </si>
  <si>
    <t>Vessel Short</t>
  </si>
  <si>
    <t>Torn Bag</t>
  </si>
  <si>
    <t>Ajay/Jeenue</t>
  </si>
  <si>
    <t>Torn/Wet Bag</t>
  </si>
  <si>
    <t>CIS report/Wet LOP</t>
  </si>
  <si>
    <t>50 torn bag during descharge CAEMER25310000, case reject due there is ecxess at BL by 207 bags.</t>
  </si>
  <si>
    <t>46 torn bag during descharge CAEMER25310001,Case rject  due there is ecxess at BL by 154 bags.</t>
  </si>
  <si>
    <t>Wet bag</t>
  </si>
  <si>
    <t xml:space="preserve">60 torn bag during descharge, BL:CAEMER25406101, torn bags are not covered under the insurance. However, extra empty bags were shipped along with the cargo, which can be used to rebag </t>
  </si>
  <si>
    <t>31 torn bag during descharge BL:257625599.</t>
  </si>
  <si>
    <t>40 torn bag during descharge BL:257625382.</t>
  </si>
  <si>
    <t>33 torn bag during descharge BL:MAEU 257625490/ Send email to address the issue of torn bags from the import shipment and to work on eliminating this issue with the supplier.</t>
  </si>
  <si>
    <t>Jeenue</t>
  </si>
  <si>
    <t>24 torn bag during descharge BL:MAEU 257906213/ Send email to address the issue of torn bags from the import shipment and to work on eliminating this issue with the supplier.</t>
  </si>
  <si>
    <t>42 torn bag during descharge BL:CAEMER25481600</t>
  </si>
  <si>
    <t>41 torn bag during descharge BL: CAEMER25481700</t>
  </si>
  <si>
    <t>Torn Bag/Wet/Short bag</t>
  </si>
  <si>
    <t>40 torn bag/4 wet bag/83 shortagebag BL:SHNSAPZU25070094 all reqirment documents share, waiting for insurance feedback, first notification on 29-Sep-25 the final CIS report with final quantity on 17-Oct-25.</t>
  </si>
  <si>
    <t>CIS report/LOP/e claim form/Claim report form</t>
  </si>
  <si>
    <t>Torn bag/Short bag</t>
  </si>
  <si>
    <t>18 torn bag / 28 short bag BL:258447410. As Dubai team email Torn bags are not covered under insurance.</t>
  </si>
  <si>
    <t>48 torn bag/ 85 wet bags/ 125 short bags BL:ASN/PZU/0825/11093, As email from Jeenu torn bag not cover under insurance.</t>
  </si>
  <si>
    <t>71 torn bags during descharge BL: 2501095EXY, As email from Jeenu torn bag not cover under insurance.</t>
  </si>
  <si>
    <t>44 torn bag during descharge BL: 259338012 ,As email from Jeenu torn bag not cover under insurance..</t>
  </si>
  <si>
    <t>23 torn bags during descharge BL: 259649778 ,As email from Jeenu torn bag not cover under insurance.</t>
  </si>
  <si>
    <t>84 torn bag  BL:2501096EXY, As email from Jeenu torn bag not cover under insurance.</t>
  </si>
  <si>
    <t>57 torn bag  BL:CAEMER25549700.As feedback from Jeenu torn bag not cover under insurance.</t>
  </si>
  <si>
    <t>35 torn bag  BL:257625599.Torn bags are not covered under insurance</t>
  </si>
  <si>
    <t>37 torn bag  BL:257625490.Torn bags are not covered under insurance</t>
  </si>
  <si>
    <t>Torn bag/Hight Polish</t>
  </si>
  <si>
    <t>Torn bag/Wet bag</t>
  </si>
  <si>
    <t>76 torn bag/ 16 wet bag BL:CAEMER25645401. Torn bags are not covered under insurance.</t>
  </si>
  <si>
    <t>CIS report/LOP for wet bag</t>
  </si>
  <si>
    <t>3 torn bag/ 2 wet bag BL:CAEMER25645301.Torn bags are not covered under insurance. Only for 2 wet bags insurance claim can’t be requested</t>
  </si>
  <si>
    <t>24 torn bag/ 46 wet bag BL:CAEMER25645300. Torn bags are not covered under insurance.</t>
  </si>
  <si>
    <t>45 torn bag  BL:CAEMER25688002, there is ecxess 39 bags. Torn bags are not covered under insurance</t>
  </si>
  <si>
    <t>42 torn bag  BL:CAEMER25688000, there is excess 80 bags. Torn bags are not covered under insurance</t>
  </si>
  <si>
    <t>23 torn bag  BL:CAEMER25688001, there is excess 61 bags. Torn bags are not covered under insurance</t>
  </si>
  <si>
    <t>TX01</t>
  </si>
  <si>
    <t>PZU-Alnasseg WH</t>
  </si>
  <si>
    <t>26 torn bag/11 wet bag  BL:CAEMER25688600, there is ecxess 42bags</t>
  </si>
  <si>
    <t>IMPT</t>
  </si>
  <si>
    <t>56 torn bag/ 15 wet bag BL:RJIZNSAPZU25004.</t>
  </si>
  <si>
    <t>Less than deductable (0.5%)</t>
  </si>
  <si>
    <t>Torn bag/Short/Wet bag</t>
  </si>
  <si>
    <t>97 torn bag/ 117 short bags/7 wet bag BL:RJIZNSAPZU25005.</t>
  </si>
  <si>
    <t>CIS report/LOP for wet and short bags</t>
  </si>
  <si>
    <t>85 torn bag/13 short bag BL:FOLKINBOM006857.</t>
  </si>
  <si>
    <t>Torn bag/Short bag/Wet bag</t>
  </si>
  <si>
    <t>CIS report/LOP for wet bag/ short bag</t>
  </si>
  <si>
    <t>36 torn bag/1 wet bag BL:CAEMER25848901.</t>
  </si>
  <si>
    <t>22 torn bag/43 short bag/ 7 wet bag BL:CAEMER25848902.</t>
  </si>
  <si>
    <t>49 torn bag/ 157 wet bag BL:CAEMER25848800, there is 20 bags excess. torn bags are not covered under insurance.With regards to the wet bags, damage comes within the internationally accepted tolerance limit of .5% , which is a prerequisite for  the insurance company to consider / accept the claim.</t>
  </si>
  <si>
    <t>Liminz</t>
  </si>
  <si>
    <t>66 torn bag BL:CAEMER25848801, there is excess 36 bags.  torn bags are not covered under insurance.</t>
  </si>
  <si>
    <t>BN01</t>
  </si>
  <si>
    <t>PZU-Custom WH</t>
  </si>
  <si>
    <t>CIS report/LOP for short bag</t>
  </si>
  <si>
    <t>Row Labels</t>
  </si>
  <si>
    <t>Grand Total</t>
  </si>
  <si>
    <t>Sum of Claim Value USD</t>
  </si>
  <si>
    <t>Sum of Compensation Value USD</t>
  </si>
  <si>
    <t>RICE LONG ELNGM 20K</t>
  </si>
  <si>
    <t xml:space="preserve">Export </t>
  </si>
  <si>
    <t>Post war</t>
  </si>
  <si>
    <t>Pre war</t>
  </si>
  <si>
    <t xml:space="preserve">Pending </t>
  </si>
  <si>
    <t xml:space="preserve">Close </t>
  </si>
  <si>
    <t>Compensate</t>
  </si>
  <si>
    <t>Not compansate</t>
  </si>
  <si>
    <t>Value</t>
  </si>
  <si>
    <t>Compansate value</t>
  </si>
  <si>
    <t>Comansate value USD per year</t>
  </si>
  <si>
    <t>Comansate value SDG per year</t>
  </si>
  <si>
    <t>Comparing Claim Value By year VS compansate value</t>
  </si>
  <si>
    <t>Insurance compensated</t>
  </si>
  <si>
    <t>Values</t>
  </si>
  <si>
    <t>Period Type</t>
  </si>
  <si>
    <t>Post-War</t>
  </si>
  <si>
    <t>Month</t>
  </si>
  <si>
    <t>Sum of % Compansation</t>
  </si>
  <si>
    <t>33 torn bag during descharge BL: 2501094EXY, As email from Jeenu torn bag not cover under insurance.</t>
  </si>
  <si>
    <t>28 torn bag/ 24 Hight Polish bag BL:257906213.Torn bags are not covered under insurance. The high polished 24 bags, less than tolirance 0.5%.</t>
  </si>
  <si>
    <t>67 torn bag/ 5 wet bag/5 Short bag BL:KIN/PZU/1025/11179. With regard to the shortage of 5 bags &amp; Wet 5 bags, the claim value is below the policy excess threshold (0.5% excess).
 As the claim amount is less than the applicable excess, it cannot be processed under insurance.</t>
  </si>
  <si>
    <t>13 wet bags 23 torn bag  BL:CAEMER25688601, there is ecxess 1 bags, torn bags are not covered under insurance, for wet bags is less than 0.5%.</t>
  </si>
  <si>
    <t>1 wet bags 28 torn bag  BL:CAEMER25688602, there is ecxess 40 bags, torn bags are not covered under insurance, for wet bags is less than 0.5%.</t>
  </si>
  <si>
    <t>1 wet bags 44 torn bag  BL:CAEMER25688603, there is ecxess 36 bags, torn bags are not covered under insurance, for wet bags is less than 0.5%.</t>
  </si>
  <si>
    <t>Count of Case Number</t>
  </si>
  <si>
    <t xml:space="preserve">Claim Value USD </t>
  </si>
  <si>
    <t xml:space="preserve">Compensation Value USD </t>
  </si>
  <si>
    <t xml:space="preserve"> % Compensation </t>
  </si>
  <si>
    <t>Insurance Claims &amp; Compensation Summary</t>
  </si>
  <si>
    <t>Period: 2019–2026 | Currency: USD</t>
  </si>
  <si>
    <t>Total Cases</t>
  </si>
  <si>
    <t>Total Claim Value</t>
  </si>
  <si>
    <t>Total Compensation</t>
  </si>
  <si>
    <t>Overall Compensation Rate:</t>
  </si>
  <si>
    <t>Claims vs Compensation Trend (2019–2026)</t>
  </si>
  <si>
    <t>Yearly Summary</t>
  </si>
  <si>
    <t>Insurance Type</t>
  </si>
  <si>
    <t>Marine Insuranse</t>
  </si>
  <si>
    <t>Distinct Count of Case Number</t>
  </si>
  <si>
    <t>Import Container Damage/Short</t>
  </si>
  <si>
    <t xml:space="preserve"> Count of Case Number </t>
  </si>
  <si>
    <t xml:space="preserve"> Claim Value USD</t>
  </si>
  <si>
    <t>% Compensated</t>
  </si>
  <si>
    <t xml:space="preserve">Compensation Type USD </t>
  </si>
  <si>
    <t>Claims vs Compensation Trend (2019–202</t>
  </si>
  <si>
    <t>Loss</t>
  </si>
  <si>
    <t>Case submitted/ Waiting Insurance feedback</t>
  </si>
  <si>
    <t>No claim required (Zero loss)</t>
  </si>
  <si>
    <t>Reported incidents Status</t>
  </si>
  <si>
    <t>BL NO.</t>
  </si>
  <si>
    <t>3100033205A</t>
  </si>
  <si>
    <t>XERNSAPSZU14324.</t>
  </si>
  <si>
    <t>XERNSAPSZU1462425</t>
  </si>
  <si>
    <t>CAEMER25262000</t>
  </si>
  <si>
    <t>CAEMER25262001</t>
  </si>
  <si>
    <t>CAEMER25262002</t>
  </si>
  <si>
    <t>CAEMER25310000</t>
  </si>
  <si>
    <t>CAEMER25310001</t>
  </si>
  <si>
    <t>CAEMER25406100</t>
  </si>
  <si>
    <t>CAEMER25406101</t>
  </si>
  <si>
    <t>MAEU 257625490</t>
  </si>
  <si>
    <t>MAEU 257906213</t>
  </si>
  <si>
    <t>CAEMER25481600</t>
  </si>
  <si>
    <t>CAEMER25481700</t>
  </si>
  <si>
    <t>SHNSAPZU25070094</t>
  </si>
  <si>
    <t>ASN/PZU/0825/11093</t>
  </si>
  <si>
    <t>2501094EXY</t>
  </si>
  <si>
    <t>2501095EXY</t>
  </si>
  <si>
    <t>2501096EXY</t>
  </si>
  <si>
    <t>CAEMER25549700</t>
  </si>
  <si>
    <t>CAEMER25645400</t>
  </si>
  <si>
    <t>CAEMER25645401</t>
  </si>
  <si>
    <t>KIN/PZU/1025/11179</t>
  </si>
  <si>
    <t>CAEMER25645301</t>
  </si>
  <si>
    <t>CAEMER25645300</t>
  </si>
  <si>
    <t>CAEMER25688002</t>
  </si>
  <si>
    <t>CAEMER25688000</t>
  </si>
  <si>
    <t>CAEMER25688001</t>
  </si>
  <si>
    <t>CAEMER25688600</t>
  </si>
  <si>
    <t>RJIZNSAPZU25005.</t>
  </si>
  <si>
    <t>CAEMER25848801</t>
  </si>
  <si>
    <t>CAEMER25688601</t>
  </si>
  <si>
    <t>CAEMER25688602</t>
  </si>
  <si>
    <t>CAEMER25688603</t>
  </si>
  <si>
    <t>RJIZNSAPZU25004</t>
  </si>
  <si>
    <t>FOLKINBOM006857</t>
  </si>
  <si>
    <t>CAEMER25848901</t>
  </si>
  <si>
    <t>CAEMER25848900</t>
  </si>
  <si>
    <t>CAEMER25848902</t>
  </si>
  <si>
    <t>CAEMER25848800</t>
  </si>
  <si>
    <t>NSM/SE/175,</t>
  </si>
  <si>
    <t>IF0001</t>
  </si>
  <si>
    <t>WHEAT FLOUR IMPORT ELNGM 25KG</t>
  </si>
  <si>
    <t>25KG BAGS</t>
  </si>
  <si>
    <t>Vessel Damage/Short</t>
  </si>
  <si>
    <t>(364 bags) shortage &amp; (51 bags)reject by SSMO of Elnagm flour at MV Cecellia, claim that has been issued against MV/Master and-or MV/ Owner and will not compensate by MV/Master and-or MV/ Owne.</t>
  </si>
  <si>
    <t>CIS report/Claim</t>
  </si>
  <si>
    <t>WS0005</t>
  </si>
  <si>
    <t>KSA WHAITE SUGAR 50 KG FG</t>
  </si>
  <si>
    <t>50KG BAGS</t>
  </si>
  <si>
    <t>(88 bags) shortage of KSA white sugar at MV IMA Glory, claim that has been issued against MV/Master and-or MV/ Owner and will not compensate by MV/Master and-or MV/ Owne.</t>
  </si>
  <si>
    <t>(58 bags) shortage and (37) Reject by SSMO of Elnagm flour at MV Cecellia, claim that has been issued against MV/Master and-or MV/ Owner compensate the reject quantity and will not compensate short quantity. As feed back from Dubai team(Ajay) as email on 26-Feb-2026 amount settelt at Sayga.</t>
  </si>
  <si>
    <t>Amount Settelet at Sayga for reject QTY.</t>
  </si>
  <si>
    <t>May</t>
  </si>
  <si>
    <t>Apr</t>
  </si>
  <si>
    <t>Shiping line compensation</t>
  </si>
  <si>
    <t>1,2,3,4, 5 ,6 ,7</t>
  </si>
  <si>
    <t>1,2,3 4 ,5</t>
  </si>
  <si>
    <t>1,2,3,4,5,6</t>
  </si>
  <si>
    <t>Less than deductable</t>
  </si>
  <si>
    <t>CAEMER26120701</t>
  </si>
  <si>
    <t>77 torn bag/41 Rejected bag/ 4 wet bag BL:CAEMER26120701.</t>
  </si>
  <si>
    <t>48 torn bag/ 101 short bag BL:NSM/SE/175, torn bags are not covered under insurance. Short bag less than deductable 0.5%</t>
  </si>
  <si>
    <t>CAEMER26120700</t>
  </si>
  <si>
    <t>CAEMER26120702</t>
  </si>
  <si>
    <t>39 torn bag/35 Rejected bag/ 20 wet bag BL:CAEMER26120700.</t>
  </si>
  <si>
    <t>39 torn bag/65 Rejected bag/ 78 wet bag BL:CAEMER26120702.</t>
  </si>
  <si>
    <t>CAEMER26120704</t>
  </si>
  <si>
    <t>25 torn bag/14 Rejected bag/ 29 wet bag BL:CAEMER26120704.</t>
  </si>
  <si>
    <t>39 torn bag/45 short bag/ 95 wet bag BL:CAEMER25848900.the 95 wet bags sold the unit price is 20,000 SDG, total value 1,900,000 SDG.</t>
  </si>
  <si>
    <t>SHNSAPZU25110204</t>
  </si>
  <si>
    <t>CAEMER26224201</t>
  </si>
  <si>
    <t>CAEMER26224202</t>
  </si>
  <si>
    <t>CAEMER26224203</t>
  </si>
  <si>
    <t>CAEMER26224204</t>
  </si>
  <si>
    <t>160 torn bag BL:SHNSAPZU25110204.</t>
  </si>
  <si>
    <t>CIS Report</t>
  </si>
  <si>
    <t>40 torn bag/13 wet bags BL:CAEMER26224201.</t>
  </si>
  <si>
    <t>29 torn bag BL:CAEMER26224202.</t>
  </si>
  <si>
    <t>90 torn bag/2 wet bags BL:CAEMER26224203.</t>
  </si>
  <si>
    <t>79 torn bag/39 wet bags BL:CAEMER26224204.</t>
  </si>
  <si>
    <t>Intial Quantity</t>
  </si>
  <si>
    <t>51  torn bag 3 wet bag during descharge CAEMER25262001</t>
  </si>
  <si>
    <t>52  torn bag 15 wet bag during descharge CAEMER25262002</t>
  </si>
  <si>
    <t xml:space="preserve">80 torn bag during descharge and 7 wet bags, BL:CAEMER25406100, torn bags are not covered under the insurance. However, extra empty bags were shipped along with the cargo, which can be used to rebag </t>
  </si>
  <si>
    <t>46 torn 6 wet bag during descharge CAEMER25262000</t>
  </si>
  <si>
    <t>55 torn bag  BL:CAEMER25645400.Torn bags are not covered under insurance. After repacking there is loss 8 bags</t>
  </si>
  <si>
    <t>Case reject/Less than deductable</t>
  </si>
  <si>
    <t>Case Reject/No compensation/Less than deductable (0.5%)</t>
  </si>
  <si>
    <t>Claim Quantity</t>
  </si>
  <si>
    <t>Short</t>
  </si>
  <si>
    <t>Torn</t>
  </si>
  <si>
    <t>Wet</t>
  </si>
  <si>
    <t>Hight polish</t>
  </si>
  <si>
    <t>Wet/Downgrade unit price SDG</t>
  </si>
  <si>
    <t>Initial Quantity</t>
  </si>
  <si>
    <t>loss</t>
  </si>
  <si>
    <t>Sound from Torn QTY</t>
  </si>
  <si>
    <t>Torn QTY</t>
  </si>
  <si>
    <t>NC number</t>
  </si>
  <si>
    <t>48 torn bag/ 85 wet bags/ 125 short bags BL:ASN/PZU/0825/11093, As email from Jeenu torn bag not cover under insurance. There is Final report update at 7 December 2025- 48 torn bag/ 129 wet bags/ 81 short bags but insurance not accept the update, they accept the first servey report.</t>
  </si>
  <si>
    <t>Zero QTY</t>
  </si>
  <si>
    <t>Vessel</t>
  </si>
  <si>
    <t>Not found</t>
  </si>
  <si>
    <t>76-Comment</t>
  </si>
  <si>
    <t>82&amp;99-Comment</t>
  </si>
  <si>
    <t>80&amp;98-Comment</t>
  </si>
  <si>
    <t>103-Comment</t>
  </si>
  <si>
    <t>121-Comment</t>
  </si>
  <si>
    <t>113-Comment</t>
  </si>
  <si>
    <t>112-Comment</t>
  </si>
  <si>
    <t>138-Comment</t>
  </si>
  <si>
    <t>93&amp;94-Comment</t>
  </si>
  <si>
    <t>122&amp;125-Comment</t>
  </si>
  <si>
    <t>53-Short</t>
  </si>
  <si>
    <t>52  torn bag 5 wet bag during descharge CAEMER25262002</t>
  </si>
  <si>
    <t>86-Comment</t>
  </si>
  <si>
    <t>wet bag</t>
  </si>
  <si>
    <t>Waste unit price SDG</t>
  </si>
  <si>
    <t>Wast value</t>
  </si>
  <si>
    <t>Wet Value</t>
  </si>
  <si>
    <t>NC 47</t>
  </si>
  <si>
    <t>NC 69</t>
  </si>
  <si>
    <t>NC No. 69: The survey report indicates 7 wet bags, while the NC records only 4 wet bags.</t>
  </si>
  <si>
    <t>NC 70</t>
  </si>
  <si>
    <t>NC 75</t>
  </si>
  <si>
    <t>NC 83</t>
  </si>
  <si>
    <t>NC 84</t>
  </si>
  <si>
    <t>NCs 122&amp;125-Comment</t>
  </si>
  <si>
    <t>NC No. 125: 7 wet bags were sold as AF. After repacking, an additional 3 bags were sold as AF, bringing the total to 10 bags.</t>
  </si>
  <si>
    <t>NC 86-Comment</t>
  </si>
  <si>
    <t>NCs 93&amp;94-Comment</t>
  </si>
  <si>
    <t>NC No. 94: The NC records 121 wet bags sold as AF, while the updated survey report records 129 wet bags.</t>
  </si>
  <si>
    <t>NC 89</t>
  </si>
  <si>
    <t>NC 90</t>
  </si>
  <si>
    <t>NC 95</t>
  </si>
  <si>
    <t>NC 96</t>
  </si>
  <si>
    <t>NC 100</t>
  </si>
  <si>
    <t>NC 101</t>
  </si>
  <si>
    <t>NC 76-Comment</t>
  </si>
  <si>
    <t>The NC reports 31 torn bags, while the survey report records 35 torn bags. 4 torn bags were not reported in the NC.</t>
  </si>
  <si>
    <t>NCs 82&amp;99-Comment</t>
  </si>
  <si>
    <t>The NC reports 33 torn bags and 4 wet bags, while the survey report records all 37 bags as torn.</t>
  </si>
  <si>
    <t>NCs 80&amp;98-Comment</t>
  </si>
  <si>
    <t>The NC does not report the 24 high-polish bags.</t>
  </si>
  <si>
    <t>NC 102</t>
  </si>
  <si>
    <t>NC 103-Comment</t>
  </si>
  <si>
    <t>The NC reports 79 torn bags and 13 wet bags, while the survey report records 76 torn bags and 13 wet bags. There is a discrepancy of 3 torn bags.</t>
  </si>
  <si>
    <t>NC 105</t>
  </si>
  <si>
    <t>NC 109</t>
  </si>
  <si>
    <t>NC 108</t>
  </si>
  <si>
    <t>NC 114</t>
  </si>
  <si>
    <t>NC 113-Comment</t>
  </si>
  <si>
    <t>The torn bag quantities were swapped between BLs 8000 and 8001.</t>
  </si>
  <si>
    <t>NC 112-Comment</t>
  </si>
  <si>
    <t>NC 116</t>
  </si>
  <si>
    <t>NC 117</t>
  </si>
  <si>
    <t>NC 118</t>
  </si>
  <si>
    <t>NC 115</t>
  </si>
  <si>
    <t>NC 121-Comment</t>
  </si>
  <si>
    <t>No wet bags are reported in the NC.</t>
  </si>
  <si>
    <t>NC 122</t>
  </si>
  <si>
    <t>NC 124</t>
  </si>
  <si>
    <t>NC 132</t>
  </si>
  <si>
    <t>NC 129</t>
  </si>
  <si>
    <t>NC 135</t>
  </si>
  <si>
    <t>Wet bags are under processing.</t>
  </si>
  <si>
    <t>NC 126</t>
  </si>
  <si>
    <t>The 157 high polish bags are under processing. There is 28 bags under process.</t>
  </si>
  <si>
    <t>NC 127</t>
  </si>
  <si>
    <t>NC 130</t>
  </si>
  <si>
    <t>The torn bags are under processing.</t>
  </si>
  <si>
    <t>NC 139</t>
  </si>
  <si>
    <t>The torn and wet bags are under processing.</t>
  </si>
  <si>
    <t>NC 138-Comment</t>
  </si>
  <si>
    <t>NC 141</t>
  </si>
  <si>
    <t>NC 142</t>
  </si>
  <si>
    <t>NC 123</t>
  </si>
  <si>
    <t>NC 160</t>
  </si>
  <si>
    <t>NC 161</t>
  </si>
  <si>
    <t>NC 162</t>
  </si>
  <si>
    <t>Claim Quantity2</t>
  </si>
  <si>
    <t>Repacking status</t>
  </si>
  <si>
    <t>CAEMER26294102</t>
  </si>
  <si>
    <t>CAEMER26294103</t>
  </si>
  <si>
    <t>PZU-Bond Area WH</t>
  </si>
  <si>
    <t>Jul</t>
  </si>
  <si>
    <t xml:space="preserve"> Sound after repacking/bags</t>
  </si>
  <si>
    <t>Defected Qty after Repacking Results</t>
  </si>
  <si>
    <t>Unit Value - USD</t>
  </si>
  <si>
    <t xml:space="preserve"> Waste Bags</t>
  </si>
  <si>
    <t xml:space="preserve"> Wet bags</t>
  </si>
  <si>
    <t>Local sale value</t>
  </si>
  <si>
    <t>Total Sale Value - SDG</t>
  </si>
  <si>
    <t>QTY Quality decision as local sale (wet bags)</t>
  </si>
  <si>
    <t xml:space="preserve">Torn bags decision as Repacking </t>
  </si>
  <si>
    <t>Total defect QTY Value - USD</t>
  </si>
  <si>
    <t>Claim amount calculation</t>
  </si>
  <si>
    <t xml:space="preserve"> Wast bags</t>
  </si>
  <si>
    <t>Total Wet Sale Value - USD</t>
  </si>
  <si>
    <t>Total Waste Sale Value - USD</t>
  </si>
  <si>
    <t>160 torn bag BL:SHNSAPZU25110204. Torn bags are not include under insurance coverage</t>
  </si>
  <si>
    <t>13 wet bags 23 torn bag  BL:CAEMER25688601, there is ecxess 1 bags, torn bags are not covered under insurance, for wet bags is less than deductable 0.5%.</t>
  </si>
  <si>
    <t>1 wet bags 28 torn bag  BL:CAEMER25688602, there is ecxess 40 bags, torn bags are not covered under insurance, for wet bags is less than deductable 0.5%.</t>
  </si>
  <si>
    <t>1 wet bags 44 torn bag  BL:CAEMER25688603, there is ecxess 36 bags, torn bags are not covered under insurance, for wet bags is less than deductable 0.5%.</t>
  </si>
  <si>
    <t>Not include under insurance covarge</t>
  </si>
  <si>
    <t>Not include under insurance covarge/Less than deductable</t>
  </si>
  <si>
    <t>Marine Insurance</t>
  </si>
  <si>
    <t>Less than deductible</t>
  </si>
  <si>
    <t>Less than deductible (0.5%)</t>
  </si>
  <si>
    <t>Ajay/Jeenu</t>
  </si>
  <si>
    <t>50 torn bag during discharge CAEMER25310000, case reject due there is excess at BL by 207 bags.</t>
  </si>
  <si>
    <t>22 torn bag/43 short bag/ 7 wet bag BL:CAEMER25848902. torn bags are not covered under insurance, for wet &amp; short bags is less than deductable 0.5%.</t>
  </si>
  <si>
    <t>23 bags found shortage at container  BL:248623393.  for short bags is less than deductable 0.5%.</t>
  </si>
  <si>
    <t>24 torn bag/ 46 wet bag BL:CAEMER25645300. Torn bags are not covered under insurance,for wet bags is less than deductable 0.5%..</t>
  </si>
  <si>
    <t>25 torn bag BL:CAEMER26294103.Torn bags are not covered under insurance</t>
  </si>
  <si>
    <t>36 torn bag/1 wet bag BL:CAEMER25848901.Torn bags are not covered under insurance for wet bag less than deductable .05%</t>
  </si>
  <si>
    <t>31 torn bag/1 wet bags BL:CAEMER26294102.Torn bags are not covered under insurance for wet bag less than deductable .05%</t>
  </si>
  <si>
    <t>40 torn bag during descharge BL:257625382.Torn bags are not covered under insurance.</t>
  </si>
  <si>
    <t>41 torn bag during descharge BL: CAEMER25481700. Torn bags are not covered under insurance</t>
  </si>
  <si>
    <t>40 torn bag/4 wet bag/83 shortagebag BL:SHNSAPZU25070094 all reqirment documents share, first notification on 29-Sep-25 the final CIS report with final quantity on 17-Oct-25.Torn bags are not covered under insurance for short and wet bag less than deductable .05%</t>
  </si>
  <si>
    <t>39 torn bag/65 Rejected bag/ 78 wet bag BL:CAEMER26120702.Torn bags are not covered under insurance for reject and wet bag less than deductable .05%</t>
  </si>
  <si>
    <t>39 torn bag/35 Rejected bag/ 20 wet bag BL:CAEMER26120700.Torn bags are not covered under insurance for reject and wet bag less than deductable .05%</t>
  </si>
  <si>
    <t>46 torn 6 wet bag during discharge CAEMER25262000.Torn bags are not covered under insurance. wet bag less than deductable 0.5%</t>
  </si>
  <si>
    <t>42 torn bag during descharge BL:CAEMER25481600. Torn bags are not covered under insurance.</t>
  </si>
  <si>
    <t>54 bags found shortage at container  BL:248623021. Short bag less than deductable .05%</t>
  </si>
  <si>
    <t xml:space="preserve">80 torn bag during descharge and 7 wet bags, BL:CAEMER25406100, torn bags are not covered under the insurance. However, extra empty bags were shipped along with the cargo, which can be used to rebag, for wet bag less than deductable .05% </t>
  </si>
  <si>
    <t>76 torn bag/ 16 wet bag BL:CAEMER25645401. Torn bags are not covered under insurance, for wet bag less than deductable .05%.</t>
  </si>
  <si>
    <t>56 torn bag/ 15 wet bag BL:RJIZNSAPZU25004.Torn bags are not covered under insurance, for wet bag less than deductable .05%.</t>
  </si>
  <si>
    <t>85 torn bag/13 short bag BL:FOLKINBOM006857.Torn bags are not covered under insurance, for wet bag less than deductable .05%.</t>
  </si>
  <si>
    <t>66 torn bag BL:CAEMER25848801, there is excess 36 bags. Torn bags are not covered under insurance.</t>
  </si>
  <si>
    <t>77 torn bag/41 Rejected bag/ 4 wet bag BL:CAEMER26120701.Torn bags are not covered under insurance, for wet &amp; reject bag less than deductable .05%.</t>
  </si>
  <si>
    <t>51  torn bag 3 wet bag during discharge CAEMER25262001. Torn bag not cover under insurance, for wet bags less than deductable .05%.</t>
  </si>
  <si>
    <t>52  torn bag 5 wet bag during discharge CAEMER25262002. Torn bag not cover under insurance, for wet bags less than deductable .05%.</t>
  </si>
  <si>
    <t>97 torn bag/ 117 short bags/7 wet bag BL:RJIZNSAPZU25005.Torn bag not cover under insurance, forshort &amp; wet bags less than deductable .05%.</t>
  </si>
  <si>
    <t>Not include under insurance covarge/Less than deductable (0.5%)</t>
  </si>
  <si>
    <t>67 torn bag/ 5 wet bag/5 Short bag BL:KIN/PZU/1025/11179. With regard to the shortage of 5 bags &amp; Wet 5 bags. Torn bags are not covered under insurance, for wet and short bag less than deductable .05%.</t>
  </si>
  <si>
    <t>Not update at CTS</t>
  </si>
  <si>
    <t>The NC indicates that the damage was identified during offloading; however, the final quantity matches the survey report.</t>
  </si>
  <si>
    <t>42-Comment</t>
  </si>
  <si>
    <t>NC indicates only 5 wet bags.</t>
  </si>
  <si>
    <t>49-Comment</t>
  </si>
  <si>
    <t>Total QTY 139 torn bag not match the servey report 3 wet bag and 51 torn bags.</t>
  </si>
  <si>
    <t>Total Wet/Waste Sale Value - USD</t>
  </si>
  <si>
    <t xml:space="preserve">Total Claim value </t>
  </si>
  <si>
    <t>Waiting Feedback/ Local sale compensation.</t>
  </si>
  <si>
    <t>Local sale compensation</t>
  </si>
  <si>
    <t xml:space="preserve">Claim value before deduct
 local sale value </t>
  </si>
  <si>
    <t>55 bags found shortage at container  BL:248620255. Delivered DN and insurance compansate.</t>
  </si>
  <si>
    <t>62 bags found shortage at container  BL:248622146. Delivered DN and insurance compansate.</t>
  </si>
  <si>
    <t>107 bags found shortage at container  BL:248619667. Delivered DN and insurance compansate.</t>
  </si>
  <si>
    <t>54 bags found shortage at container  BL:248620904. Delivered DN and insurance compansate.</t>
  </si>
  <si>
    <t>30 bags found shortage at container  BL:248621429. Delivered DN and insurance compansate.</t>
  </si>
  <si>
    <t>Survey report QTY</t>
  </si>
  <si>
    <t xml:space="preserve">Claim Loss and damge Quantity </t>
  </si>
  <si>
    <t xml:space="preserve"> Wet Bags</t>
  </si>
  <si>
    <t>Torn repacking result</t>
  </si>
  <si>
    <t>High-polish repacking result</t>
  </si>
  <si>
    <t>NC 48 QTY 36 torn bags not add BL number at NC</t>
  </si>
  <si>
    <t>VCLMERPZU5248326</t>
  </si>
  <si>
    <t>23 torn bag &amp; 56 Hight polisg BL:VCLMERPZU5248326.Twill update by final loss after repacking of torn and hight polish.</t>
  </si>
  <si>
    <t>CAEMER26338900</t>
  </si>
  <si>
    <t>VCLMERPZU5268326</t>
  </si>
  <si>
    <t>18 torn bag BL:CAEMER26338900.</t>
  </si>
  <si>
    <t>28 torn bag BL:VCLMERPZU5268326.</t>
  </si>
  <si>
    <t>Aug</t>
  </si>
  <si>
    <t>The torn Bags listed under loading and offloading at NC, while it is reported at Final survey report.</t>
  </si>
  <si>
    <t>NC169</t>
  </si>
  <si>
    <t>The Nc reported the Torn quantity during handling 27 bags and prior discharge operation 23 bags</t>
  </si>
  <si>
    <t>Unit price - SDG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</si>
</sst>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_-&quot;$&quot;* #,##0.00_-;\-&quot;$&quot;* #,##0.00_-;_-&quot;$&quot;* &quot;-&quot;??_-;_-@_-"/>
    <numFmt numFmtId="165" formatCode="0.00_);\(0.00\)"/>
    <numFmt numFmtId="166" formatCode="_([$SDG]\ * #,##0.00_);_([$SDG]\ * \(#,##0.00\);_([$SDG]\ * &quot;-&quot;??_);_(@_)"/>
    <numFmt numFmtId="167" formatCode="[$-409]d\-mmm\-yyyy;@"/>
    <numFmt numFmtId="168" formatCode="_-&quot;$&quot;* #,##0_-;\-&quot;$&quot;* #,##0_-;_-&quot;$&quot;* &quot;-&quot;??_-;_-@_-"/>
    <numFmt numFmtId="169" formatCode="_(* #,##0_);_(* \(#,##0\);_(* &quot;-&quot;??_);_(@_)"/>
  </numFmts>
  <fonts count="2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4"/>
      <color theme="1"/>
      <name val="Calibri"/>
      <family val="2"/>
      <scheme val="minor"/>
    </font>
    <font>
      <sz val="18"/>
      <color theme="1"/>
      <name val="Calibri"/>
      <family val="2"/>
      <scheme val="minor"/>
    </font>
    <font>
      <b/>
      <sz val="18"/>
      <color theme="0"/>
      <name val="Calibri"/>
      <family val="2"/>
      <scheme val="minor"/>
    </font>
    <font>
      <b/>
      <sz val="18"/>
      <color theme="1"/>
      <name val="Calibri"/>
      <family val="2"/>
      <scheme val="minor"/>
    </font>
    <font>
      <b/>
      <sz val="14"/>
      <color rgb="FF595959"/>
      <name val="Calibri"/>
      <family val="2"/>
      <scheme val="minor"/>
    </font>
    <font>
      <b/>
      <sz val="11"/>
      <color rgb="FF000000"/>
      <name val="Calibri"/>
      <family val="2"/>
      <scheme val="minor"/>
    </font>
    <font>
      <sz val="14"/>
      <color rgb="FF595959"/>
      <name val="Calibri"/>
      <family val="2"/>
      <scheme val="minor"/>
    </font>
    <font>
      <sz val="11"/>
      <color theme="0"/>
      <name val="Calibri"/>
      <family val="2"/>
      <scheme val="minor"/>
    </font>
    <font>
      <sz val="8"/>
      <name val="Calibri"/>
      <family val="2"/>
      <scheme val="minor"/>
    </font>
    <font>
      <b/>
      <sz val="24"/>
      <color theme="0"/>
      <name val="Calibri"/>
      <family val="2"/>
      <scheme val="minor"/>
    </font>
    <font>
      <sz val="24"/>
      <color theme="0"/>
      <name val="Calibri"/>
      <family val="2"/>
      <scheme val="minor"/>
    </font>
    <font>
      <sz val="24"/>
      <color theme="1"/>
      <name val="Calibri"/>
      <family val="2"/>
      <scheme val="minor"/>
    </font>
    <font>
      <b/>
      <sz val="24"/>
      <color theme="1"/>
      <name val="Calibri"/>
      <family val="2"/>
      <scheme val="minor"/>
    </font>
    <font>
      <sz val="9"/>
      <color indexed="81"/>
      <name val="Tahoma"/>
      <family val="2"/>
    </font>
    <font>
      <b/>
      <sz val="9"/>
      <color indexed="81"/>
      <name val="Tahoma"/>
      <family val="2"/>
    </font>
    <font>
      <b/>
      <sz val="12"/>
      <color theme="1"/>
      <name val="Calibri"/>
      <family val="2"/>
      <scheme val="minor"/>
    </font>
  </fonts>
  <fills count="22">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theme="2"/>
        <bgColor theme="6" tint="0.79998168889431442"/>
      </patternFill>
    </fill>
    <fill>
      <patternFill patternType="solid">
        <fgColor theme="6" tint="0.79998168889431442"/>
        <bgColor theme="6" tint="0.79998168889431442"/>
      </patternFill>
    </fill>
    <fill>
      <patternFill patternType="solid">
        <fgColor theme="4" tint="0.59999389629810485"/>
        <bgColor theme="6" tint="0.79998168889431442"/>
      </patternFill>
    </fill>
    <fill>
      <patternFill patternType="solid">
        <fgColor theme="5" tint="0.59999389629810485"/>
        <bgColor theme="6" tint="0.79998168889431442"/>
      </patternFill>
    </fill>
    <fill>
      <patternFill patternType="solid">
        <fgColor theme="9" tint="0.59999389629810485"/>
        <bgColor theme="6" tint="0.79998168889431442"/>
      </patternFill>
    </fill>
    <fill>
      <patternFill patternType="solid">
        <fgColor rgb="FF0F4D1F"/>
        <bgColor indexed="64"/>
      </patternFill>
    </fill>
    <fill>
      <patternFill patternType="solid">
        <fgColor theme="9" tint="0.79998168889431442"/>
        <bgColor indexed="64"/>
      </patternFill>
    </fill>
    <fill>
      <patternFill patternType="solid">
        <fgColor theme="7" tint="0.39997558519241921"/>
        <bgColor theme="6" tint="0.79998168889431442"/>
      </patternFill>
    </fill>
    <fill>
      <patternFill patternType="solid">
        <fgColor rgb="FF92D050"/>
        <bgColor theme="6" tint="0.79998168889431442"/>
      </patternFill>
    </fill>
    <fill>
      <patternFill patternType="solid">
        <fgColor rgb="FF2F7D3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8CCB00"/>
        <bgColor theme="6" tint="0.79998168889431442"/>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theme="9" tint="-0.249977111117893"/>
      </top>
      <bottom style="medium">
        <color indexed="64"/>
      </bottom>
      <diagonal/>
    </border>
    <border>
      <left/>
      <right/>
      <top style="thin">
        <color theme="9" tint="-0.249977111117893"/>
      </top>
      <bottom style="medium">
        <color indexed="64"/>
      </bottom>
      <diagonal/>
    </border>
    <border>
      <left/>
      <right style="medium">
        <color indexed="64"/>
      </right>
      <top style="thin">
        <color theme="9" tint="-0.249977111117893"/>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14">
    <xf numFmtId="0" fontId="0" fillId="0" borderId="0" xfId="0"/>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164" fontId="2" fillId="2" borderId="1" xfId="2" applyFont="1" applyFill="1" applyBorder="1" applyAlignment="1">
      <alignment horizontal="left" vertical="center"/>
    </xf>
    <xf numFmtId="164" fontId="3" fillId="3" borderId="1" xfId="2" applyFont="1" applyFill="1" applyBorder="1" applyAlignment="1">
      <alignment horizontal="left" vertical="center"/>
    </xf>
    <xf numFmtId="0" fontId="3" fillId="3" borderId="2" xfId="0" applyFont="1" applyFill="1"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vertical="top"/>
    </xf>
    <xf numFmtId="165" fontId="0" fillId="4" borderId="1" xfId="0" applyNumberFormat="1"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vertical="top"/>
    </xf>
    <xf numFmtId="164" fontId="0" fillId="5" borderId="1" xfId="2" applyFont="1" applyFill="1" applyBorder="1" applyAlignment="1">
      <alignment vertical="top"/>
    </xf>
    <xf numFmtId="166" fontId="0" fillId="5" borderId="1" xfId="2" applyNumberFormat="1" applyFont="1" applyFill="1" applyBorder="1" applyAlignment="1">
      <alignment vertical="center"/>
    </xf>
    <xf numFmtId="44" fontId="0" fillId="5" borderId="1" xfId="4" applyFont="1" applyFill="1" applyBorder="1" applyAlignment="1">
      <alignment vertical="top"/>
    </xf>
    <xf numFmtId="0" fontId="0" fillId="5" borderId="1" xfId="0" applyFill="1" applyBorder="1" applyAlignment="1">
      <alignment horizontal="left" vertical="top"/>
    </xf>
    <xf numFmtId="9" fontId="0" fillId="5" borderId="1" xfId="3" applyFont="1" applyFill="1" applyBorder="1" applyAlignment="1">
      <alignment horizontal="left" vertical="top"/>
    </xf>
    <xf numFmtId="9" fontId="0" fillId="5" borderId="1" xfId="3" applyFont="1" applyFill="1" applyBorder="1" applyAlignment="1">
      <alignment vertical="top"/>
    </xf>
    <xf numFmtId="0" fontId="0" fillId="4" borderId="1" xfId="0" applyFill="1" applyBorder="1" applyAlignment="1">
      <alignment horizontal="left" vertical="center"/>
    </xf>
    <xf numFmtId="165" fontId="0" fillId="4" borderId="1" xfId="0" applyNumberFormat="1" applyFill="1" applyBorder="1" applyAlignment="1">
      <alignment horizontal="left" vertical="center"/>
    </xf>
    <xf numFmtId="166" fontId="0" fillId="5" borderId="1" xfId="2" applyNumberFormat="1" applyFont="1" applyFill="1" applyBorder="1" applyAlignment="1">
      <alignment vertical="top"/>
    </xf>
    <xf numFmtId="164" fontId="0" fillId="5" borderId="1" xfId="2" applyFont="1" applyFill="1" applyBorder="1" applyAlignment="1">
      <alignment horizontal="left" vertical="top"/>
    </xf>
    <xf numFmtId="0" fontId="0" fillId="4" borderId="1" xfId="0" applyFill="1" applyBorder="1" applyAlignment="1">
      <alignment vertical="center"/>
    </xf>
    <xf numFmtId="0" fontId="4" fillId="5" borderId="1" xfId="0" applyFont="1" applyFill="1" applyBorder="1" applyAlignment="1">
      <alignment vertical="top"/>
    </xf>
    <xf numFmtId="0" fontId="0" fillId="5" borderId="1" xfId="0" applyFill="1" applyBorder="1" applyAlignment="1">
      <alignment horizontal="left" vertical="center"/>
    </xf>
    <xf numFmtId="164" fontId="0" fillId="5" borderId="1" xfId="2" applyFont="1" applyFill="1" applyBorder="1" applyAlignment="1">
      <alignment vertical="center"/>
    </xf>
    <xf numFmtId="0" fontId="0" fillId="5" borderId="1" xfId="0" applyFill="1" applyBorder="1" applyAlignment="1">
      <alignment vertical="center"/>
    </xf>
    <xf numFmtId="164" fontId="4" fillId="5" borderId="1" xfId="2" applyFont="1" applyFill="1" applyBorder="1" applyAlignment="1">
      <alignment vertical="top"/>
    </xf>
    <xf numFmtId="0" fontId="4" fillId="5" borderId="1" xfId="0" applyFont="1" applyFill="1" applyBorder="1" applyAlignment="1">
      <alignment vertical="center"/>
    </xf>
    <xf numFmtId="164" fontId="4" fillId="5" borderId="1" xfId="2" applyFont="1" applyFill="1" applyBorder="1" applyAlignment="1">
      <alignment vertical="center"/>
    </xf>
    <xf numFmtId="9" fontId="0" fillId="5" borderId="1" xfId="3" applyFont="1" applyFill="1" applyBorder="1" applyAlignment="1">
      <alignment horizontal="left" vertical="center"/>
    </xf>
    <xf numFmtId="3" fontId="0" fillId="5" borderId="1" xfId="0" applyNumberFormat="1" applyFill="1" applyBorder="1" applyAlignment="1">
      <alignment horizontal="left" vertical="top"/>
    </xf>
    <xf numFmtId="0" fontId="0" fillId="0" borderId="0" xfId="0" applyAlignment="1">
      <alignment horizontal="center" vertical="center"/>
    </xf>
    <xf numFmtId="0" fontId="0" fillId="0" borderId="0" xfId="0" applyAlignment="1">
      <alignment horizontal="left"/>
    </xf>
    <xf numFmtId="166" fontId="0" fillId="0" borderId="0" xfId="2" applyNumberFormat="1" applyFont="1" applyFill="1" applyBorder="1" applyAlignment="1">
      <alignment vertical="top"/>
    </xf>
    <xf numFmtId="164" fontId="0" fillId="0" borderId="0" xfId="2" applyFont="1" applyBorder="1" applyAlignment="1"/>
    <xf numFmtId="164" fontId="0" fillId="0" borderId="0" xfId="2" applyFont="1" applyBorder="1" applyAlignment="1">
      <alignment horizontal="left"/>
    </xf>
    <xf numFmtId="3" fontId="0" fillId="0" borderId="0" xfId="0" applyNumberFormat="1"/>
    <xf numFmtId="0" fontId="0" fillId="0" borderId="0" xfId="0" pivotButton="1"/>
    <xf numFmtId="1" fontId="2" fillId="2" borderId="1" xfId="0" applyNumberFormat="1" applyFont="1" applyFill="1" applyBorder="1" applyAlignment="1">
      <alignment horizontal="center" vertical="center"/>
    </xf>
    <xf numFmtId="1" fontId="0" fillId="4" borderId="1" xfId="0" applyNumberFormat="1" applyFill="1" applyBorder="1" applyAlignment="1">
      <alignment horizontal="center" vertical="center"/>
    </xf>
    <xf numFmtId="1" fontId="0" fillId="0" borderId="0" xfId="0" applyNumberFormat="1" applyAlignment="1">
      <alignment horizontal="center" vertical="center"/>
    </xf>
    <xf numFmtId="0" fontId="0" fillId="6" borderId="1" xfId="0" applyFill="1" applyBorder="1" applyAlignment="1">
      <alignment vertical="center"/>
    </xf>
    <xf numFmtId="9" fontId="0" fillId="0" borderId="0" xfId="3" applyFont="1"/>
    <xf numFmtId="9" fontId="0" fillId="0" borderId="0" xfId="0" applyNumberFormat="1"/>
    <xf numFmtId="43" fontId="0" fillId="5" borderId="1" xfId="1" applyFont="1" applyFill="1" applyBorder="1" applyAlignment="1">
      <alignment vertical="top"/>
    </xf>
    <xf numFmtId="164" fontId="0" fillId="0" borderId="0" xfId="2" applyFont="1"/>
    <xf numFmtId="164" fontId="0" fillId="0" borderId="0" xfId="0" applyNumberFormat="1"/>
    <xf numFmtId="1" fontId="0" fillId="0" borderId="0" xfId="0" applyNumberFormat="1" applyAlignment="1">
      <alignment horizontal="left"/>
    </xf>
    <xf numFmtId="43" fontId="2" fillId="2" borderId="1" xfId="1" applyFont="1" applyFill="1" applyBorder="1" applyAlignment="1">
      <alignment horizontal="left" vertical="center"/>
    </xf>
    <xf numFmtId="0" fontId="0" fillId="0" borderId="11" xfId="0" applyBorder="1"/>
    <xf numFmtId="0" fontId="0" fillId="0" borderId="11" xfId="0" pivotButton="1" applyBorder="1"/>
    <xf numFmtId="0" fontId="0" fillId="0" borderId="12" xfId="0" applyBorder="1"/>
    <xf numFmtId="0" fontId="0" fillId="0" borderId="13" xfId="0" applyBorder="1"/>
    <xf numFmtId="0" fontId="0" fillId="0" borderId="14" xfId="0" applyBorder="1"/>
    <xf numFmtId="0" fontId="5" fillId="0" borderId="0" xfId="0" applyFont="1" applyAlignment="1">
      <alignment horizontal="left"/>
    </xf>
    <xf numFmtId="9" fontId="0" fillId="0" borderId="11" xfId="3" applyFont="1" applyBorder="1"/>
    <xf numFmtId="0" fontId="3" fillId="0" borderId="0" xfId="0" applyFont="1"/>
    <xf numFmtId="9" fontId="0" fillId="0" borderId="0" xfId="3" applyFont="1" applyBorder="1"/>
    <xf numFmtId="168" fontId="0" fillId="0" borderId="11" xfId="2" applyNumberFormat="1" applyFont="1" applyBorder="1"/>
    <xf numFmtId="168" fontId="0" fillId="0" borderId="10" xfId="2" applyNumberFormat="1" applyFont="1" applyBorder="1"/>
    <xf numFmtId="0" fontId="6" fillId="9" borderId="11" xfId="0" applyFont="1" applyFill="1" applyBorder="1" applyAlignment="1">
      <alignment horizontal="center"/>
    </xf>
    <xf numFmtId="0" fontId="6" fillId="9" borderId="12" xfId="0" applyFont="1" applyFill="1" applyBorder="1" applyAlignment="1">
      <alignment horizontal="center"/>
    </xf>
    <xf numFmtId="0" fontId="6" fillId="9" borderId="13" xfId="0" applyFont="1" applyFill="1" applyBorder="1" applyAlignment="1">
      <alignment horizontal="center"/>
    </xf>
    <xf numFmtId="0" fontId="6" fillId="9" borderId="14" xfId="0" applyFont="1" applyFill="1" applyBorder="1" applyAlignment="1">
      <alignment horizontal="center"/>
    </xf>
    <xf numFmtId="0" fontId="0" fillId="8" borderId="1" xfId="0" applyFill="1" applyBorder="1" applyAlignment="1">
      <alignment horizontal="left" vertical="center"/>
    </xf>
    <xf numFmtId="0" fontId="0" fillId="8" borderId="1" xfId="0" applyFill="1" applyBorder="1" applyAlignment="1">
      <alignment vertical="top"/>
    </xf>
    <xf numFmtId="0" fontId="0" fillId="6" borderId="1" xfId="0" applyFill="1" applyBorder="1" applyAlignment="1">
      <alignment vertical="top"/>
    </xf>
    <xf numFmtId="0" fontId="0" fillId="7" borderId="1" xfId="0" applyFill="1" applyBorder="1" applyAlignment="1">
      <alignment vertical="top"/>
    </xf>
    <xf numFmtId="0" fontId="0" fillId="7" borderId="1" xfId="0" applyFill="1" applyBorder="1" applyAlignment="1">
      <alignment horizontal="left" vertical="center"/>
    </xf>
    <xf numFmtId="0" fontId="0" fillId="11" borderId="1" xfId="0" applyFill="1" applyBorder="1" applyAlignment="1">
      <alignment vertical="top"/>
    </xf>
    <xf numFmtId="0" fontId="0" fillId="11" borderId="1" xfId="0" applyFill="1" applyBorder="1" applyAlignment="1">
      <alignment vertical="center"/>
    </xf>
    <xf numFmtId="0" fontId="0" fillId="12" borderId="1" xfId="0" applyFill="1" applyBorder="1" applyAlignment="1">
      <alignment horizontal="left" vertical="center"/>
    </xf>
    <xf numFmtId="0" fontId="0" fillId="12" borderId="1" xfId="0" applyFill="1" applyBorder="1" applyAlignment="1">
      <alignment vertical="top"/>
    </xf>
    <xf numFmtId="0" fontId="6" fillId="0" borderId="15" xfId="0" applyFont="1" applyBorder="1" applyAlignment="1">
      <alignment horizontal="center"/>
    </xf>
    <xf numFmtId="0" fontId="6" fillId="0" borderId="3" xfId="0" applyFont="1" applyBorder="1" applyAlignment="1">
      <alignment horizontal="center"/>
    </xf>
    <xf numFmtId="168" fontId="6" fillId="0" borderId="4" xfId="0" applyNumberFormat="1" applyFont="1" applyBorder="1" applyAlignment="1">
      <alignment horizontal="center"/>
    </xf>
    <xf numFmtId="9" fontId="6" fillId="0" borderId="5" xfId="0" applyNumberFormat="1" applyFont="1" applyBorder="1" applyAlignment="1">
      <alignment horizontal="center"/>
    </xf>
    <xf numFmtId="0" fontId="6" fillId="0" borderId="16" xfId="0" applyFont="1" applyBorder="1" applyAlignment="1">
      <alignment horizontal="center"/>
    </xf>
    <xf numFmtId="0" fontId="6" fillId="0" borderId="6" xfId="0" applyFont="1" applyBorder="1" applyAlignment="1">
      <alignment horizontal="center"/>
    </xf>
    <xf numFmtId="168" fontId="6" fillId="0" borderId="0" xfId="0" applyNumberFormat="1" applyFont="1" applyAlignment="1">
      <alignment horizontal="center"/>
    </xf>
    <xf numFmtId="9" fontId="6" fillId="0" borderId="7" xfId="0" applyNumberFormat="1" applyFont="1" applyBorder="1" applyAlignment="1">
      <alignment horizontal="center"/>
    </xf>
    <xf numFmtId="0" fontId="6" fillId="0" borderId="17" xfId="0" applyFont="1" applyBorder="1" applyAlignment="1">
      <alignment horizontal="center"/>
    </xf>
    <xf numFmtId="0" fontId="6" fillId="10" borderId="11" xfId="0" applyFont="1" applyFill="1" applyBorder="1" applyAlignment="1">
      <alignment horizontal="center"/>
    </xf>
    <xf numFmtId="168" fontId="6" fillId="10" borderId="9" xfId="0" applyNumberFormat="1" applyFont="1" applyFill="1" applyBorder="1" applyAlignment="1">
      <alignment horizontal="center"/>
    </xf>
    <xf numFmtId="9" fontId="6" fillId="10" borderId="10" xfId="0" applyNumberFormat="1" applyFont="1" applyFill="1" applyBorder="1" applyAlignment="1">
      <alignment horizontal="center"/>
    </xf>
    <xf numFmtId="0" fontId="9" fillId="0" borderId="0" xfId="0" applyFont="1" applyAlignment="1">
      <alignment horizontal="center" vertical="center" readingOrder="1"/>
    </xf>
    <xf numFmtId="0" fontId="10" fillId="0" borderId="0" xfId="0" applyFont="1"/>
    <xf numFmtId="43" fontId="0" fillId="0" borderId="0" xfId="0" applyNumberFormat="1"/>
    <xf numFmtId="167" fontId="2" fillId="2" borderId="21" xfId="0" applyNumberFormat="1" applyFont="1" applyFill="1" applyBorder="1" applyAlignment="1">
      <alignment horizontal="left" vertical="center"/>
    </xf>
    <xf numFmtId="167" fontId="0" fillId="4" borderId="21" xfId="0" applyNumberFormat="1" applyFill="1" applyBorder="1" applyAlignment="1">
      <alignment horizontal="left" vertical="top"/>
    </xf>
    <xf numFmtId="167" fontId="0" fillId="4" borderId="21" xfId="0" applyNumberFormat="1" applyFill="1" applyBorder="1" applyAlignment="1">
      <alignment horizontal="left" vertical="center"/>
    </xf>
    <xf numFmtId="0" fontId="11" fillId="0" borderId="0" xfId="0" applyFont="1" applyAlignment="1">
      <alignment horizontal="center" vertical="center" readingOrder="1"/>
    </xf>
    <xf numFmtId="0" fontId="7" fillId="9" borderId="11" xfId="0" applyFont="1" applyFill="1" applyBorder="1" applyAlignment="1">
      <alignment horizontal="center"/>
    </xf>
    <xf numFmtId="0" fontId="7" fillId="9" borderId="12" xfId="0" applyFont="1" applyFill="1" applyBorder="1" applyAlignment="1">
      <alignment horizontal="center"/>
    </xf>
    <xf numFmtId="0" fontId="7" fillId="9" borderId="13" xfId="0" applyFont="1" applyFill="1" applyBorder="1" applyAlignment="1">
      <alignment horizontal="center"/>
    </xf>
    <xf numFmtId="0" fontId="7" fillId="9" borderId="14" xfId="0" applyFont="1" applyFill="1" applyBorder="1" applyAlignment="1">
      <alignment horizontal="center"/>
    </xf>
    <xf numFmtId="0" fontId="8" fillId="10" borderId="11" xfId="0" applyFont="1" applyFill="1" applyBorder="1" applyAlignment="1">
      <alignment horizontal="center"/>
    </xf>
    <xf numFmtId="0" fontId="8" fillId="10" borderId="18" xfId="0" applyFont="1" applyFill="1" applyBorder="1" applyAlignment="1">
      <alignment horizontal="center"/>
    </xf>
    <xf numFmtId="168" fontId="8" fillId="10" borderId="19" xfId="0" applyNumberFormat="1" applyFont="1" applyFill="1" applyBorder="1" applyAlignment="1">
      <alignment horizontal="center"/>
    </xf>
    <xf numFmtId="9" fontId="8" fillId="10" borderId="20" xfId="0" applyNumberFormat="1" applyFont="1" applyFill="1" applyBorder="1" applyAlignment="1">
      <alignment horizontal="center"/>
    </xf>
    <xf numFmtId="0" fontId="12" fillId="9" borderId="11" xfId="0" applyFont="1" applyFill="1" applyBorder="1"/>
    <xf numFmtId="0" fontId="12" fillId="1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0" fillId="10" borderId="0" xfId="0" applyFill="1" applyAlignment="1">
      <alignment horizontal="center"/>
    </xf>
    <xf numFmtId="164" fontId="0" fillId="10" borderId="0" xfId="0" applyNumberFormat="1" applyFill="1" applyAlignment="1">
      <alignment horizontal="center"/>
    </xf>
    <xf numFmtId="9" fontId="0" fillId="10" borderId="0" xfId="0" applyNumberFormat="1" applyFill="1" applyAlignment="1">
      <alignment horizontal="center"/>
    </xf>
    <xf numFmtId="0" fontId="14" fillId="13" borderId="11" xfId="0" applyFont="1" applyFill="1" applyBorder="1" applyAlignment="1">
      <alignment horizontal="center"/>
    </xf>
    <xf numFmtId="0" fontId="15" fillId="13" borderId="12" xfId="0" applyFont="1" applyFill="1" applyBorder="1" applyAlignment="1">
      <alignment horizontal="center"/>
    </xf>
    <xf numFmtId="0" fontId="15" fillId="13" borderId="13" xfId="0" applyFont="1" applyFill="1" applyBorder="1" applyAlignment="1">
      <alignment horizontal="center"/>
    </xf>
    <xf numFmtId="0" fontId="15" fillId="13" borderId="14" xfId="0" applyFont="1" applyFill="1" applyBorder="1" applyAlignment="1">
      <alignment horizontal="center"/>
    </xf>
    <xf numFmtId="0" fontId="17" fillId="10" borderId="11" xfId="0" applyFont="1" applyFill="1" applyBorder="1" applyAlignment="1">
      <alignment horizontal="center"/>
    </xf>
    <xf numFmtId="164" fontId="16" fillId="10" borderId="13" xfId="0" applyNumberFormat="1" applyFont="1" applyFill="1" applyBorder="1" applyAlignment="1">
      <alignment horizontal="center"/>
    </xf>
    <xf numFmtId="9" fontId="16" fillId="10" borderId="14" xfId="0" applyNumberFormat="1" applyFont="1" applyFill="1" applyBorder="1" applyAlignment="1">
      <alignment horizontal="center"/>
    </xf>
    <xf numFmtId="0" fontId="2" fillId="3" borderId="1" xfId="0" applyFont="1" applyFill="1" applyBorder="1" applyAlignment="1">
      <alignment horizontal="left" vertical="center"/>
    </xf>
    <xf numFmtId="165" fontId="0" fillId="12" borderId="1" xfId="0" applyNumberFormat="1" applyFill="1" applyBorder="1" applyAlignment="1">
      <alignment horizontal="left" vertical="top"/>
    </xf>
    <xf numFmtId="0" fontId="0" fillId="12" borderId="1" xfId="0" applyFill="1" applyBorder="1" applyAlignment="1">
      <alignment horizontal="center" vertical="center"/>
    </xf>
    <xf numFmtId="0" fontId="0" fillId="12" borderId="1" xfId="0" applyFill="1" applyBorder="1" applyAlignment="1">
      <alignment horizontal="left" vertical="top"/>
    </xf>
    <xf numFmtId="43" fontId="0" fillId="12" borderId="1" xfId="1" applyFont="1" applyFill="1" applyBorder="1" applyAlignment="1">
      <alignment vertical="top"/>
    </xf>
    <xf numFmtId="0" fontId="0" fillId="12" borderId="1" xfId="0" applyFill="1" applyBorder="1" applyAlignment="1">
      <alignment vertical="center"/>
    </xf>
    <xf numFmtId="0" fontId="4" fillId="12" borderId="1" xfId="0" applyFont="1" applyFill="1" applyBorder="1" applyAlignment="1">
      <alignment vertical="center"/>
    </xf>
    <xf numFmtId="167" fontId="2" fillId="2" borderId="1" xfId="0" applyNumberFormat="1" applyFont="1" applyFill="1" applyBorder="1" applyAlignment="1">
      <alignment horizontal="left" vertical="center"/>
    </xf>
    <xf numFmtId="167" fontId="0" fillId="4" borderId="1" xfId="0" applyNumberFormat="1" applyFill="1" applyBorder="1" applyAlignment="1">
      <alignment horizontal="left" vertical="center"/>
    </xf>
    <xf numFmtId="43" fontId="0" fillId="4" borderId="1" xfId="1" applyFont="1" applyFill="1" applyBorder="1" applyAlignment="1">
      <alignment horizontal="left" vertical="top"/>
    </xf>
    <xf numFmtId="167" fontId="0" fillId="4" borderId="1" xfId="0" applyNumberFormat="1" applyFill="1" applyBorder="1" applyAlignment="1">
      <alignment horizontal="left" vertical="top"/>
    </xf>
    <xf numFmtId="43" fontId="0" fillId="6" borderId="1" xfId="1" applyFont="1" applyFill="1" applyBorder="1" applyAlignment="1">
      <alignment horizontal="left" vertical="top"/>
    </xf>
    <xf numFmtId="167" fontId="0" fillId="12" borderId="1" xfId="0" applyNumberFormat="1" applyFill="1" applyBorder="1" applyAlignment="1">
      <alignment horizontal="left" vertical="center"/>
    </xf>
    <xf numFmtId="0" fontId="0" fillId="4" borderId="1" xfId="0" applyFill="1" applyBorder="1" applyAlignment="1">
      <alignment horizontal="right" vertical="center"/>
    </xf>
    <xf numFmtId="0" fontId="2" fillId="2" borderId="1" xfId="0" applyFont="1" applyFill="1" applyBorder="1" applyAlignment="1">
      <alignment horizontal="right" vertical="center"/>
    </xf>
    <xf numFmtId="165" fontId="0" fillId="4" borderId="1" xfId="0" applyNumberFormat="1" applyFill="1" applyBorder="1" applyAlignment="1">
      <alignment horizontal="right" vertical="top"/>
    </xf>
    <xf numFmtId="165" fontId="0" fillId="4" borderId="1" xfId="0" applyNumberFormat="1" applyFill="1" applyBorder="1" applyAlignment="1">
      <alignment horizontal="right" vertical="center"/>
    </xf>
    <xf numFmtId="0" fontId="0" fillId="4" borderId="1" xfId="0" applyFill="1" applyBorder="1" applyAlignment="1">
      <alignment horizontal="right" vertical="top"/>
    </xf>
    <xf numFmtId="0" fontId="0" fillId="12" borderId="1" xfId="0" applyFill="1" applyBorder="1" applyAlignment="1">
      <alignment horizontal="right" vertical="top"/>
    </xf>
    <xf numFmtId="0" fontId="0" fillId="0" borderId="0" xfId="0" applyAlignment="1">
      <alignment horizontal="right"/>
    </xf>
    <xf numFmtId="169" fontId="0" fillId="0" borderId="0" xfId="1" applyNumberFormat="1" applyFont="1"/>
    <xf numFmtId="169" fontId="3" fillId="3" borderId="1" xfId="1" applyNumberFormat="1" applyFont="1" applyFill="1" applyBorder="1" applyAlignment="1">
      <alignment horizontal="center" vertical="center"/>
    </xf>
    <xf numFmtId="169" fontId="2" fillId="2" borderId="1" xfId="1" applyNumberFormat="1" applyFont="1" applyFill="1" applyBorder="1" applyAlignment="1">
      <alignment horizontal="center" vertical="center"/>
    </xf>
    <xf numFmtId="164" fontId="2" fillId="2" borderId="1" xfId="4" applyNumberFormat="1" applyFont="1" applyFill="1" applyBorder="1" applyAlignment="1">
      <alignment horizontal="left" vertical="center"/>
    </xf>
    <xf numFmtId="164" fontId="2" fillId="3" borderId="1" xfId="4" applyNumberFormat="1" applyFont="1" applyFill="1" applyBorder="1" applyAlignment="1">
      <alignment horizontal="left" vertical="center"/>
    </xf>
    <xf numFmtId="0" fontId="2" fillId="2" borderId="23" xfId="0" applyFont="1" applyFill="1" applyBorder="1" applyAlignment="1">
      <alignment horizontal="left" vertical="center"/>
    </xf>
    <xf numFmtId="165" fontId="0" fillId="4" borderId="1" xfId="0" applyNumberFormat="1" applyFill="1" applyBorder="1" applyAlignment="1">
      <alignment horizontal="center" vertical="top"/>
    </xf>
    <xf numFmtId="169" fontId="0" fillId="4" borderId="1" xfId="1" applyNumberFormat="1" applyFont="1" applyFill="1" applyBorder="1" applyAlignment="1">
      <alignment horizontal="right" vertical="top"/>
    </xf>
    <xf numFmtId="169" fontId="0" fillId="4" borderId="1" xfId="1" applyNumberFormat="1" applyFont="1" applyFill="1" applyBorder="1" applyAlignment="1">
      <alignment vertical="top"/>
    </xf>
    <xf numFmtId="169" fontId="0" fillId="4" borderId="1" xfId="1" applyNumberFormat="1" applyFont="1" applyFill="1" applyBorder="1" applyAlignment="1">
      <alignment horizontal="center" vertical="top"/>
    </xf>
    <xf numFmtId="43" fontId="0" fillId="4" borderId="1" xfId="1" applyFont="1" applyFill="1" applyBorder="1" applyAlignment="1">
      <alignment horizontal="right" vertical="top"/>
    </xf>
    <xf numFmtId="164" fontId="0" fillId="5" borderId="1" xfId="4" applyNumberFormat="1" applyFont="1" applyFill="1" applyBorder="1" applyAlignment="1">
      <alignment vertical="top"/>
    </xf>
    <xf numFmtId="166" fontId="0" fillId="5" borderId="1" xfId="4" applyNumberFormat="1" applyFont="1" applyFill="1" applyBorder="1" applyAlignment="1">
      <alignment vertical="center"/>
    </xf>
    <xf numFmtId="166" fontId="0" fillId="5" borderId="1" xfId="4" applyNumberFormat="1" applyFont="1" applyFill="1" applyBorder="1" applyAlignment="1">
      <alignment vertical="top"/>
    </xf>
    <xf numFmtId="164" fontId="0" fillId="5" borderId="1" xfId="4" applyNumberFormat="1" applyFont="1" applyFill="1" applyBorder="1" applyAlignment="1">
      <alignment horizontal="left" vertical="top"/>
    </xf>
    <xf numFmtId="164" fontId="4" fillId="5" borderId="1" xfId="4" applyNumberFormat="1" applyFont="1" applyFill="1" applyBorder="1" applyAlignment="1">
      <alignment vertical="top"/>
    </xf>
    <xf numFmtId="164" fontId="0" fillId="5" borderId="1" xfId="4" applyNumberFormat="1" applyFont="1" applyFill="1" applyBorder="1" applyAlignment="1">
      <alignment vertical="center"/>
    </xf>
    <xf numFmtId="0" fontId="0" fillId="4" borderId="1" xfId="0" applyFill="1" applyBorder="1" applyAlignment="1">
      <alignment horizontal="center" vertical="top"/>
    </xf>
    <xf numFmtId="169" fontId="0" fillId="6" borderId="1" xfId="1" applyNumberFormat="1" applyFont="1" applyFill="1" applyBorder="1" applyAlignment="1">
      <alignment horizontal="right" vertical="top"/>
    </xf>
    <xf numFmtId="164" fontId="4" fillId="5" borderId="1" xfId="4" applyNumberFormat="1" applyFont="1" applyFill="1" applyBorder="1" applyAlignment="1">
      <alignment vertical="center"/>
    </xf>
    <xf numFmtId="164" fontId="0" fillId="12" borderId="1" xfId="4" applyNumberFormat="1" applyFont="1" applyFill="1" applyBorder="1" applyAlignment="1">
      <alignment vertical="top"/>
    </xf>
    <xf numFmtId="166" fontId="0" fillId="12" borderId="1" xfId="4" applyNumberFormat="1" applyFont="1" applyFill="1" applyBorder="1" applyAlignment="1">
      <alignment vertical="center"/>
    </xf>
    <xf numFmtId="166" fontId="0" fillId="12" borderId="1" xfId="4" applyNumberFormat="1" applyFont="1" applyFill="1" applyBorder="1" applyAlignment="1">
      <alignment vertical="top"/>
    </xf>
    <xf numFmtId="164" fontId="0" fillId="12" borderId="1" xfId="4" applyNumberFormat="1" applyFont="1" applyFill="1" applyBorder="1" applyAlignment="1">
      <alignment horizontal="left" vertical="top"/>
    </xf>
    <xf numFmtId="169" fontId="0" fillId="0" borderId="0" xfId="1" applyNumberFormat="1" applyFont="1" applyAlignment="1"/>
    <xf numFmtId="165" fontId="0" fillId="12" borderId="1" xfId="0" applyNumberFormat="1" applyFill="1" applyBorder="1" applyAlignment="1">
      <alignment horizontal="center" vertical="center"/>
    </xf>
    <xf numFmtId="165" fontId="0" fillId="12" borderId="1" xfId="0" applyNumberFormat="1" applyFill="1" applyBorder="1" applyAlignment="1">
      <alignment horizontal="center" vertical="top"/>
    </xf>
    <xf numFmtId="0" fontId="0" fillId="12" borderId="1" xfId="0" applyFill="1" applyBorder="1" applyAlignment="1">
      <alignment horizontal="center" vertical="top"/>
    </xf>
    <xf numFmtId="169" fontId="0" fillId="12" borderId="1" xfId="1" applyNumberFormat="1" applyFont="1" applyFill="1" applyBorder="1" applyAlignment="1">
      <alignment horizontal="center" vertical="top"/>
    </xf>
    <xf numFmtId="169" fontId="3" fillId="16" borderId="1" xfId="1" applyNumberFormat="1" applyFont="1" applyFill="1" applyBorder="1" applyAlignment="1">
      <alignment horizontal="center" vertical="center"/>
    </xf>
    <xf numFmtId="0" fontId="3" fillId="17" borderId="1" xfId="0" applyFont="1" applyFill="1" applyBorder="1" applyAlignment="1">
      <alignment horizontal="center" vertical="center"/>
    </xf>
    <xf numFmtId="169" fontId="3" fillId="17" borderId="1" xfId="1" applyNumberFormat="1" applyFont="1" applyFill="1" applyBorder="1" applyAlignment="1">
      <alignment horizontal="center" vertical="center"/>
    </xf>
    <xf numFmtId="164" fontId="0" fillId="4" borderId="1" xfId="2" applyFont="1" applyFill="1" applyBorder="1" applyAlignment="1">
      <alignment horizontal="center" vertical="top"/>
    </xf>
    <xf numFmtId="0" fontId="3" fillId="14" borderId="1" xfId="0" applyFont="1" applyFill="1" applyBorder="1" applyAlignment="1">
      <alignment horizontal="center" vertical="center"/>
    </xf>
    <xf numFmtId="164" fontId="0" fillId="4" borderId="1" xfId="2" applyFont="1" applyFill="1" applyBorder="1" applyAlignment="1">
      <alignment horizontal="right" vertical="top"/>
    </xf>
    <xf numFmtId="169" fontId="0" fillId="4" borderId="26" xfId="1" applyNumberFormat="1" applyFont="1" applyFill="1" applyBorder="1" applyAlignment="1">
      <alignment horizontal="center" vertical="top"/>
    </xf>
    <xf numFmtId="164" fontId="0" fillId="4" borderId="26" xfId="2" applyFont="1" applyFill="1" applyBorder="1" applyAlignment="1">
      <alignment horizontal="center" vertical="top"/>
    </xf>
    <xf numFmtId="169" fontId="3" fillId="19" borderId="1" xfId="1" applyNumberFormat="1" applyFont="1" applyFill="1" applyBorder="1" applyAlignment="1">
      <alignment horizontal="center" vertical="center"/>
    </xf>
    <xf numFmtId="164" fontId="3" fillId="19" borderId="1" xfId="2" applyFont="1" applyFill="1" applyBorder="1" applyAlignment="1">
      <alignment horizontal="center" vertical="center"/>
    </xf>
    <xf numFmtId="169" fontId="3" fillId="14" borderId="1" xfId="1" applyNumberFormat="1" applyFont="1" applyFill="1" applyBorder="1" applyAlignment="1">
      <alignment horizontal="center" vertical="center"/>
    </xf>
    <xf numFmtId="164" fontId="3" fillId="14" borderId="1" xfId="2" applyFont="1" applyFill="1" applyBorder="1" applyAlignment="1">
      <alignment horizontal="center" vertical="center"/>
    </xf>
    <xf numFmtId="169" fontId="3" fillId="15" borderId="1" xfId="1" applyNumberFormat="1" applyFont="1" applyFill="1" applyBorder="1" applyAlignment="1">
      <alignment horizontal="center" vertical="center"/>
    </xf>
    <xf numFmtId="164" fontId="0" fillId="0" borderId="0" xfId="2" applyFont="1" applyAlignment="1"/>
    <xf numFmtId="167" fontId="0" fillId="0" borderId="0" xfId="0" applyNumberFormat="1" applyAlignment="1">
      <alignment horizontal="left"/>
    </xf>
    <xf numFmtId="164" fontId="4" fillId="12" borderId="1" xfId="2" applyFont="1" applyFill="1" applyBorder="1" applyAlignment="1">
      <alignment vertical="center"/>
    </xf>
    <xf numFmtId="169" fontId="0" fillId="12" borderId="1" xfId="1" applyNumberFormat="1" applyFont="1" applyFill="1" applyBorder="1" applyAlignment="1">
      <alignment horizontal="right" vertical="top"/>
    </xf>
    <xf numFmtId="169" fontId="0" fillId="12" borderId="1" xfId="1" applyNumberFormat="1" applyFont="1" applyFill="1" applyBorder="1" applyAlignment="1">
      <alignment vertical="top"/>
    </xf>
    <xf numFmtId="164" fontId="0" fillId="12" borderId="1" xfId="2" applyFont="1" applyFill="1" applyBorder="1" applyAlignment="1">
      <alignment horizontal="center" vertical="top"/>
    </xf>
    <xf numFmtId="164" fontId="0" fillId="12" borderId="1" xfId="2" applyFont="1" applyFill="1" applyBorder="1" applyAlignment="1">
      <alignment horizontal="right" vertical="top"/>
    </xf>
    <xf numFmtId="43" fontId="0" fillId="12" borderId="1" xfId="1" applyFont="1" applyFill="1" applyBorder="1" applyAlignment="1">
      <alignment horizontal="right" vertical="top"/>
    </xf>
    <xf numFmtId="164" fontId="0" fillId="12" borderId="1" xfId="4" applyNumberFormat="1" applyFont="1" applyFill="1" applyBorder="1" applyAlignment="1">
      <alignment horizontal="center" vertical="center"/>
    </xf>
    <xf numFmtId="166" fontId="0" fillId="12" borderId="1" xfId="4" applyNumberFormat="1" applyFont="1" applyFill="1" applyBorder="1" applyAlignment="1">
      <alignment horizontal="center" vertical="center"/>
    </xf>
    <xf numFmtId="164" fontId="4" fillId="12" borderId="1" xfId="4" applyNumberFormat="1" applyFont="1" applyFill="1" applyBorder="1" applyAlignment="1">
      <alignment vertical="top"/>
    </xf>
    <xf numFmtId="44" fontId="0" fillId="12" borderId="1" xfId="4" applyFont="1" applyFill="1" applyBorder="1" applyAlignment="1">
      <alignment vertical="top"/>
    </xf>
    <xf numFmtId="9" fontId="0" fillId="12" borderId="1" xfId="3" applyFont="1" applyFill="1" applyBorder="1" applyAlignment="1">
      <alignment horizontal="left" vertical="top"/>
    </xf>
    <xf numFmtId="169" fontId="3" fillId="18" borderId="1" xfId="1" applyNumberFormat="1" applyFont="1" applyFill="1" applyBorder="1" applyAlignment="1">
      <alignment horizontal="center" vertical="center"/>
    </xf>
    <xf numFmtId="169" fontId="3" fillId="18" borderId="24" xfId="1" applyNumberFormat="1" applyFont="1" applyFill="1" applyBorder="1" applyAlignment="1">
      <alignment horizontal="center" vertical="center"/>
    </xf>
    <xf numFmtId="0" fontId="20" fillId="16" borderId="25" xfId="0" applyFont="1" applyFill="1" applyBorder="1"/>
    <xf numFmtId="0" fontId="20" fillId="16" borderId="22" xfId="0" applyFont="1" applyFill="1" applyBorder="1"/>
    <xf numFmtId="165" fontId="0" fillId="4" borderId="0" xfId="0" applyNumberFormat="1" applyFill="1" applyAlignment="1">
      <alignment horizontal="left" vertical="top"/>
    </xf>
    <xf numFmtId="0" fontId="0" fillId="21" borderId="1" xfId="0" applyFill="1" applyBorder="1" applyAlignment="1">
      <alignment horizontal="center" vertical="center"/>
    </xf>
    <xf numFmtId="0" fontId="16" fillId="0" borderId="15" xfId="0" applyFont="1" applyBorder="1" applyAlignment="1">
      <alignment horizontal="center"/>
    </xf>
    <xf numFmtId="0" fontId="16" fillId="0" borderId="3" xfId="0" applyFont="1" applyBorder="1" applyAlignment="1">
      <alignment horizontal="center"/>
    </xf>
    <xf numFmtId="164" fontId="16" fillId="0" borderId="4" xfId="0" applyNumberFormat="1" applyFont="1" applyBorder="1" applyAlignment="1">
      <alignment horizontal="center"/>
    </xf>
    <xf numFmtId="9" fontId="16" fillId="0" borderId="5" xfId="0" applyNumberFormat="1" applyFont="1" applyBorder="1" applyAlignment="1">
      <alignment horizontal="center"/>
    </xf>
    <xf numFmtId="0" fontId="16" fillId="0" borderId="16" xfId="0" applyFont="1" applyBorder="1" applyAlignment="1">
      <alignment horizontal="center"/>
    </xf>
    <xf numFmtId="0" fontId="16" fillId="0" borderId="6" xfId="0" applyFont="1" applyBorder="1" applyAlignment="1">
      <alignment horizontal="center"/>
    </xf>
    <xf numFmtId="164" fontId="16" fillId="0" borderId="0" xfId="0" applyNumberFormat="1" applyFont="1" applyAlignment="1">
      <alignment horizontal="center"/>
    </xf>
    <xf numFmtId="9" fontId="16" fillId="0" borderId="7" xfId="0" applyNumberFormat="1" applyFont="1" applyBorder="1" applyAlignment="1">
      <alignment horizontal="center"/>
    </xf>
    <xf numFmtId="0" fontId="16" fillId="0" borderId="17" xfId="0" applyFont="1" applyBorder="1" applyAlignment="1">
      <alignment horizontal="center"/>
    </xf>
    <xf numFmtId="0" fontId="16" fillId="10" borderId="12" xfId="0" applyFont="1" applyFill="1" applyBorder="1" applyAlignment="1">
      <alignment horizontal="center"/>
    </xf>
    <xf numFmtId="0" fontId="6" fillId="10" borderId="8" xfId="0" applyFont="1" applyFill="1" applyBorder="1" applyAlignment="1">
      <alignment horizontal="center"/>
    </xf>
    <xf numFmtId="0" fontId="20" fillId="19" borderId="22" xfId="0" applyFont="1" applyFill="1" applyBorder="1" applyAlignment="1">
      <alignment horizontal="center"/>
    </xf>
    <xf numFmtId="0" fontId="20" fillId="16" borderId="22" xfId="0" applyFont="1" applyFill="1" applyBorder="1" applyAlignment="1">
      <alignment horizontal="center"/>
    </xf>
    <xf numFmtId="0" fontId="3" fillId="14" borderId="22" xfId="0" applyFont="1" applyFill="1" applyBorder="1" applyAlignment="1">
      <alignment horizontal="center"/>
    </xf>
    <xf numFmtId="0" fontId="20" fillId="17" borderId="22" xfId="0" applyFont="1" applyFill="1" applyBorder="1" applyAlignment="1">
      <alignment horizontal="center"/>
    </xf>
    <xf numFmtId="0" fontId="20" fillId="20" borderId="22" xfId="0" applyFont="1" applyFill="1" applyBorder="1" applyAlignment="1">
      <alignment horizontal="center"/>
    </xf>
    <xf numFmtId="0" fontId="5" fillId="0" borderId="0" xfId="0" applyFont="1" applyAlignment="1">
      <alignment horizontal="left"/>
    </xf>
    <xf numFmtId="0" fontId="8" fillId="0" borderId="0" xfId="0" applyFont="1" applyAlignment="1">
      <alignment horizontal="left"/>
    </xf>
  </cellXfs>
  <cellStyles count="5">
    <cellStyle name="Comma" xfId="1" builtinId="3"/>
    <cellStyle name="Currency" xfId="2" builtinId="4"/>
    <cellStyle name="Currency 2" xfId="4" xr:uid="{4C49ED8E-37DF-43A7-A97E-B4D78C7C4C48}"/>
    <cellStyle name="Normal" xfId="0" builtinId="0"/>
    <cellStyle name="Percent" xfId="3" builtinId="5"/>
  </cellStyles>
  <dxfs count="161">
    <dxf>
      <fill>
        <patternFill>
          <bgColor rgb="FFFE0000"/>
        </patternFill>
      </fill>
    </dxf>
    <dxf>
      <fill>
        <patternFill>
          <bgColor rgb="FFFE0000"/>
        </patternFill>
      </fill>
    </dxf>
    <dxf>
      <fill>
        <patternFill>
          <bgColor rgb="FFFE0000"/>
        </patternFill>
      </fill>
    </dxf>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patternType="solid">
          <bgColor rgb="FF8CCB00"/>
        </patternFill>
      </fill>
    </dxf>
    <dxf>
      <fill>
        <patternFill patternType="solid">
          <bgColor rgb="FF8CCB00"/>
        </patternFill>
      </fill>
    </dxf>
    <dxf>
      <font>
        <sz val="18"/>
      </font>
    </dxf>
    <dxf>
      <font>
        <sz val="18"/>
      </font>
    </dxf>
    <dxf>
      <font>
        <sz val="18"/>
      </font>
    </dxf>
    <dxf>
      <font>
        <sz val="18"/>
      </font>
    </dxf>
    <dxf>
      <font>
        <sz val="18"/>
      </font>
    </dxf>
    <dxf>
      <fill>
        <patternFill patternType="none">
          <bgColor auto="1"/>
        </patternFill>
      </fill>
    </dxf>
    <dxf>
      <fill>
        <patternFill patternType="none">
          <bgColor auto="1"/>
        </patternFill>
      </fill>
    </dxf>
    <dxf>
      <alignment horizontal="center"/>
    </dxf>
    <dxf>
      <alignment horizontal="center"/>
    </dxf>
    <dxf>
      <fill>
        <patternFill>
          <bgColor rgb="FF0F4D1F"/>
        </patternFill>
      </fill>
    </dxf>
    <dxf>
      <fill>
        <patternFill>
          <bgColor rgb="FF0F4D1F"/>
        </patternFill>
      </fill>
    </dxf>
    <dxf>
      <numFmt numFmtId="168" formatCode="_-&quot;$&quot;* #,##0_-;\-&quot;$&quot;* #,##0_-;_-&quot;$&quot;* &quot;-&quot;??_-;_-@_-"/>
    </dxf>
    <dxf>
      <numFmt numFmtId="168" formatCode="_-&quot;$&quot;* #,##0_-;\-&quot;$&quot;* #,##0_-;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64" formatCode="_-&quot;$&quot;* #,##0.00_-;\-&quot;$&quot;* #,##0.00_-;_-&quot;$&quot;* &quot;-&quot;??_-;_-@_-"/>
    </dxf>
    <dxf>
      <numFmt numFmtId="35" formatCode="_(* #,##0.00_);_(* \(#,##0.00\);_(* &quot;-&quot;??_);_(@_)"/>
    </dxf>
    <dxf>
      <numFmt numFmtId="164" formatCode="_-&quot;$&quot;* #,##0.00_-;\-&quot;$&quot;* #,##0.00_-;_-&quot;$&quot;* &quot;-&quot;??_-;_-@_-"/>
    </dxf>
    <dxf>
      <numFmt numFmtId="13" formatCode="0%"/>
    </dxf>
    <dxf>
      <numFmt numFmtId="13" formatCode="0%"/>
    </dxf>
    <dxf>
      <numFmt numFmtId="164" formatCode="_-&quot;$&quot;* #,##0.00_-;\-&quot;$&quot;* #,##0.00_-;_-&quot;$&quot;* &quot;-&quot;??_-;_-@_-"/>
    </dxf>
    <dxf>
      <numFmt numFmtId="13" formatCode="0%"/>
    </dxf>
    <dxf>
      <numFmt numFmtId="164" formatCode="_-&quot;$&quot;* #,##0.00_-;\-&quot;$&quot;* #,##0.00_-;_-&quot;$&quot;* &quot;-&quot;??_-;_-@_-"/>
    </dxf>
    <dxf>
      <font>
        <sz val="24"/>
      </font>
    </dxf>
    <dxf>
      <font>
        <sz val="24"/>
      </font>
    </dxf>
    <dxf>
      <font>
        <sz val="24"/>
      </font>
    </dxf>
    <dxf>
      <font>
        <sz val="24"/>
      </font>
    </dxf>
    <dxf>
      <font>
        <sz val="24"/>
      </font>
    </dxf>
    <dxf>
      <font>
        <sz val="24"/>
      </font>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alignment horizontal="general"/>
    </dxf>
    <dxf>
      <alignment horizontal="general"/>
    </dxf>
    <dxf>
      <alignment horizontal="general"/>
    </dxf>
    <dxf>
      <alignment horizontal="general"/>
    </dxf>
    <dxf>
      <alignment horizontal="general"/>
    </dxf>
    <dxf>
      <alignment horizontal="general"/>
    </dxf>
    <dxf>
      <font>
        <sz val="20"/>
      </font>
    </dxf>
    <dxf>
      <font>
        <sz val="20"/>
      </font>
    </dxf>
    <dxf>
      <font>
        <sz val="20"/>
      </font>
    </dxf>
    <dxf>
      <font>
        <sz val="20"/>
      </font>
    </dxf>
    <dxf>
      <font>
        <sz val="20"/>
      </font>
    </dxf>
    <dxf>
      <font>
        <sz val="20"/>
      </font>
    </dxf>
    <dxf>
      <fill>
        <patternFill patternType="solid">
          <bgColor theme="9" tint="0.79998168889431442"/>
        </patternFill>
      </fill>
    </dxf>
    <dxf>
      <fill>
        <patternFill patternType="solid">
          <bgColor theme="9" tint="0.79998168889431442"/>
        </patternFill>
      </fill>
    </dxf>
    <dxf>
      <fill>
        <patternFill patternType="solid">
          <bgColor rgb="FF2F7D32"/>
        </patternFill>
      </fill>
    </dxf>
    <dxf>
      <fill>
        <patternFill patternType="solid">
          <bgColor rgb="FF2F7D32"/>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b/>
        <sz val="18"/>
      </font>
      <fill>
        <patternFill patternType="solid">
          <fgColor indexed="64"/>
          <bgColor theme="9" tint="0.79998168889431442"/>
        </patternFill>
      </fill>
      <alignment horizontal="center"/>
    </dxf>
    <dxf>
      <alignment horizontal="general" vertical="bottom" textRotation="0" wrapText="0" indent="0" justifyLastLine="0" shrinkToFit="0" readingOrder="0"/>
    </dxf>
    <dxf>
      <font>
        <b/>
        <sz val="18"/>
        <color theme="0"/>
      </font>
      <fill>
        <patternFill patternType="solid">
          <fgColor indexed="64"/>
          <bgColor rgb="FF0F4D1F"/>
        </patternFill>
      </fill>
      <alignment horizontal="center"/>
    </dxf>
    <dxf>
      <numFmt numFmtId="13" formatCode="0%"/>
    </dxf>
    <dxf>
      <numFmt numFmtId="164" formatCode="_-&quot;$&quot;* #,##0.00_-;\-&quot;$&quot;* #,##0.00_-;_-&quot;$&quot;* &quot;-&quot;??_-;_-@_-"/>
    </dxf>
    <dxf>
      <alignment horizontal="center"/>
    </dxf>
    <dxf>
      <alignment horizontal="center"/>
    </dxf>
    <dxf>
      <alignment horizontal="center"/>
    </dxf>
    <dxf>
      <alignment horizontal="center"/>
    </dxf>
    <dxf>
      <alignment horizontal="center"/>
    </dxf>
    <dxf>
      <alignment horizontal="center"/>
    </dxf>
    <dxf>
      <fill>
        <patternFill patternType="solid">
          <bgColor theme="9" tint="0.79998168889431442"/>
        </patternFill>
      </fill>
    </dxf>
    <dxf>
      <fill>
        <patternFill patternType="solid">
          <bgColor theme="9" tint="0.79998168889431442"/>
        </patternFill>
      </fill>
    </dxf>
    <dxf>
      <font>
        <color theme="0"/>
      </font>
    </dxf>
    <dxf>
      <font>
        <color theme="0"/>
      </font>
    </dxf>
    <dxf>
      <fill>
        <patternFill patternType="solid">
          <bgColor rgb="FF2F7D32"/>
        </patternFill>
      </fill>
    </dxf>
    <dxf>
      <fill>
        <patternFill patternType="solid">
          <bgColor rgb="FF2F7D32"/>
        </patternFill>
      </fill>
    </dxf>
    <dxf>
      <numFmt numFmtId="13" formatCode="0%"/>
    </dxf>
    <dxf>
      <numFmt numFmtId="164" formatCode="_-&quot;$&quot;* #,##0.00_-;\-&quot;$&quot;* #,##0.00_-;_-&quot;$&quot;* &quot;-&quot;??_-;_-@_-"/>
    </dxf>
    <dxf>
      <alignment textRotation="0" wrapText="0" indent="0" justifyLastLine="0" shrinkToFit="0" readingOrder="0"/>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theme="6" tint="0.79998168889431442"/>
          <bgColor theme="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_);\(0.00\)"/>
      <fill>
        <patternFill patternType="solid">
          <fgColor theme="6" tint="0.79998168889431442"/>
          <bgColor theme="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0_);\(0.00\)"/>
      <fill>
        <patternFill patternType="solid">
          <fgColor theme="6" tint="0.79998168889431442"/>
          <bgColor theme="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theme="6" tint="0.79998168889431442"/>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6" tint="0.79998168889431442"/>
          <bgColor them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yy;@"/>
      <fill>
        <patternFill patternType="solid">
          <fgColor theme="6" tint="0.79998168889431442"/>
          <bgColor theme="2"/>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alignment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13" formatCode="0%"/>
    </dxf>
    <dxf>
      <numFmt numFmtId="13" formatCode="0%"/>
    </dxf>
    <dxf>
      <numFmt numFmtId="164" formatCode="_-&quot;$&quot;* #,##0.00_-;\-&quot;$&quot;* #,##0.00_-;_-&quot;$&quot;* &quot;-&quot;??_-;_-@_-"/>
    </dxf>
    <dxf>
      <font>
        <sz val="22"/>
        <color rgb="FF0F4D1F"/>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26"/>
      </font>
    </dxf>
    <dxf>
      <font>
        <name val="Calibri"/>
        <family val="2"/>
        <scheme val="minor"/>
      </font>
    </dxf>
  </dxfs>
  <tableStyles count="3" defaultTableStyle="TableStyleMedium2" defaultPivotStyle="PivotStyleLight16">
    <tableStyle name="PivotTable Style 1" table="0" count="0" xr9:uid="{9B44DE78-8683-49B3-B18D-B89B662326C8}"/>
    <tableStyle name="Slicer Style 1" pivot="0" table="0" count="5" xr9:uid="{C9488B24-036C-4CD1-A324-131CD551646C}">
      <tableStyleElement type="wholeTable" dxfId="160"/>
      <tableStyleElement type="headerRow" dxfId="159"/>
    </tableStyle>
    <tableStyle name="Timeline Style 1" pivot="0" table="0" count="8" xr9:uid="{A42EC110-4B44-4ADE-9D24-8E75AECB39D8}">
      <tableStyleElement type="wholeTable" dxfId="158"/>
      <tableStyleElement type="headerRow" dxfId="157"/>
    </tableStyle>
  </tableStyles>
  <colors>
    <mruColors>
      <color rgb="FF8CCB00"/>
      <color rgb="FFFE0000"/>
      <color rgb="FFFF0D0D"/>
      <color rgb="FFDE0000"/>
      <color rgb="FFF60000"/>
      <color rgb="FFE20000"/>
      <color rgb="FFD71D95"/>
      <color rgb="FFF2D200"/>
      <color rgb="FF0F4D1F"/>
      <color rgb="FF2F7D32"/>
    </mruColors>
  </colors>
  <extLst>
    <ext xmlns:x14="http://schemas.microsoft.com/office/spreadsheetml/2009/9/main" uri="{46F421CA-312F-682f-3DD2-61675219B42D}">
      <x14:dxfs count="3">
        <dxf>
          <font>
            <sz val="18"/>
            <color theme="0"/>
          </font>
        </dxf>
        <dxf>
          <font>
            <sz val="18"/>
            <color theme="0"/>
          </font>
          <fill>
            <patternFill>
              <bgColor rgb="FF0F4D1F"/>
            </patternFill>
          </fill>
        </dxf>
        <dxf>
          <font>
            <sz val="18"/>
            <color theme="0"/>
          </font>
          <fill>
            <patternFill>
              <fgColor theme="0"/>
              <bgColor rgb="FF0F4D1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0F4D1F"/>
            </patternFill>
          </fill>
        </dxf>
        <dxf>
          <fill>
            <patternFill patternType="solid">
              <fgColor theme="0"/>
              <bgColor rgb="FF0F4D1F"/>
            </patternFill>
          </fill>
        </dxf>
        <dxf>
          <font>
            <sz val="18"/>
            <color theme="1" tint="0.499984740745262"/>
            <name val="Calibri"/>
            <family val="2"/>
            <scheme val="minor"/>
          </font>
        </dxf>
        <dxf>
          <font>
            <sz val="18"/>
            <color rgb="FF0F4D1F"/>
            <name val="Calibri"/>
            <family val="2"/>
            <scheme val="minor"/>
          </font>
        </dxf>
        <dxf>
          <font>
            <sz val="18"/>
            <color rgb="FF0F4D1F"/>
            <name val="Calibri"/>
            <family val="2"/>
            <scheme val="minor"/>
          </font>
        </dxf>
        <dxf>
          <font>
            <sz val="22"/>
            <color rgb="FF0F4D1F"/>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5.xml"/><Relationship Id="rId39" Type="http://schemas.openxmlformats.org/officeDocument/2006/relationships/customXml" Target="../customXml/item2.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11/relationships/timelineCache" Target="timelineCaches/timelineCache1.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11/relationships/timelineCache" Target="timelineCaches/timelineCache2.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4.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8.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openxmlformats.org/officeDocument/2006/relationships/pivotCacheDefinition" Target="pivotCache/pivotCacheDefinition10.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9055309692129"/>
          <c:y val="0.18519606690954676"/>
          <c:w val="0.5932124008692462"/>
          <c:h val="0.64495217758797097"/>
        </c:manualLayout>
      </c:layout>
      <c:lineChart>
        <c:grouping val="standard"/>
        <c:varyColors val="0"/>
        <c:ser>
          <c:idx val="0"/>
          <c:order val="0"/>
          <c:tx>
            <c:v>Sum of Claim Value USD</c:v>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smooth val="0"/>
          <c:extLst>
            <c:ext xmlns:c16="http://schemas.microsoft.com/office/drawing/2014/chart" uri="{C3380CC4-5D6E-409C-BE32-E72D297353CC}">
              <c16:uniqueId val="{00000000-3001-4346-8819-4AD8F0742197}"/>
            </c:ext>
          </c:extLst>
        </c:ser>
        <c:ser>
          <c:idx val="1"/>
          <c:order val="1"/>
          <c:tx>
            <c:v>Sum of Compensation Value USD</c:v>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smooth val="0"/>
          <c:extLst>
            <c:ext xmlns:c16="http://schemas.microsoft.com/office/drawing/2014/chart" uri="{C3380CC4-5D6E-409C-BE32-E72D297353CC}">
              <c16:uniqueId val="{00000001-3001-4346-8819-4AD8F0742197}"/>
            </c:ext>
          </c:extLst>
        </c:ser>
        <c:dLbls>
          <c:showLegendKey val="0"/>
          <c:showVal val="0"/>
          <c:showCatName val="0"/>
          <c:showSerName val="0"/>
          <c:showPercent val="0"/>
          <c:showBubbleSize val="0"/>
        </c:dLbls>
        <c:marker val="1"/>
        <c:smooth val="0"/>
        <c:axId val="838947392"/>
        <c:axId val="838934912"/>
      </c:lineChart>
      <c:catAx>
        <c:axId val="838947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8934912"/>
        <c:crosses val="autoZero"/>
        <c:auto val="1"/>
        <c:lblAlgn val="ctr"/>
        <c:lblOffset val="100"/>
        <c:noMultiLvlLbl val="0"/>
      </c:catAx>
      <c:valAx>
        <c:axId val="838934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89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9409324752835"/>
          <c:y val="0.15635215453194651"/>
          <c:w val="0.73961988415137714"/>
          <c:h val="0.77604655380187437"/>
        </c:manualLayout>
      </c:layout>
      <c:barChart>
        <c:barDir val="col"/>
        <c:grouping val="clustered"/>
        <c:varyColors val="0"/>
        <c:ser>
          <c:idx val="0"/>
          <c:order val="0"/>
          <c:tx>
            <c:v>Claim Value USD </c:v>
          </c:tx>
          <c:spPr>
            <a:solidFill>
              <a:srgbClr val="8CCB00"/>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extLst>
            <c:ext xmlns:c16="http://schemas.microsoft.com/office/drawing/2014/chart" uri="{C3380CC4-5D6E-409C-BE32-E72D297353CC}">
              <c16:uniqueId val="{00000000-BAB2-4292-AFF0-6F6C213BC5EC}"/>
            </c:ext>
          </c:extLst>
        </c:ser>
        <c:ser>
          <c:idx val="1"/>
          <c:order val="1"/>
          <c:tx>
            <c:v>Compensation Value USD </c:v>
          </c:tx>
          <c:spPr>
            <a:solidFill>
              <a:srgbClr val="2F7D32"/>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extLst>
            <c:ext xmlns:c16="http://schemas.microsoft.com/office/drawing/2014/chart" uri="{C3380CC4-5D6E-409C-BE32-E72D297353CC}">
              <c16:uniqueId val="{00000001-BAB2-4292-AFF0-6F6C213BC5EC}"/>
            </c:ext>
          </c:extLst>
        </c:ser>
        <c:dLbls>
          <c:showLegendKey val="0"/>
          <c:showVal val="0"/>
          <c:showCatName val="0"/>
          <c:showSerName val="0"/>
          <c:showPercent val="0"/>
          <c:showBubbleSize val="0"/>
        </c:dLbls>
        <c:gapWidth val="219"/>
        <c:overlap val="-27"/>
        <c:axId val="803789968"/>
        <c:axId val="803791408"/>
      </c:barChart>
      <c:lineChart>
        <c:grouping val="standard"/>
        <c:varyColors val="0"/>
        <c:ser>
          <c:idx val="2"/>
          <c:order val="2"/>
          <c:tx>
            <c:v> % Compensation </c:v>
          </c:tx>
          <c:spPr>
            <a:ln w="28575" cap="rnd">
              <a:solidFill>
                <a:srgbClr val="F2D200"/>
              </a:solidFill>
              <a:round/>
            </a:ln>
            <a:effectLst/>
          </c:spPr>
          <c:marker>
            <c:symbol val="none"/>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0.5369660704581749</c:v>
              </c:pt>
              <c:pt idx="1">
                <c:v>0.94891292706436758</c:v>
              </c:pt>
              <c:pt idx="2">
                <c:v>0.87395336885039676</c:v>
              </c:pt>
              <c:pt idx="3">
                <c:v>0.45625256439041584</c:v>
              </c:pt>
              <c:pt idx="4">
                <c:v>0.14775914908907659</c:v>
              </c:pt>
              <c:pt idx="5">
                <c:v>0.86813374403675658</c:v>
              </c:pt>
              <c:pt idx="6">
                <c:v>0.58485653526837833</c:v>
              </c:pt>
              <c:pt idx="7">
                <c:v>0</c:v>
              </c:pt>
            </c:numLit>
          </c:val>
          <c:smooth val="0"/>
          <c:extLst>
            <c:ext xmlns:c16="http://schemas.microsoft.com/office/drawing/2014/chart" uri="{C3380CC4-5D6E-409C-BE32-E72D297353CC}">
              <c16:uniqueId val="{00000002-BAB2-4292-AFF0-6F6C213BC5EC}"/>
            </c:ext>
          </c:extLst>
        </c:ser>
        <c:dLbls>
          <c:showLegendKey val="0"/>
          <c:showVal val="0"/>
          <c:showCatName val="0"/>
          <c:showSerName val="0"/>
          <c:showPercent val="0"/>
          <c:showBubbleSize val="0"/>
        </c:dLbls>
        <c:marker val="1"/>
        <c:smooth val="0"/>
        <c:axId val="286701920"/>
        <c:axId val="286705760"/>
      </c:lineChart>
      <c:catAx>
        <c:axId val="8037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1408"/>
        <c:crosses val="autoZero"/>
        <c:auto val="1"/>
        <c:lblAlgn val="ctr"/>
        <c:lblOffset val="100"/>
        <c:noMultiLvlLbl val="0"/>
      </c:catAx>
      <c:valAx>
        <c:axId val="8037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9968"/>
        <c:crosses val="autoZero"/>
        <c:crossBetween val="between"/>
      </c:valAx>
      <c:valAx>
        <c:axId val="286705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01920"/>
        <c:crosses val="max"/>
        <c:crossBetween val="between"/>
      </c:valAx>
      <c:catAx>
        <c:axId val="286701920"/>
        <c:scaling>
          <c:orientation val="minMax"/>
        </c:scaling>
        <c:delete val="1"/>
        <c:axPos val="b"/>
        <c:numFmt formatCode="General" sourceLinked="1"/>
        <c:majorTickMark val="out"/>
        <c:minorTickMark val="none"/>
        <c:tickLblPos val="nextTo"/>
        <c:crossAx val="286705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Compensation Type USD </a:t>
            </a:r>
          </a:p>
        </c:rich>
      </c:tx>
      <c:layout>
        <c:manualLayout>
          <c:xMode val="edge"/>
          <c:yMode val="edge"/>
          <c:x val="0.33677494199535968"/>
          <c:y val="3.0927835051546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CCB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F4D1F"/>
          </a:solidFill>
          <a:ln w="19050">
            <a:solidFill>
              <a:schemeClr val="lt1"/>
            </a:solidFill>
          </a:ln>
          <a:effectLst/>
        </c:spPr>
      </c:pivotFmt>
      <c:pivotFmt>
        <c:idx val="14"/>
        <c:spPr>
          <a:solidFill>
            <a:srgbClr val="8CCB00"/>
          </a:solidFill>
          <a:ln w="19050">
            <a:solidFill>
              <a:schemeClr val="lt1"/>
            </a:solidFill>
          </a:ln>
          <a:effectLst/>
        </c:spPr>
        <c:dLbl>
          <c:idx val="0"/>
          <c:layout>
            <c:manualLayout>
              <c:x val="9.7906614412924406E-2"/>
              <c:y val="6.416685717194223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8CCB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rgbClr val="2F7D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2"/>
        <c:spPr>
          <a:solidFill>
            <a:srgbClr val="8CCB00"/>
          </a:solidFill>
          <a:ln w="19050">
            <a:solidFill>
              <a:schemeClr val="lt1"/>
            </a:solidFill>
          </a:ln>
          <a:effectLst/>
        </c:spPr>
      </c:pivotFmt>
      <c:pivotFmt>
        <c:idx val="23"/>
        <c:spPr>
          <a:solidFill>
            <a:schemeClr val="bg1">
              <a:lumMod val="85000"/>
            </a:schemeClr>
          </a:solidFill>
          <a:ln w="19050">
            <a:solidFill>
              <a:schemeClr val="lt1"/>
            </a:solidFill>
          </a:ln>
          <a:effectLst/>
        </c:spPr>
      </c:pivotFmt>
      <c:pivotFmt>
        <c:idx val="24"/>
        <c:spPr>
          <a:solidFill>
            <a:schemeClr val="accent2"/>
          </a:solidFill>
          <a:ln w="19050">
            <a:solidFill>
              <a:schemeClr val="lt1"/>
            </a:solidFill>
          </a:ln>
          <a:effectLst/>
        </c:spPr>
      </c:pivotFmt>
    </c:pivotFmts>
    <c:plotArea>
      <c:layout/>
      <c:doughnutChart>
        <c:varyColors val="1"/>
        <c:ser>
          <c:idx val="0"/>
          <c:order val="0"/>
          <c:tx>
            <c:v>Total</c:v>
          </c:tx>
          <c:spPr>
            <a:solidFill>
              <a:srgbClr val="2F7D32"/>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DFC8-477E-BB4E-06CBEB2BFAB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FC8-477E-BB4E-06CBEB2BFABF}"/>
              </c:ext>
            </c:extLst>
          </c:dPt>
          <c:dPt>
            <c:idx val="2"/>
            <c:bubble3D val="0"/>
            <c:spPr>
              <a:solidFill>
                <a:srgbClr val="8CCB00"/>
              </a:solidFill>
              <a:ln w="19050">
                <a:solidFill>
                  <a:schemeClr val="lt1"/>
                </a:solidFill>
              </a:ln>
              <a:effectLst/>
            </c:spPr>
            <c:extLst>
              <c:ext xmlns:c16="http://schemas.microsoft.com/office/drawing/2014/chart" uri="{C3380CC4-5D6E-409C-BE32-E72D297353CC}">
                <c16:uniqueId val="{00000005-DFC8-477E-BB4E-06CBEB2BFAB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FC8-477E-BB4E-06CBEB2BFAB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Insurance compensation</c:v>
              </c:pt>
              <c:pt idx="1">
                <c:v>No cargo damage</c:v>
              </c:pt>
              <c:pt idx="2">
                <c:v>Transportation compensation</c:v>
              </c:pt>
              <c:pt idx="3">
                <c:v>Police Reclaimed Goods</c:v>
              </c:pt>
            </c:strLit>
          </c:cat>
          <c:val>
            <c:numLit>
              <c:formatCode>General</c:formatCode>
              <c:ptCount val="4"/>
              <c:pt idx="0">
                <c:v>770866.39174876083</c:v>
              </c:pt>
              <c:pt idx="1">
                <c:v>0</c:v>
              </c:pt>
              <c:pt idx="2">
                <c:v>181305.09673853562</c:v>
              </c:pt>
              <c:pt idx="3">
                <c:v>784</c:v>
              </c:pt>
            </c:numLit>
          </c:val>
          <c:extLst>
            <c:ext xmlns:c16="http://schemas.microsoft.com/office/drawing/2014/chart" uri="{C3380CC4-5D6E-409C-BE32-E72D297353CC}">
              <c16:uniqueId val="{00000008-DFC8-477E-BB4E-06CBEB2BFA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833640864497499"/>
          <c:y val="0.31694942771328843"/>
          <c:w val="0.33774247766592985"/>
          <c:h val="0.4935579186622290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Sheet-Need!PivotTable5</c:name>
    <c:fmtId val="13"/>
  </c:pivotSource>
  <c:chart>
    <c:title>
      <c:tx>
        <c:rich>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r>
              <a:rPr lang="en-US" sz="2000" b="1">
                <a:solidFill>
                  <a:schemeClr val="tx1"/>
                </a:solidFill>
              </a:rPr>
              <a:t>Compensation Type USD </a:t>
            </a:r>
          </a:p>
        </c:rich>
      </c:tx>
      <c:layout>
        <c:manualLayout>
          <c:xMode val="edge"/>
          <c:yMode val="edge"/>
          <c:x val="0.36406884104835968"/>
          <c:y val="3.3112582781456956E-2"/>
        </c:manualLayout>
      </c:layout>
      <c:overlay val="0"/>
      <c:spPr>
        <a:noFill/>
        <a:ln>
          <a:noFill/>
        </a:ln>
        <a:effectLst/>
      </c:spPr>
      <c:txPr>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8"/>
        <c:spPr>
          <a:solidFill>
            <a:srgbClr val="2F7D32"/>
          </a:solidFill>
          <a:ln w="19050">
            <a:solidFill>
              <a:schemeClr val="lt1"/>
            </a:solidFill>
          </a:ln>
          <a:effectLst/>
        </c:spPr>
        <c:dLbl>
          <c:idx val="0"/>
          <c:layout>
            <c:manualLayout>
              <c:x val="3.4912718204488734E-2"/>
              <c:y val="-8.278145695364239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75000"/>
            </a:schemeClr>
          </a:solidFill>
          <a:ln w="19050">
            <a:solidFill>
              <a:schemeClr val="lt1"/>
            </a:solidFill>
          </a:ln>
          <a:effectLst/>
        </c:spPr>
        <c:dLbl>
          <c:idx val="0"/>
          <c:layout>
            <c:manualLayout>
              <c:x val="-7.7104482887270037E-2"/>
              <c:y val="0.1905970694060592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0"/>
        <c:spPr>
          <a:solidFill>
            <a:srgbClr val="F2D200"/>
          </a:solidFill>
          <a:ln w="19050">
            <a:solidFill>
              <a:schemeClr val="lt1"/>
            </a:solidFill>
          </a:ln>
          <a:effectLst/>
        </c:spPr>
      </c:pivotFmt>
      <c:pivotFmt>
        <c:idx val="11"/>
        <c:spPr>
          <a:solidFill>
            <a:srgbClr val="8CCB00"/>
          </a:solidFill>
          <a:ln w="19050">
            <a:solidFill>
              <a:schemeClr val="lt1"/>
            </a:solidFill>
          </a:ln>
          <a:effectLst/>
        </c:spPr>
      </c:pivotFmt>
      <c:pivotFmt>
        <c:idx val="12"/>
        <c:spPr>
          <a:solidFill>
            <a:srgbClr val="92D050"/>
          </a:solidFill>
          <a:ln w="19050">
            <a:solidFill>
              <a:schemeClr val="lt1"/>
            </a:solidFill>
          </a:ln>
          <a:effectLst/>
        </c:spPr>
        <c:dLbl>
          <c:idx val="0"/>
          <c:layout>
            <c:manualLayout>
              <c:x val="0.10357855361596011"/>
              <c:y val="0.2076698649423788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3"/>
        <c:spPr>
          <a:solidFill>
            <a:srgbClr val="92D050"/>
          </a:solidFill>
          <a:ln w="19050">
            <a:solidFill>
              <a:schemeClr val="lt1"/>
            </a:solidFill>
          </a:ln>
          <a:effectLst/>
        </c:spPr>
        <c:dLbl>
          <c:idx val="0"/>
          <c:layout>
            <c:manualLayout>
              <c:x val="-7.0000000000000048E-2"/>
              <c:y val="0.1347517730496453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4"/>
        <c:spPr>
          <a:solidFill>
            <a:srgbClr val="92D050"/>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92D050"/>
          </a:solidFill>
          <a:ln w="19050">
            <a:solidFill>
              <a:schemeClr val="lt1"/>
            </a:solidFill>
          </a:ln>
          <a:effectLst/>
        </c:spPr>
      </c:pivotFmt>
      <c:pivotFmt>
        <c:idx val="17"/>
        <c:spPr>
          <a:solidFill>
            <a:srgbClr val="92D050"/>
          </a:solidFill>
          <a:ln w="19050">
            <a:solidFill>
              <a:schemeClr val="lt1"/>
            </a:solidFill>
          </a:ln>
          <a:effectLst/>
        </c:spPr>
        <c:dLbl>
          <c:idx val="0"/>
          <c:layout>
            <c:manualLayout>
              <c:x val="-6.1097256857855387E-2"/>
              <c:y val="8.278145695364239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8"/>
        <c:spPr>
          <a:solidFill>
            <a:srgbClr val="92D050"/>
          </a:solidFill>
          <a:ln w="19050">
            <a:solidFill>
              <a:schemeClr val="lt1"/>
            </a:solidFill>
          </a:ln>
          <a:effectLst/>
        </c:spPr>
        <c:dLbl>
          <c:idx val="0"/>
          <c:layout>
            <c:manualLayout>
              <c:x val="8.6034912718204487E-2"/>
              <c:y val="6.953642384105954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9"/>
        <c:spPr>
          <a:solidFill>
            <a:srgbClr val="92D050"/>
          </a:solidFill>
          <a:ln w="19050">
            <a:solidFill>
              <a:schemeClr val="lt1"/>
            </a:solidFill>
          </a:ln>
          <a:effectLst/>
        </c:spPr>
        <c:dLbl>
          <c:idx val="0"/>
          <c:layout>
            <c:manualLayout>
              <c:x val="-3.7406483790523665E-2"/>
              <c:y val="0.2582781456953642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0"/>
        <c:spPr>
          <a:solidFill>
            <a:srgbClr val="92D050"/>
          </a:solidFill>
          <a:ln w="19050">
            <a:solidFill>
              <a:schemeClr val="lt1"/>
            </a:solidFill>
          </a:ln>
          <a:effectLst/>
        </c:spPr>
        <c:dLbl>
          <c:idx val="0"/>
          <c:layout>
            <c:manualLayout>
              <c:x val="3.3665835411471279E-2"/>
              <c:y val="-1.9867549668874204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'Working Sheet-Need'!$B$7</c:f>
              <c:strCache>
                <c:ptCount val="1"/>
                <c:pt idx="0">
                  <c:v>Total</c:v>
                </c:pt>
              </c:strCache>
            </c:strRef>
          </c:tx>
          <c:spPr>
            <a:solidFill>
              <a:srgbClr val="92D050"/>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25FD-4834-BD12-68665F9D09C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5FD-4834-BD12-68665F9D09C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25FD-4834-BD12-68665F9D09C1}"/>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25FD-4834-BD12-68665F9D09C1}"/>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A40-41E3-A576-D24261E0D7A2}"/>
              </c:ext>
            </c:extLst>
          </c:dPt>
          <c:dPt>
            <c:idx val="5"/>
            <c:bubble3D val="0"/>
            <c:spPr>
              <a:solidFill>
                <a:srgbClr val="92D050"/>
              </a:solidFill>
              <a:ln w="19050">
                <a:solidFill>
                  <a:schemeClr val="lt1"/>
                </a:solidFill>
              </a:ln>
              <a:effectLst/>
            </c:spPr>
            <c:extLst>
              <c:ext xmlns:c16="http://schemas.microsoft.com/office/drawing/2014/chart" uri="{C3380CC4-5D6E-409C-BE32-E72D297353CC}">
                <c16:uniqueId val="{0000000B-E725-4CCB-A863-5D79027C975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D-E725-4CCB-A863-5D79027C9751}"/>
              </c:ext>
            </c:extLst>
          </c:dPt>
          <c:dLbls>
            <c:dLbl>
              <c:idx val="0"/>
              <c:layout>
                <c:manualLayout>
                  <c:x val="3.4912718204488734E-2"/>
                  <c:y val="-8.278145695364239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D-4834-BD12-68665F9D09C1}"/>
                </c:ext>
              </c:extLst>
            </c:dLbl>
            <c:dLbl>
              <c:idx val="1"/>
              <c:layout>
                <c:manualLayout>
                  <c:x val="-3.7406483790523665E-2"/>
                  <c:y val="0.25827814569536423"/>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FD-4834-BD12-68665F9D09C1}"/>
                </c:ext>
              </c:extLst>
            </c:dLbl>
            <c:dLbl>
              <c:idx val="2"/>
              <c:layout>
                <c:manualLayout>
                  <c:x val="-6.1097256857855387E-2"/>
                  <c:y val="8.278145695364239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FD-4834-BD12-68665F9D09C1}"/>
                </c:ext>
              </c:extLst>
            </c:dLbl>
            <c:dLbl>
              <c:idx val="3"/>
              <c:layout>
                <c:manualLayout>
                  <c:x val="-7.7104482887270037E-2"/>
                  <c:y val="0.19059706940605928"/>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5FD-4834-BD12-68665F9D09C1}"/>
                </c:ext>
              </c:extLst>
            </c:dLbl>
            <c:dLbl>
              <c:idx val="4"/>
              <c:layout>
                <c:manualLayout>
                  <c:x val="3.3665835411471279E-2"/>
                  <c:y val="-1.9867549668874204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A40-41E3-A576-D24261E0D7A2}"/>
                </c:ext>
              </c:extLst>
            </c:dLbl>
            <c:dLbl>
              <c:idx val="5"/>
              <c:layout>
                <c:manualLayout>
                  <c:x val="8.6034912718204487E-2"/>
                  <c:y val="6.953642384105954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725-4CCB-A863-5D79027C9751}"/>
                </c:ext>
              </c:extLst>
            </c:dLbl>
            <c:dLbl>
              <c:idx val="6"/>
              <c:layout>
                <c:manualLayout>
                  <c:x val="0.10357855361596011"/>
                  <c:y val="0.20766986494237888"/>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725-4CCB-A863-5D79027C9751}"/>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Sheet-Need'!$A$8:$A$15</c:f>
              <c:strCache>
                <c:ptCount val="7"/>
                <c:pt idx="0">
                  <c:v>Insurance compensation</c:v>
                </c:pt>
                <c:pt idx="1">
                  <c:v>Less than deductible</c:v>
                </c:pt>
                <c:pt idx="2">
                  <c:v>Local sale compensation</c:v>
                </c:pt>
                <c:pt idx="3">
                  <c:v>No cargo damage</c:v>
                </c:pt>
                <c:pt idx="4">
                  <c:v>Not include under insurance covarge</c:v>
                </c:pt>
                <c:pt idx="5">
                  <c:v>Not include under insurance covarge/Less than deductable</c:v>
                </c:pt>
                <c:pt idx="6">
                  <c:v>Shiping line compensation</c:v>
                </c:pt>
              </c:strCache>
            </c:strRef>
          </c:cat>
          <c:val>
            <c:numRef>
              <c:f>'Working Sheet-Need'!$B$8:$B$15</c:f>
              <c:numCache>
                <c:formatCode>_(* #,##0.00_);_(* \(#,##0.00\);_(* "-"??_);_(@_)</c:formatCode>
                <c:ptCount val="7"/>
                <c:pt idx="0">
                  <c:v>7847.84</c:v>
                </c:pt>
                <c:pt idx="1">
                  <c:v>0</c:v>
                </c:pt>
                <c:pt idx="2">
                  <c:v>0</c:v>
                </c:pt>
                <c:pt idx="3">
                  <c:v>0</c:v>
                </c:pt>
                <c:pt idx="4">
                  <c:v>0</c:v>
                </c:pt>
                <c:pt idx="5">
                  <c:v>0</c:v>
                </c:pt>
                <c:pt idx="6">
                  <c:v>388.8</c:v>
                </c:pt>
              </c:numCache>
            </c:numRef>
          </c:val>
          <c:extLst>
            <c:ext xmlns:c16="http://schemas.microsoft.com/office/drawing/2014/chart" uri="{C3380CC4-5D6E-409C-BE32-E72D297353CC}">
              <c16:uniqueId val="{0000000B-376A-41EF-9905-294BC80FD32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344769403824521"/>
          <c:y val="0.16426787134181953"/>
          <c:w val="0.30207332677165355"/>
          <c:h val="0.66554308371028092"/>
        </c:manualLayout>
      </c:layout>
      <c:overlay val="0"/>
      <c:spPr>
        <a:noFill/>
        <a:ln>
          <a:noFill/>
        </a:ln>
        <a:effectLst/>
      </c:spPr>
      <c:txPr>
        <a:bodyPr rot="0" spcFirstLastPara="1" vertOverflow="ellipsis" vert="horz" wrap="square" anchor="ctr" anchorCtr="1"/>
        <a:lstStyle/>
        <a:p>
          <a:pPr>
            <a:defRPr sz="2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Sheet-Need!PivotTable7</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Reported</a:t>
            </a:r>
            <a:r>
              <a:rPr lang="en-US" sz="2000" b="1" baseline="0"/>
              <a:t> </a:t>
            </a:r>
            <a:r>
              <a:rPr lang="en-US" sz="2000" b="1" baseline="0">
                <a:solidFill>
                  <a:schemeClr val="tx1"/>
                </a:solidFill>
              </a:rPr>
              <a:t>incidents Status</a:t>
            </a:r>
            <a:endParaRPr lang="en-US" sz="2000" b="1">
              <a:solidFill>
                <a:schemeClr val="tx1"/>
              </a:solidFill>
            </a:endParaRPr>
          </a:p>
        </c:rich>
      </c:tx>
      <c:layout>
        <c:manualLayout>
          <c:xMode val="edge"/>
          <c:yMode val="edge"/>
          <c:x val="0.32104559400892008"/>
          <c:y val="4.854686596378841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8CCB00"/>
          </a:solidFill>
          <a:ln>
            <a:noFill/>
          </a:ln>
          <a:effectLst/>
        </c:spPr>
        <c:dLbl>
          <c:idx val="0"/>
          <c:layout>
            <c:manualLayout>
              <c:x val="0.13201778765981101"/>
              <c:y val="-1.129943502824858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24091936752728E-2"/>
          <c:y val="3.8997207471159125E-2"/>
          <c:w val="0.66565079342579925"/>
          <c:h val="0.85580868888481965"/>
        </c:manualLayout>
      </c:layout>
      <c:barChart>
        <c:barDir val="bar"/>
        <c:grouping val="stacked"/>
        <c:varyColors val="0"/>
        <c:ser>
          <c:idx val="0"/>
          <c:order val="0"/>
          <c:tx>
            <c:strRef>
              <c:f>'Working Sheet-Need'!$V$5</c:f>
              <c:strCache>
                <c:ptCount val="1"/>
                <c:pt idx="0">
                  <c:v>Total</c:v>
                </c:pt>
              </c:strCache>
            </c:strRef>
          </c:tx>
          <c:spPr>
            <a:solidFill>
              <a:srgbClr val="2F7D32"/>
            </a:solidFill>
            <a:ln>
              <a:noFill/>
            </a:ln>
            <a:effectLst/>
          </c:spPr>
          <c:invertIfNegative val="0"/>
          <c:dPt>
            <c:idx val="0"/>
            <c:invertIfNegative val="0"/>
            <c:bubble3D val="0"/>
            <c:spPr>
              <a:solidFill>
                <a:srgbClr val="8CCB00"/>
              </a:solidFill>
              <a:ln>
                <a:noFill/>
              </a:ln>
              <a:effectLst/>
            </c:spPr>
            <c:extLst>
              <c:ext xmlns:c16="http://schemas.microsoft.com/office/drawing/2014/chart" uri="{C3380CC4-5D6E-409C-BE32-E72D297353CC}">
                <c16:uniqueId val="{00000001-269A-442B-8AB5-E7A427BD16A6}"/>
              </c:ext>
            </c:extLst>
          </c:dPt>
          <c:dLbls>
            <c:dLbl>
              <c:idx val="0"/>
              <c:layout>
                <c:manualLayout>
                  <c:x val="0.13201778765981101"/>
                  <c:y val="-1.129943502824858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9A-442B-8AB5-E7A427BD16A6}"/>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Sheet-Need'!$U$6:$U$8</c:f>
              <c:strCache>
                <c:ptCount val="2"/>
                <c:pt idx="0">
                  <c:v>Pending</c:v>
                </c:pt>
                <c:pt idx="1">
                  <c:v>Close</c:v>
                </c:pt>
              </c:strCache>
            </c:strRef>
          </c:cat>
          <c:val>
            <c:numRef>
              <c:f>'Working Sheet-Need'!$V$6:$V$8</c:f>
              <c:numCache>
                <c:formatCode>General</c:formatCode>
                <c:ptCount val="2"/>
                <c:pt idx="0">
                  <c:v>15</c:v>
                </c:pt>
                <c:pt idx="1">
                  <c:v>60</c:v>
                </c:pt>
              </c:numCache>
            </c:numRef>
          </c:val>
          <c:extLst>
            <c:ext xmlns:c16="http://schemas.microsoft.com/office/drawing/2014/chart" uri="{C3380CC4-5D6E-409C-BE32-E72D297353CC}">
              <c16:uniqueId val="{00000002-F81D-444A-BC2C-2516FAC64072}"/>
            </c:ext>
          </c:extLst>
        </c:ser>
        <c:dLbls>
          <c:dLblPos val="ctr"/>
          <c:showLegendKey val="0"/>
          <c:showVal val="1"/>
          <c:showCatName val="0"/>
          <c:showSerName val="0"/>
          <c:showPercent val="0"/>
          <c:showBubbleSize val="0"/>
        </c:dLbls>
        <c:gapWidth val="150"/>
        <c:overlap val="100"/>
        <c:axId val="1499121328"/>
        <c:axId val="1499121808"/>
      </c:barChart>
      <c:catAx>
        <c:axId val="149912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499121808"/>
        <c:crosses val="autoZero"/>
        <c:auto val="1"/>
        <c:lblAlgn val="ctr"/>
        <c:lblOffset val="100"/>
        <c:noMultiLvlLbl val="0"/>
      </c:catAx>
      <c:valAx>
        <c:axId val="14991218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991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Sheet-Need!PivotTable8</c:name>
    <c:fmtId val="2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chemeClr val="tx1"/>
                </a:solidFill>
              </a:rPr>
              <a:t>Claim Value USD</a:t>
            </a:r>
          </a:p>
        </c:rich>
      </c:tx>
      <c:layout>
        <c:manualLayout>
          <c:xMode val="edge"/>
          <c:yMode val="edge"/>
          <c:x val="0.39853631410724943"/>
          <c:y val="8.411928042999662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985577086955039"/>
              <c:y val="-6.6972947936361779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F7D32"/>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4F499D1A-7B9C-46B2-BE3F-2AA3ADBF8742}" type="VALUE">
                  <a:rPr lang="en-US" sz="2000" b="1">
                    <a:solidFill>
                      <a:schemeClr val="bg1"/>
                    </a:solidFill>
                  </a:rPr>
                  <a:pPr>
                    <a:defRPr sz="2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8CCB00"/>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D200"/>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7624671916012"/>
          <c:y val="0.26328484981044037"/>
          <c:w val="0.61379330708661417"/>
          <c:h val="0.6293157626130067"/>
        </c:manualLayout>
      </c:layout>
      <c:barChart>
        <c:barDir val="bar"/>
        <c:grouping val="stacked"/>
        <c:varyColors val="0"/>
        <c:ser>
          <c:idx val="0"/>
          <c:order val="0"/>
          <c:tx>
            <c:strRef>
              <c:f>'Working Sheet-Need'!$AA$5</c:f>
              <c:strCache>
                <c:ptCount val="1"/>
                <c:pt idx="0">
                  <c:v>Total</c:v>
                </c:pt>
              </c:strCache>
            </c:strRef>
          </c:tx>
          <c:spPr>
            <a:solidFill>
              <a:schemeClr val="accent1"/>
            </a:solidFill>
            <a:ln>
              <a:noFill/>
            </a:ln>
            <a:effectLst/>
          </c:spPr>
          <c:invertIfNegative val="0"/>
          <c:dPt>
            <c:idx val="0"/>
            <c:invertIfNegative val="0"/>
            <c:bubble3D val="0"/>
            <c:spPr>
              <a:solidFill>
                <a:srgbClr val="2F7D32"/>
              </a:solidFill>
              <a:ln>
                <a:noFill/>
              </a:ln>
              <a:effectLst/>
            </c:spPr>
            <c:extLst>
              <c:ext xmlns:c16="http://schemas.microsoft.com/office/drawing/2014/chart" uri="{C3380CC4-5D6E-409C-BE32-E72D297353CC}">
                <c16:uniqueId val="{00000001-EAD5-4DD6-A3FB-46DED06BFE98}"/>
              </c:ext>
            </c:extLst>
          </c:dPt>
          <c:dPt>
            <c:idx val="1"/>
            <c:invertIfNegative val="0"/>
            <c:bubble3D val="0"/>
            <c:spPr>
              <a:solidFill>
                <a:srgbClr val="8CCB00"/>
              </a:solidFill>
              <a:ln>
                <a:noFill/>
              </a:ln>
              <a:effectLst/>
            </c:spPr>
            <c:extLst>
              <c:ext xmlns:c16="http://schemas.microsoft.com/office/drawing/2014/chart" uri="{C3380CC4-5D6E-409C-BE32-E72D297353CC}">
                <c16:uniqueId val="{00000003-EAD5-4DD6-A3FB-46DED06BFE98}"/>
              </c:ext>
            </c:extLst>
          </c:dPt>
          <c:dPt>
            <c:idx val="2"/>
            <c:invertIfNegative val="0"/>
            <c:bubble3D val="0"/>
            <c:spPr>
              <a:solidFill>
                <a:srgbClr val="F2D200"/>
              </a:solidFill>
              <a:ln>
                <a:noFill/>
              </a:ln>
              <a:effectLst/>
            </c:spPr>
            <c:extLst>
              <c:ext xmlns:c16="http://schemas.microsoft.com/office/drawing/2014/chart" uri="{C3380CC4-5D6E-409C-BE32-E72D297353CC}">
                <c16:uniqueId val="{00000005-EAD5-4DD6-A3FB-46DED06BFE98}"/>
              </c:ext>
            </c:extLst>
          </c:dPt>
          <c:dLbls>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4F499D1A-7B9C-46B2-BE3F-2AA3ADBF8742}" type="VALUE">
                      <a:rPr lang="en-US" sz="2000" b="1">
                        <a:solidFill>
                          <a:schemeClr val="bg1"/>
                        </a:solidFill>
                      </a:rPr>
                      <a:pPr>
                        <a:defRPr sz="2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AD5-4DD6-A3FB-46DED06BFE98}"/>
                </c:ext>
              </c:extLst>
            </c:dLbl>
            <c:dLbl>
              <c:idx val="1"/>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5-4DD6-A3FB-46DED06BFE98}"/>
                </c:ext>
              </c:extLst>
            </c:dLbl>
            <c:dLbl>
              <c:idx val="2"/>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5-4DD6-A3FB-46DED06BFE9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Sheet-Need'!$Z$6:$Z$9</c:f>
              <c:strCache>
                <c:ptCount val="3"/>
                <c:pt idx="0">
                  <c:v>Accept</c:v>
                </c:pt>
                <c:pt idx="1">
                  <c:v>Pending</c:v>
                </c:pt>
                <c:pt idx="2">
                  <c:v>Reject</c:v>
                </c:pt>
              </c:strCache>
            </c:strRef>
          </c:cat>
          <c:val>
            <c:numRef>
              <c:f>'Working Sheet-Need'!$AA$6:$AA$9</c:f>
              <c:numCache>
                <c:formatCode>_-"$"* #,##0.00_-;\-"$"* #,##0.00_-;_-"$"* "-"??_-;_-@_-</c:formatCode>
                <c:ptCount val="3"/>
                <c:pt idx="0">
                  <c:v>30270.554427226729</c:v>
                </c:pt>
                <c:pt idx="1">
                  <c:v>11909.656633697074</c:v>
                </c:pt>
                <c:pt idx="2">
                  <c:v>6429.1535384196186</c:v>
                </c:pt>
              </c:numCache>
            </c:numRef>
          </c:val>
          <c:extLst>
            <c:ext xmlns:c16="http://schemas.microsoft.com/office/drawing/2014/chart" uri="{C3380CC4-5D6E-409C-BE32-E72D297353CC}">
              <c16:uniqueId val="{00000006-8B51-40E8-8216-06D2C6B31FFB}"/>
            </c:ext>
          </c:extLst>
        </c:ser>
        <c:dLbls>
          <c:dLblPos val="ctr"/>
          <c:showLegendKey val="0"/>
          <c:showVal val="1"/>
          <c:showCatName val="0"/>
          <c:showSerName val="0"/>
          <c:showPercent val="0"/>
          <c:showBubbleSize val="0"/>
        </c:dLbls>
        <c:gapWidth val="150"/>
        <c:overlap val="100"/>
        <c:axId val="1129414160"/>
        <c:axId val="1129415120"/>
      </c:barChart>
      <c:catAx>
        <c:axId val="112941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29415120"/>
        <c:crosses val="autoZero"/>
        <c:auto val="1"/>
        <c:lblAlgn val="ctr"/>
        <c:lblOffset val="100"/>
        <c:noMultiLvlLbl val="0"/>
      </c:catAx>
      <c:valAx>
        <c:axId val="1129415120"/>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2941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Sheet-Need!PivotTable6</c:name>
    <c:fmtId val="16"/>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Claims vs Compensation Trend (2019–2026)</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F4D1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Sheet-Need'!$O$5</c:f>
              <c:strCache>
                <c:ptCount val="1"/>
                <c:pt idx="0">
                  <c:v> Claim Value USD</c:v>
                </c:pt>
              </c:strCache>
            </c:strRef>
          </c:tx>
          <c:spPr>
            <a:solidFill>
              <a:srgbClr val="8CCB00"/>
            </a:solidFill>
            <a:ln>
              <a:noFill/>
            </a:ln>
            <a:effectLst/>
          </c:spPr>
          <c:invertIfNegative val="0"/>
          <c:cat>
            <c:strRef>
              <c:f>'Working Sheet-Need'!$N$6:$N$9</c:f>
              <c:strCache>
                <c:ptCount val="3"/>
                <c:pt idx="0">
                  <c:v>2024</c:v>
                </c:pt>
                <c:pt idx="1">
                  <c:v>2025</c:v>
                </c:pt>
                <c:pt idx="2">
                  <c:v>2026</c:v>
                </c:pt>
              </c:strCache>
            </c:strRef>
          </c:cat>
          <c:val>
            <c:numRef>
              <c:f>'Working Sheet-Need'!$O$6:$O$9</c:f>
              <c:numCache>
                <c:formatCode>_-"$"* #,##0.00_-;\-"$"* #,##0.00_-;_-"$"* "-"??_-;_-@_-</c:formatCode>
                <c:ptCount val="3"/>
                <c:pt idx="0">
                  <c:v>3263.479042553191</c:v>
                </c:pt>
                <c:pt idx="1">
                  <c:v>26749.059484923237</c:v>
                </c:pt>
                <c:pt idx="2">
                  <c:v>18596.826071867003</c:v>
                </c:pt>
              </c:numCache>
            </c:numRef>
          </c:val>
          <c:extLst>
            <c:ext xmlns:c16="http://schemas.microsoft.com/office/drawing/2014/chart" uri="{C3380CC4-5D6E-409C-BE32-E72D297353CC}">
              <c16:uniqueId val="{00000000-28AE-46D2-A5E5-3C3E4C375D1F}"/>
            </c:ext>
          </c:extLst>
        </c:ser>
        <c:ser>
          <c:idx val="1"/>
          <c:order val="1"/>
          <c:tx>
            <c:strRef>
              <c:f>'Working Sheet-Need'!$P$5</c:f>
              <c:strCache>
                <c:ptCount val="1"/>
                <c:pt idx="0">
                  <c:v>Compensation Value USD</c:v>
                </c:pt>
              </c:strCache>
            </c:strRef>
          </c:tx>
          <c:spPr>
            <a:solidFill>
              <a:srgbClr val="0F4D1F"/>
            </a:solidFill>
            <a:ln w="25400">
              <a:noFill/>
            </a:ln>
            <a:effectLst/>
          </c:spPr>
          <c:invertIfNegative val="0"/>
          <c:cat>
            <c:strRef>
              <c:f>'Working Sheet-Need'!$N$6:$N$9</c:f>
              <c:strCache>
                <c:ptCount val="3"/>
                <c:pt idx="0">
                  <c:v>2024</c:v>
                </c:pt>
                <c:pt idx="1">
                  <c:v>2025</c:v>
                </c:pt>
                <c:pt idx="2">
                  <c:v>2026</c:v>
                </c:pt>
              </c:strCache>
            </c:strRef>
          </c:cat>
          <c:val>
            <c:numRef>
              <c:f>'Working Sheet-Need'!$P$6:$P$9</c:f>
              <c:numCache>
                <c:formatCode>_-"$"* #,##0.00_-;\-"$"* #,##0.00_-;_-"$"* "-"??_-;_-@_-</c:formatCode>
                <c:ptCount val="3"/>
                <c:pt idx="0">
                  <c:v>1682.28</c:v>
                </c:pt>
                <c:pt idx="1">
                  <c:v>6554.36</c:v>
                </c:pt>
                <c:pt idx="2">
                  <c:v>0</c:v>
                </c:pt>
              </c:numCache>
            </c:numRef>
          </c:val>
          <c:extLst>
            <c:ext xmlns:c16="http://schemas.microsoft.com/office/drawing/2014/chart" uri="{C3380CC4-5D6E-409C-BE32-E72D297353CC}">
              <c16:uniqueId val="{00000001-28AE-46D2-A5E5-3C3E4C375D1F}"/>
            </c:ext>
          </c:extLst>
        </c:ser>
        <c:dLbls>
          <c:showLegendKey val="0"/>
          <c:showVal val="0"/>
          <c:showCatName val="0"/>
          <c:showSerName val="0"/>
          <c:showPercent val="0"/>
          <c:showBubbleSize val="0"/>
        </c:dLbls>
        <c:gapWidth val="219"/>
        <c:axId val="1980286736"/>
        <c:axId val="1980286256"/>
      </c:barChart>
      <c:lineChart>
        <c:grouping val="standard"/>
        <c:varyColors val="0"/>
        <c:ser>
          <c:idx val="2"/>
          <c:order val="2"/>
          <c:tx>
            <c:strRef>
              <c:f>'Working Sheet-Need'!$Q$5</c:f>
              <c:strCache>
                <c:ptCount val="1"/>
                <c:pt idx="0">
                  <c:v>% Compensated</c:v>
                </c:pt>
              </c:strCache>
            </c:strRef>
          </c:tx>
          <c:spPr>
            <a:ln w="28575" cap="rnd">
              <a:solidFill>
                <a:srgbClr val="F2D200"/>
              </a:solidFill>
              <a:round/>
            </a:ln>
            <a:effectLst/>
          </c:spPr>
          <c:marker>
            <c:symbol val="none"/>
          </c:marker>
          <c:cat>
            <c:strRef>
              <c:f>'Working Sheet-Need'!$N$6:$N$9</c:f>
              <c:strCache>
                <c:ptCount val="3"/>
                <c:pt idx="0">
                  <c:v>2024</c:v>
                </c:pt>
                <c:pt idx="1">
                  <c:v>2025</c:v>
                </c:pt>
                <c:pt idx="2">
                  <c:v>2026</c:v>
                </c:pt>
              </c:strCache>
            </c:strRef>
          </c:cat>
          <c:val>
            <c:numRef>
              <c:f>'Working Sheet-Need'!$Q$6:$Q$9</c:f>
              <c:numCache>
                <c:formatCode>0%</c:formatCode>
                <c:ptCount val="3"/>
                <c:pt idx="0">
                  <c:v>0.51548668707976875</c:v>
                </c:pt>
                <c:pt idx="1">
                  <c:v>0.24503141890630886</c:v>
                </c:pt>
                <c:pt idx="2">
                  <c:v>0</c:v>
                </c:pt>
              </c:numCache>
            </c:numRef>
          </c:val>
          <c:smooth val="0"/>
          <c:extLst>
            <c:ext xmlns:c16="http://schemas.microsoft.com/office/drawing/2014/chart" uri="{C3380CC4-5D6E-409C-BE32-E72D297353CC}">
              <c16:uniqueId val="{00000002-28AE-46D2-A5E5-3C3E4C375D1F}"/>
            </c:ext>
          </c:extLst>
        </c:ser>
        <c:dLbls>
          <c:showLegendKey val="0"/>
          <c:showVal val="0"/>
          <c:showCatName val="0"/>
          <c:showSerName val="0"/>
          <c:showPercent val="0"/>
          <c:showBubbleSize val="0"/>
        </c:dLbls>
        <c:marker val="1"/>
        <c:smooth val="0"/>
        <c:axId val="664813360"/>
        <c:axId val="664820560"/>
      </c:lineChart>
      <c:catAx>
        <c:axId val="198028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256"/>
        <c:crosses val="autoZero"/>
        <c:auto val="1"/>
        <c:lblAlgn val="ctr"/>
        <c:lblOffset val="100"/>
        <c:noMultiLvlLbl val="0"/>
      </c:catAx>
      <c:valAx>
        <c:axId val="1980286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736"/>
        <c:crosses val="autoZero"/>
        <c:crossBetween val="between"/>
      </c:valAx>
      <c:valAx>
        <c:axId val="6648205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13360"/>
        <c:crosses val="max"/>
        <c:crossBetween val="between"/>
      </c:valAx>
      <c:catAx>
        <c:axId val="664813360"/>
        <c:scaling>
          <c:orientation val="minMax"/>
        </c:scaling>
        <c:delete val="1"/>
        <c:axPos val="b"/>
        <c:numFmt formatCode="General" sourceLinked="1"/>
        <c:majorTickMark val="out"/>
        <c:minorTickMark val="none"/>
        <c:tickLblPos val="nextTo"/>
        <c:crossAx val="664820560"/>
        <c:crosses val="autoZero"/>
        <c:auto val="1"/>
        <c:lblAlgn val="ctr"/>
        <c:lblOffset val="100"/>
        <c:noMultiLvlLbl val="0"/>
      </c:catAx>
      <c:spPr>
        <a:noFill/>
        <a:ln>
          <a:noFill/>
        </a:ln>
        <a:effectLst/>
      </c:spPr>
    </c:plotArea>
    <c:legend>
      <c:legendPos val="r"/>
      <c:layout>
        <c:manualLayout>
          <c:xMode val="edge"/>
          <c:yMode val="edge"/>
          <c:x val="0.80759961724495366"/>
          <c:y val="0.29826094027403199"/>
          <c:w val="0.18599648003856462"/>
          <c:h val="0.597677639692628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a:t>
            </a:r>
            <a:r>
              <a:rPr lang="en-US" baseline="0"/>
              <a:t> incidents Status</a:t>
            </a:r>
            <a:endParaRPr lang="en-US"/>
          </a:p>
        </c:rich>
      </c:tx>
      <c:layout>
        <c:manualLayout>
          <c:xMode val="edge"/>
          <c:yMode val="edge"/>
          <c:x val="0.35424314644615912"/>
          <c:y val="0.165354330708661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 Sheet-Need'!$V$5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Sheet-Need'!$U$6:$U$8</c:f>
              <c:strCache>
                <c:ptCount val="2"/>
                <c:pt idx="0">
                  <c:v>Pending</c:v>
                </c:pt>
                <c:pt idx="1">
                  <c:v>Close</c:v>
                </c:pt>
              </c:strCache>
            </c:strRef>
          </c:cat>
          <c:val>
            <c:numRef>
              <c:f>'Working Sheet-Need'!$V$6:$V$8</c:f>
              <c:numCache>
                <c:formatCode>General</c:formatCode>
                <c:ptCount val="2"/>
                <c:pt idx="0">
                  <c:v>15</c:v>
                </c:pt>
                <c:pt idx="1">
                  <c:v>60</c:v>
                </c:pt>
              </c:numCache>
            </c:numRef>
          </c:val>
          <c:extLst>
            <c:ext xmlns:c16="http://schemas.microsoft.com/office/drawing/2014/chart" uri="{C3380CC4-5D6E-409C-BE32-E72D297353CC}">
              <c16:uniqueId val="{00000000-76AD-4C40-B30A-A583F6B9A987}"/>
            </c:ext>
          </c:extLst>
        </c:ser>
        <c:dLbls>
          <c:dLblPos val="ctr"/>
          <c:showLegendKey val="0"/>
          <c:showVal val="1"/>
          <c:showCatName val="0"/>
          <c:showSerName val="0"/>
          <c:showPercent val="0"/>
          <c:showBubbleSize val="0"/>
        </c:dLbls>
        <c:gapWidth val="150"/>
        <c:overlap val="100"/>
        <c:axId val="1499121328"/>
        <c:axId val="1499121808"/>
      </c:barChart>
      <c:catAx>
        <c:axId val="149912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1808"/>
        <c:crosses val="autoZero"/>
        <c:auto val="1"/>
        <c:lblAlgn val="ctr"/>
        <c:lblOffset val="100"/>
        <c:noMultiLvlLbl val="0"/>
      </c:catAx>
      <c:valAx>
        <c:axId val="14991218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Value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985577086955039"/>
              <c:y val="-6.6972947936361779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7624671916012"/>
          <c:y val="0.26328484981044037"/>
          <c:w val="0.61379330708661417"/>
          <c:h val="0.6293157626130067"/>
        </c:manualLayout>
      </c:layout>
      <c:barChart>
        <c:barDir val="bar"/>
        <c:grouping val="stacked"/>
        <c:varyColors val="0"/>
        <c:ser>
          <c:idx val="0"/>
          <c:order val="0"/>
          <c:tx>
            <c:strRef>
              <c:f>'Working Sheet-Need'!$AA$5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E3B-4F84-8D6A-0865432CB4C3}"/>
              </c:ext>
            </c:extLst>
          </c:dPt>
          <c:dPt>
            <c:idx val="1"/>
            <c:invertIfNegative val="0"/>
            <c:bubble3D val="0"/>
            <c:extLst>
              <c:ext xmlns:c16="http://schemas.microsoft.com/office/drawing/2014/chart" uri="{C3380CC4-5D6E-409C-BE32-E72D297353CC}">
                <c16:uniqueId val="{00000001-6E3B-4F84-8D6A-0865432CB4C3}"/>
              </c:ext>
            </c:extLst>
          </c:dPt>
          <c:dPt>
            <c:idx val="2"/>
            <c:invertIfNegative val="0"/>
            <c:bubble3D val="0"/>
            <c:extLst>
              <c:ext xmlns:c16="http://schemas.microsoft.com/office/drawing/2014/chart" uri="{C3380CC4-5D6E-409C-BE32-E72D297353CC}">
                <c16:uniqueId val="{00000002-6E3B-4F84-8D6A-0865432CB4C3}"/>
              </c:ext>
            </c:extLst>
          </c:dPt>
          <c:dLbls>
            <c:dLbl>
              <c:idx val="0"/>
              <c:tx>
                <c:rich>
                  <a:bodyPr/>
                  <a:lstStyle/>
                  <a:p>
                    <a:fld id="{4F499D1A-7B9C-46B2-BE3F-2AA3ADBF874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E3B-4F84-8D6A-0865432CB4C3}"/>
                </c:ext>
              </c:extLst>
            </c:dLbl>
            <c:dLbl>
              <c:idx val="1"/>
              <c:layout>
                <c:manualLayout>
                  <c:x val="0.220338983050847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3B-4F84-8D6A-0865432CB4C3}"/>
                </c:ext>
              </c:extLst>
            </c:dLbl>
            <c:dLbl>
              <c:idx val="2"/>
              <c:layout>
                <c:manualLayout>
                  <c:x val="0.220338983050847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3B-4F84-8D6A-0865432CB4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Sheet-Need'!$Z$6:$Z$9</c:f>
              <c:strCache>
                <c:ptCount val="3"/>
                <c:pt idx="0">
                  <c:v>Accept</c:v>
                </c:pt>
                <c:pt idx="1">
                  <c:v>Pending</c:v>
                </c:pt>
                <c:pt idx="2">
                  <c:v>Reject</c:v>
                </c:pt>
              </c:strCache>
            </c:strRef>
          </c:cat>
          <c:val>
            <c:numRef>
              <c:f>'Working Sheet-Need'!$AA$6:$AA$9</c:f>
              <c:numCache>
                <c:formatCode>_-"$"* #,##0.00_-;\-"$"* #,##0.00_-;_-"$"* "-"??_-;_-@_-</c:formatCode>
                <c:ptCount val="3"/>
                <c:pt idx="0">
                  <c:v>30270.554427226729</c:v>
                </c:pt>
                <c:pt idx="1">
                  <c:v>11909.656633697074</c:v>
                </c:pt>
                <c:pt idx="2">
                  <c:v>6429.1535384196186</c:v>
                </c:pt>
              </c:numCache>
            </c:numRef>
          </c:val>
          <c:extLst>
            <c:ext xmlns:c16="http://schemas.microsoft.com/office/drawing/2014/chart" uri="{C3380CC4-5D6E-409C-BE32-E72D297353CC}">
              <c16:uniqueId val="{00000003-E4D2-4E5D-9F4E-3053292AAD29}"/>
            </c:ext>
          </c:extLst>
        </c:ser>
        <c:dLbls>
          <c:dLblPos val="ctr"/>
          <c:showLegendKey val="0"/>
          <c:showVal val="1"/>
          <c:showCatName val="0"/>
          <c:showSerName val="0"/>
          <c:showPercent val="0"/>
          <c:showBubbleSize val="0"/>
        </c:dLbls>
        <c:gapWidth val="150"/>
        <c:overlap val="100"/>
        <c:axId val="1129414160"/>
        <c:axId val="1129415120"/>
      </c:barChart>
      <c:catAx>
        <c:axId val="112941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15120"/>
        <c:crosses val="autoZero"/>
        <c:auto val="1"/>
        <c:lblAlgn val="ctr"/>
        <c:lblOffset val="100"/>
        <c:noMultiLvlLbl val="0"/>
      </c:catAx>
      <c:valAx>
        <c:axId val="1129415120"/>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1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Sheet-Need!PivotTable5</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Compensation Type USD </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'Working Sheet-Need'!$B$7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9D-4D50-8377-0A4C16BC8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9D-4D50-8377-0A4C16BC81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9D-4D50-8377-0A4C16BC81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9D-4D50-8377-0A4C16BC81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0C-437F-8E21-C4A35BA7FD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52-41B1-A63E-145D98498D5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52-41B1-A63E-145D98498D5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Sheet-Need'!$A$8:$A$15</c:f>
              <c:strCache>
                <c:ptCount val="7"/>
                <c:pt idx="0">
                  <c:v>Insurance compensation</c:v>
                </c:pt>
                <c:pt idx="1">
                  <c:v>Less than deductible</c:v>
                </c:pt>
                <c:pt idx="2">
                  <c:v>Local sale compensation</c:v>
                </c:pt>
                <c:pt idx="3">
                  <c:v>No cargo damage</c:v>
                </c:pt>
                <c:pt idx="4">
                  <c:v>Not include under insurance covarge</c:v>
                </c:pt>
                <c:pt idx="5">
                  <c:v>Not include under insurance covarge/Less than deductable</c:v>
                </c:pt>
                <c:pt idx="6">
                  <c:v>Shiping line compensation</c:v>
                </c:pt>
              </c:strCache>
            </c:strRef>
          </c:cat>
          <c:val>
            <c:numRef>
              <c:f>'Working Sheet-Need'!$B$8:$B$15</c:f>
              <c:numCache>
                <c:formatCode>_(* #,##0.00_);_(* \(#,##0.00\);_(* "-"??_);_(@_)</c:formatCode>
                <c:ptCount val="7"/>
                <c:pt idx="0">
                  <c:v>7847.84</c:v>
                </c:pt>
                <c:pt idx="1">
                  <c:v>0</c:v>
                </c:pt>
                <c:pt idx="2">
                  <c:v>0</c:v>
                </c:pt>
                <c:pt idx="3">
                  <c:v>0</c:v>
                </c:pt>
                <c:pt idx="4">
                  <c:v>0</c:v>
                </c:pt>
                <c:pt idx="5">
                  <c:v>0</c:v>
                </c:pt>
                <c:pt idx="6">
                  <c:v>388.8</c:v>
                </c:pt>
              </c:numCache>
            </c:numRef>
          </c:val>
          <c:extLst>
            <c:ext xmlns:c16="http://schemas.microsoft.com/office/drawing/2014/chart" uri="{C3380CC4-5D6E-409C-BE32-E72D297353CC}">
              <c16:uniqueId val="{0000000B-6E15-4EF7-A69B-C8DFADF8A8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[Import Shipment Insurance Cases 2024-2026-Final.xlsx]Working Sheet-Need!PivotTable6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Sheet-Need'!$O$5</c:f>
              <c:strCache>
                <c:ptCount val="1"/>
                <c:pt idx="0">
                  <c:v> Claim Value USD</c:v>
                </c:pt>
              </c:strCache>
            </c:strRef>
          </c:tx>
          <c:spPr>
            <a:solidFill>
              <a:schemeClr val="accent1"/>
            </a:solidFill>
            <a:ln>
              <a:noFill/>
            </a:ln>
            <a:effectLst/>
          </c:spPr>
          <c:invertIfNegative val="0"/>
          <c:cat>
            <c:strRef>
              <c:f>'Working Sheet-Need'!$N$6:$N$9</c:f>
              <c:strCache>
                <c:ptCount val="3"/>
                <c:pt idx="0">
                  <c:v>2024</c:v>
                </c:pt>
                <c:pt idx="1">
                  <c:v>2025</c:v>
                </c:pt>
                <c:pt idx="2">
                  <c:v>2026</c:v>
                </c:pt>
              </c:strCache>
            </c:strRef>
          </c:cat>
          <c:val>
            <c:numRef>
              <c:f>'Working Sheet-Need'!$O$6:$O$9</c:f>
              <c:numCache>
                <c:formatCode>_-"$"* #,##0.00_-;\-"$"* #,##0.00_-;_-"$"* "-"??_-;_-@_-</c:formatCode>
                <c:ptCount val="3"/>
                <c:pt idx="0">
                  <c:v>3263.479042553191</c:v>
                </c:pt>
                <c:pt idx="1">
                  <c:v>26749.059484923237</c:v>
                </c:pt>
                <c:pt idx="2">
                  <c:v>18596.826071867003</c:v>
                </c:pt>
              </c:numCache>
            </c:numRef>
          </c:val>
          <c:extLst>
            <c:ext xmlns:c16="http://schemas.microsoft.com/office/drawing/2014/chart" uri="{C3380CC4-5D6E-409C-BE32-E72D297353CC}">
              <c16:uniqueId val="{00000000-2901-4AE1-BBC3-FBD473F0D4E1}"/>
            </c:ext>
          </c:extLst>
        </c:ser>
        <c:ser>
          <c:idx val="1"/>
          <c:order val="1"/>
          <c:tx>
            <c:strRef>
              <c:f>'Working Sheet-Need'!$P$5</c:f>
              <c:strCache>
                <c:ptCount val="1"/>
                <c:pt idx="0">
                  <c:v>Compensation Value USD</c:v>
                </c:pt>
              </c:strCache>
            </c:strRef>
          </c:tx>
          <c:spPr>
            <a:solidFill>
              <a:schemeClr val="accent2"/>
            </a:solidFill>
            <a:ln w="25400">
              <a:noFill/>
            </a:ln>
            <a:effectLst/>
          </c:spPr>
          <c:invertIfNegative val="0"/>
          <c:cat>
            <c:strRef>
              <c:f>'Working Sheet-Need'!$N$6:$N$9</c:f>
              <c:strCache>
                <c:ptCount val="3"/>
                <c:pt idx="0">
                  <c:v>2024</c:v>
                </c:pt>
                <c:pt idx="1">
                  <c:v>2025</c:v>
                </c:pt>
                <c:pt idx="2">
                  <c:v>2026</c:v>
                </c:pt>
              </c:strCache>
            </c:strRef>
          </c:cat>
          <c:val>
            <c:numRef>
              <c:f>'Working Sheet-Need'!$P$6:$P$9</c:f>
              <c:numCache>
                <c:formatCode>_-"$"* #,##0.00_-;\-"$"* #,##0.00_-;_-"$"* "-"??_-;_-@_-</c:formatCode>
                <c:ptCount val="3"/>
                <c:pt idx="0">
                  <c:v>1682.28</c:v>
                </c:pt>
                <c:pt idx="1">
                  <c:v>6554.36</c:v>
                </c:pt>
                <c:pt idx="2">
                  <c:v>0</c:v>
                </c:pt>
              </c:numCache>
            </c:numRef>
          </c:val>
          <c:extLst>
            <c:ext xmlns:c16="http://schemas.microsoft.com/office/drawing/2014/chart" uri="{C3380CC4-5D6E-409C-BE32-E72D297353CC}">
              <c16:uniqueId val="{00000001-2901-4AE1-BBC3-FBD473F0D4E1}"/>
            </c:ext>
          </c:extLst>
        </c:ser>
        <c:dLbls>
          <c:showLegendKey val="0"/>
          <c:showVal val="0"/>
          <c:showCatName val="0"/>
          <c:showSerName val="0"/>
          <c:showPercent val="0"/>
          <c:showBubbleSize val="0"/>
        </c:dLbls>
        <c:gapWidth val="219"/>
        <c:axId val="1980286736"/>
        <c:axId val="1980286256"/>
      </c:barChart>
      <c:lineChart>
        <c:grouping val="standard"/>
        <c:varyColors val="0"/>
        <c:ser>
          <c:idx val="2"/>
          <c:order val="2"/>
          <c:tx>
            <c:strRef>
              <c:f>'Working Sheet-Need'!$Q$5</c:f>
              <c:strCache>
                <c:ptCount val="1"/>
                <c:pt idx="0">
                  <c:v>% Compensated</c:v>
                </c:pt>
              </c:strCache>
            </c:strRef>
          </c:tx>
          <c:spPr>
            <a:ln w="28575" cap="rnd">
              <a:solidFill>
                <a:schemeClr val="accent3"/>
              </a:solidFill>
              <a:round/>
            </a:ln>
            <a:effectLst/>
          </c:spPr>
          <c:marker>
            <c:symbol val="none"/>
          </c:marker>
          <c:cat>
            <c:strRef>
              <c:f>'Working Sheet-Need'!$N$6:$N$9</c:f>
              <c:strCache>
                <c:ptCount val="3"/>
                <c:pt idx="0">
                  <c:v>2024</c:v>
                </c:pt>
                <c:pt idx="1">
                  <c:v>2025</c:v>
                </c:pt>
                <c:pt idx="2">
                  <c:v>2026</c:v>
                </c:pt>
              </c:strCache>
            </c:strRef>
          </c:cat>
          <c:val>
            <c:numRef>
              <c:f>'Working Sheet-Need'!$Q$6:$Q$9</c:f>
              <c:numCache>
                <c:formatCode>0%</c:formatCode>
                <c:ptCount val="3"/>
                <c:pt idx="0">
                  <c:v>0.51548668707976875</c:v>
                </c:pt>
                <c:pt idx="1">
                  <c:v>0.24503141890630886</c:v>
                </c:pt>
                <c:pt idx="2">
                  <c:v>0</c:v>
                </c:pt>
              </c:numCache>
            </c:numRef>
          </c:val>
          <c:smooth val="0"/>
          <c:extLst>
            <c:ext xmlns:c16="http://schemas.microsoft.com/office/drawing/2014/chart" uri="{C3380CC4-5D6E-409C-BE32-E72D297353CC}">
              <c16:uniqueId val="{00000002-2901-4AE1-BBC3-FBD473F0D4E1}"/>
            </c:ext>
          </c:extLst>
        </c:ser>
        <c:dLbls>
          <c:showLegendKey val="0"/>
          <c:showVal val="0"/>
          <c:showCatName val="0"/>
          <c:showSerName val="0"/>
          <c:showPercent val="0"/>
          <c:showBubbleSize val="0"/>
        </c:dLbls>
        <c:marker val="1"/>
        <c:smooth val="0"/>
        <c:axId val="664813360"/>
        <c:axId val="664820560"/>
      </c:lineChart>
      <c:catAx>
        <c:axId val="198028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256"/>
        <c:crosses val="autoZero"/>
        <c:auto val="1"/>
        <c:lblAlgn val="ctr"/>
        <c:lblOffset val="100"/>
        <c:noMultiLvlLbl val="0"/>
      </c:catAx>
      <c:valAx>
        <c:axId val="1980286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736"/>
        <c:crosses val="autoZero"/>
        <c:crossBetween val="between"/>
      </c:valAx>
      <c:valAx>
        <c:axId val="6648205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13360"/>
        <c:crosses val="max"/>
        <c:crossBetween val="between"/>
      </c:valAx>
      <c:catAx>
        <c:axId val="664813360"/>
        <c:scaling>
          <c:orientation val="minMax"/>
        </c:scaling>
        <c:delete val="1"/>
        <c:axPos val="b"/>
        <c:numFmt formatCode="General" sourceLinked="1"/>
        <c:majorTickMark val="out"/>
        <c:minorTickMark val="none"/>
        <c:tickLblPos val="nextTo"/>
        <c:crossAx val="6648205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Claim Value USD </c:v>
          </c:tx>
          <c:spPr>
            <a:solidFill>
              <a:srgbClr val="8CCB00"/>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extLst>
            <c:ext xmlns:c16="http://schemas.microsoft.com/office/drawing/2014/chart" uri="{C3380CC4-5D6E-409C-BE32-E72D297353CC}">
              <c16:uniqueId val="{00000000-4413-4112-808B-30E63CFB1747}"/>
            </c:ext>
          </c:extLst>
        </c:ser>
        <c:ser>
          <c:idx val="1"/>
          <c:order val="1"/>
          <c:tx>
            <c:v>Compensation Value USD </c:v>
          </c:tx>
          <c:spPr>
            <a:solidFill>
              <a:srgbClr val="2F7D32"/>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extLst>
            <c:ext xmlns:c16="http://schemas.microsoft.com/office/drawing/2014/chart" uri="{C3380CC4-5D6E-409C-BE32-E72D297353CC}">
              <c16:uniqueId val="{00000001-4413-4112-808B-30E63CFB1747}"/>
            </c:ext>
          </c:extLst>
        </c:ser>
        <c:dLbls>
          <c:showLegendKey val="0"/>
          <c:showVal val="0"/>
          <c:showCatName val="0"/>
          <c:showSerName val="0"/>
          <c:showPercent val="0"/>
          <c:showBubbleSize val="0"/>
        </c:dLbls>
        <c:gapWidth val="219"/>
        <c:overlap val="-27"/>
        <c:axId val="803789968"/>
        <c:axId val="803791408"/>
      </c:barChart>
      <c:lineChart>
        <c:grouping val="standard"/>
        <c:varyColors val="0"/>
        <c:ser>
          <c:idx val="2"/>
          <c:order val="2"/>
          <c:tx>
            <c:v> % Compensation </c:v>
          </c:tx>
          <c:spPr>
            <a:ln w="28575" cap="rnd">
              <a:solidFill>
                <a:srgbClr val="F2D200"/>
              </a:solidFill>
              <a:round/>
            </a:ln>
            <a:effectLst/>
          </c:spPr>
          <c:marker>
            <c:symbol val="none"/>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0.5369660704581749</c:v>
              </c:pt>
              <c:pt idx="1">
                <c:v>0.94891292706436758</c:v>
              </c:pt>
              <c:pt idx="2">
                <c:v>0.87395336885039676</c:v>
              </c:pt>
              <c:pt idx="3">
                <c:v>0.45625256439041584</c:v>
              </c:pt>
              <c:pt idx="4">
                <c:v>0.14775914908907659</c:v>
              </c:pt>
              <c:pt idx="5">
                <c:v>0.86813374403675658</c:v>
              </c:pt>
              <c:pt idx="6">
                <c:v>0.58485653526837833</c:v>
              </c:pt>
              <c:pt idx="7">
                <c:v>0</c:v>
              </c:pt>
            </c:numLit>
          </c:val>
          <c:smooth val="0"/>
          <c:extLst>
            <c:ext xmlns:c16="http://schemas.microsoft.com/office/drawing/2014/chart" uri="{C3380CC4-5D6E-409C-BE32-E72D297353CC}">
              <c16:uniqueId val="{00000002-4413-4112-808B-30E63CFB1747}"/>
            </c:ext>
          </c:extLst>
        </c:ser>
        <c:dLbls>
          <c:showLegendKey val="0"/>
          <c:showVal val="0"/>
          <c:showCatName val="0"/>
          <c:showSerName val="0"/>
          <c:showPercent val="0"/>
          <c:showBubbleSize val="0"/>
        </c:dLbls>
        <c:marker val="1"/>
        <c:smooth val="0"/>
        <c:axId val="286701920"/>
        <c:axId val="286705760"/>
      </c:lineChart>
      <c:catAx>
        <c:axId val="8037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1408"/>
        <c:crosses val="autoZero"/>
        <c:auto val="1"/>
        <c:lblAlgn val="ctr"/>
        <c:lblOffset val="100"/>
        <c:noMultiLvlLbl val="0"/>
      </c:catAx>
      <c:valAx>
        <c:axId val="8037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9968"/>
        <c:crosses val="autoZero"/>
        <c:crossBetween val="between"/>
      </c:valAx>
      <c:valAx>
        <c:axId val="286705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01920"/>
        <c:crosses val="max"/>
        <c:crossBetween val="between"/>
      </c:valAx>
      <c:catAx>
        <c:axId val="286701920"/>
        <c:scaling>
          <c:orientation val="minMax"/>
        </c:scaling>
        <c:delete val="1"/>
        <c:axPos val="b"/>
        <c:numFmt formatCode="General" sourceLinked="1"/>
        <c:majorTickMark val="out"/>
        <c:minorTickMark val="none"/>
        <c:tickLblPos val="nextTo"/>
        <c:crossAx val="286705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Compensation Type USD </a:t>
            </a:r>
          </a:p>
        </c:rich>
      </c:tx>
      <c:layout>
        <c:manualLayout>
          <c:xMode val="edge"/>
          <c:yMode val="edge"/>
          <c:x val="0.33677494199535968"/>
          <c:y val="3.0927835051546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CCB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F4D1F"/>
          </a:solidFill>
          <a:ln w="19050">
            <a:solidFill>
              <a:schemeClr val="lt1"/>
            </a:solidFill>
          </a:ln>
          <a:effectLst/>
        </c:spPr>
      </c:pivotFmt>
      <c:pivotFmt>
        <c:idx val="14"/>
        <c:spPr>
          <a:solidFill>
            <a:srgbClr val="8CCB00"/>
          </a:solidFill>
          <a:ln w="19050">
            <a:solidFill>
              <a:schemeClr val="lt1"/>
            </a:solidFill>
          </a:ln>
          <a:effectLst/>
        </c:spPr>
        <c:dLbl>
          <c:idx val="0"/>
          <c:layout>
            <c:manualLayout>
              <c:x val="9.7906614412924406E-2"/>
              <c:y val="6.416685717194223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8CCB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rgbClr val="2F7D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2"/>
        <c:spPr>
          <a:solidFill>
            <a:srgbClr val="8CCB00"/>
          </a:solidFill>
          <a:ln w="19050">
            <a:solidFill>
              <a:schemeClr val="lt1"/>
            </a:solidFill>
          </a:ln>
          <a:effectLst/>
        </c:spPr>
      </c:pivotFmt>
      <c:pivotFmt>
        <c:idx val="23"/>
        <c:spPr>
          <a:solidFill>
            <a:schemeClr val="bg1">
              <a:lumMod val="85000"/>
            </a:schemeClr>
          </a:solidFill>
          <a:ln w="19050">
            <a:solidFill>
              <a:schemeClr val="lt1"/>
            </a:solidFill>
          </a:ln>
          <a:effectLst/>
        </c:spPr>
      </c:pivotFmt>
      <c:pivotFmt>
        <c:idx val="24"/>
        <c:spPr>
          <a:solidFill>
            <a:schemeClr val="accent2"/>
          </a:solidFill>
          <a:ln w="19050">
            <a:solidFill>
              <a:schemeClr val="lt1"/>
            </a:solidFill>
          </a:ln>
          <a:effectLst/>
        </c:spPr>
      </c:pivotFmt>
    </c:pivotFmts>
    <c:plotArea>
      <c:layout/>
      <c:doughnutChart>
        <c:varyColors val="1"/>
        <c:ser>
          <c:idx val="0"/>
          <c:order val="0"/>
          <c:tx>
            <c:v>Total</c:v>
          </c:tx>
          <c:spPr>
            <a:solidFill>
              <a:srgbClr val="2F7D32"/>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5C0D-4DAC-BF1B-1F95A65A5B86}"/>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C0D-4DAC-BF1B-1F95A65A5B86}"/>
              </c:ext>
            </c:extLst>
          </c:dPt>
          <c:dPt>
            <c:idx val="2"/>
            <c:bubble3D val="0"/>
            <c:spPr>
              <a:solidFill>
                <a:srgbClr val="8CCB00"/>
              </a:solidFill>
              <a:ln w="19050">
                <a:solidFill>
                  <a:schemeClr val="lt1"/>
                </a:solidFill>
              </a:ln>
              <a:effectLst/>
            </c:spPr>
            <c:extLst>
              <c:ext xmlns:c16="http://schemas.microsoft.com/office/drawing/2014/chart" uri="{C3380CC4-5D6E-409C-BE32-E72D297353CC}">
                <c16:uniqueId val="{00000005-5C0D-4DAC-BF1B-1F95A65A5B8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6-4F1D-44BE-9CE5-9ACAEB11928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Insurance compensation</c:v>
              </c:pt>
              <c:pt idx="1">
                <c:v>No cargo damage</c:v>
              </c:pt>
              <c:pt idx="2">
                <c:v>Transportation compensation</c:v>
              </c:pt>
              <c:pt idx="3">
                <c:v>Police Reclaimed Goods</c:v>
              </c:pt>
            </c:strLit>
          </c:cat>
          <c:val>
            <c:numLit>
              <c:formatCode>General</c:formatCode>
              <c:ptCount val="4"/>
              <c:pt idx="0">
                <c:v>770866.39174876083</c:v>
              </c:pt>
              <c:pt idx="1">
                <c:v>0</c:v>
              </c:pt>
              <c:pt idx="2">
                <c:v>181305.09673853562</c:v>
              </c:pt>
              <c:pt idx="3">
                <c:v>784</c:v>
              </c:pt>
            </c:numLit>
          </c:val>
          <c:extLst>
            <c:ext xmlns:c16="http://schemas.microsoft.com/office/drawing/2014/chart" uri="{C3380CC4-5D6E-409C-BE32-E72D297353CC}">
              <c16:uniqueId val="{00000006-5C0D-4DAC-BF1B-1F95A65A5B8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833640864497499"/>
          <c:y val="0.31694942771328843"/>
          <c:w val="0.33774247766592985"/>
          <c:h val="0.4935579186622290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image" Target="../media/image17.jpg"/><Relationship Id="rId3" Type="http://schemas.openxmlformats.org/officeDocument/2006/relationships/chart" Target="../charts/chart4.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 Type="http://schemas.openxmlformats.org/officeDocument/2006/relationships/chart" Target="../charts/chart3.xml"/><Relationship Id="rId16" Type="http://schemas.openxmlformats.org/officeDocument/2006/relationships/image" Target="../media/image15.png"/><Relationship Id="rId1" Type="http://schemas.openxmlformats.org/officeDocument/2006/relationships/chart" Target="../charts/chart2.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chart" Target="../charts/chart6.xml"/><Relationship Id="rId15" Type="http://schemas.openxmlformats.org/officeDocument/2006/relationships/image" Target="../media/image14.svg"/><Relationship Id="rId10" Type="http://schemas.openxmlformats.org/officeDocument/2006/relationships/image" Target="../media/image9.png"/><Relationship Id="rId19" Type="http://schemas.openxmlformats.org/officeDocument/2006/relationships/chart" Target="../charts/chart7.xml"/><Relationship Id="rId4" Type="http://schemas.openxmlformats.org/officeDocument/2006/relationships/chart" Target="../charts/chart5.xml"/><Relationship Id="rId9" Type="http://schemas.openxmlformats.org/officeDocument/2006/relationships/image" Target="../media/image8.svg"/><Relationship Id="rId1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image" Target="../media/image28.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chart" Target="../charts/chart13.xml"/><Relationship Id="rId16" Type="http://schemas.openxmlformats.org/officeDocument/2006/relationships/image" Target="../media/image31.svg"/><Relationship Id="rId1" Type="http://schemas.openxmlformats.org/officeDocument/2006/relationships/chart" Target="../charts/chart12.xml"/><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 Id="rId14" Type="http://schemas.openxmlformats.org/officeDocument/2006/relationships/image" Target="../media/image29.svg"/></Relationships>
</file>

<file path=xl/drawings/drawing1.xml><?xml version="1.0" encoding="utf-8"?>
<xdr:wsDr xmlns:xdr="http://schemas.openxmlformats.org/drawingml/2006/spreadsheetDrawing" xmlns:a="http://schemas.openxmlformats.org/drawingml/2006/main">
  <xdr:twoCellAnchor editAs="oneCell">
    <xdr:from>
      <xdr:col>0</xdr:col>
      <xdr:colOff>464820</xdr:colOff>
      <xdr:row>0</xdr:row>
      <xdr:rowOff>60961</xdr:rowOff>
    </xdr:from>
    <xdr:to>
      <xdr:col>11</xdr:col>
      <xdr:colOff>431464</xdr:colOff>
      <xdr:row>22</xdr:row>
      <xdr:rowOff>76201</xdr:rowOff>
    </xdr:to>
    <xdr:pic>
      <xdr:nvPicPr>
        <xdr:cNvPr id="2" name="Picture 1">
          <a:extLst>
            <a:ext uri="{FF2B5EF4-FFF2-40B4-BE49-F238E27FC236}">
              <a16:creationId xmlns:a16="http://schemas.microsoft.com/office/drawing/2014/main" id="{58A49E2B-78A0-AF64-8C1C-9F7265D0042D}"/>
            </a:ext>
          </a:extLst>
        </xdr:cNvPr>
        <xdr:cNvPicPr>
          <a:picLocks noChangeAspect="1"/>
        </xdr:cNvPicPr>
      </xdr:nvPicPr>
      <xdr:blipFill>
        <a:blip xmlns:r="http://schemas.openxmlformats.org/officeDocument/2006/relationships" r:embed="rId1"/>
        <a:stretch>
          <a:fillRect/>
        </a:stretch>
      </xdr:blipFill>
      <xdr:spPr>
        <a:xfrm>
          <a:off x="464820" y="60961"/>
          <a:ext cx="6672244" cy="403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0</xdr:row>
      <xdr:rowOff>160020</xdr:rowOff>
    </xdr:from>
    <xdr:to>
      <xdr:col>2</xdr:col>
      <xdr:colOff>263095</xdr:colOff>
      <xdr:row>6</xdr:row>
      <xdr:rowOff>5847</xdr:rowOff>
    </xdr:to>
    <xdr:pic>
      <xdr:nvPicPr>
        <xdr:cNvPr id="2" name="Picture 1">
          <a:extLst>
            <a:ext uri="{FF2B5EF4-FFF2-40B4-BE49-F238E27FC236}">
              <a16:creationId xmlns:a16="http://schemas.microsoft.com/office/drawing/2014/main" id="{AC1C80D9-7793-7BAD-29C5-79119BECAD83}"/>
            </a:ext>
          </a:extLst>
        </xdr:cNvPr>
        <xdr:cNvPicPr>
          <a:picLocks noChangeAspect="1"/>
        </xdr:cNvPicPr>
      </xdr:nvPicPr>
      <xdr:blipFill>
        <a:blip xmlns:r="http://schemas.openxmlformats.org/officeDocument/2006/relationships" r:embed="rId1"/>
        <a:stretch>
          <a:fillRect/>
        </a:stretch>
      </xdr:blipFill>
      <xdr:spPr>
        <a:xfrm>
          <a:off x="15240" y="160020"/>
          <a:ext cx="1467055" cy="943107"/>
        </a:xfrm>
        <a:prstGeom prst="rect">
          <a:avLst/>
        </a:prstGeom>
      </xdr:spPr>
    </xdr:pic>
    <xdr:clientData/>
  </xdr:twoCellAnchor>
  <xdr:twoCellAnchor editAs="oneCell">
    <xdr:from>
      <xdr:col>0</xdr:col>
      <xdr:colOff>0</xdr:colOff>
      <xdr:row>10</xdr:row>
      <xdr:rowOff>0</xdr:rowOff>
    </xdr:from>
    <xdr:to>
      <xdr:col>9</xdr:col>
      <xdr:colOff>76200</xdr:colOff>
      <xdr:row>19</xdr:row>
      <xdr:rowOff>154556</xdr:rowOff>
    </xdr:to>
    <xdr:pic>
      <xdr:nvPicPr>
        <xdr:cNvPr id="3" name="Picture 2">
          <a:extLst>
            <a:ext uri="{FF2B5EF4-FFF2-40B4-BE49-F238E27FC236}">
              <a16:creationId xmlns:a16="http://schemas.microsoft.com/office/drawing/2014/main" id="{10942F54-0502-CB8E-6CC3-A53E23ECEEA3}"/>
            </a:ext>
          </a:extLst>
        </xdr:cNvPr>
        <xdr:cNvPicPr>
          <a:picLocks noChangeAspect="1"/>
        </xdr:cNvPicPr>
      </xdr:nvPicPr>
      <xdr:blipFill>
        <a:blip xmlns:r="http://schemas.openxmlformats.org/officeDocument/2006/relationships" r:embed="rId2"/>
        <a:stretch>
          <a:fillRect/>
        </a:stretch>
      </xdr:blipFill>
      <xdr:spPr>
        <a:xfrm>
          <a:off x="0" y="1828800"/>
          <a:ext cx="5562600" cy="1800476"/>
        </a:xfrm>
        <a:prstGeom prst="rect">
          <a:avLst/>
        </a:prstGeom>
      </xdr:spPr>
    </xdr:pic>
    <xdr:clientData/>
  </xdr:twoCellAnchor>
  <xdr:twoCellAnchor editAs="oneCell">
    <xdr:from>
      <xdr:col>4</xdr:col>
      <xdr:colOff>175260</xdr:colOff>
      <xdr:row>0</xdr:row>
      <xdr:rowOff>0</xdr:rowOff>
    </xdr:from>
    <xdr:to>
      <xdr:col>7</xdr:col>
      <xdr:colOff>108831</xdr:colOff>
      <xdr:row>8</xdr:row>
      <xdr:rowOff>175489</xdr:rowOff>
    </xdr:to>
    <xdr:pic>
      <xdr:nvPicPr>
        <xdr:cNvPr id="5" name="Picture 4">
          <a:extLst>
            <a:ext uri="{FF2B5EF4-FFF2-40B4-BE49-F238E27FC236}">
              <a16:creationId xmlns:a16="http://schemas.microsoft.com/office/drawing/2014/main" id="{EEE91032-6E01-5072-5679-C81C6B6CF9E9}"/>
            </a:ext>
          </a:extLst>
        </xdr:cNvPr>
        <xdr:cNvPicPr>
          <a:picLocks noChangeAspect="1"/>
        </xdr:cNvPicPr>
      </xdr:nvPicPr>
      <xdr:blipFill>
        <a:blip xmlns:r="http://schemas.openxmlformats.org/officeDocument/2006/relationships" r:embed="rId3"/>
        <a:stretch>
          <a:fillRect/>
        </a:stretch>
      </xdr:blipFill>
      <xdr:spPr>
        <a:xfrm>
          <a:off x="2613660" y="0"/>
          <a:ext cx="1762371" cy="1638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37</xdr:row>
      <xdr:rowOff>0</xdr:rowOff>
    </xdr:from>
    <xdr:to>
      <xdr:col>6</xdr:col>
      <xdr:colOff>68580</xdr:colOff>
      <xdr:row>49</xdr:row>
      <xdr:rowOff>53340</xdr:rowOff>
    </xdr:to>
    <xdr:graphicFrame macro="">
      <xdr:nvGraphicFramePr>
        <xdr:cNvPr id="4" name="Chart 3">
          <a:extLst>
            <a:ext uri="{FF2B5EF4-FFF2-40B4-BE49-F238E27FC236}">
              <a16:creationId xmlns:a16="http://schemas.microsoft.com/office/drawing/2014/main" id="{872D81F8-57B8-401C-A07C-8BC40853C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93981</xdr:colOff>
      <xdr:row>2</xdr:row>
      <xdr:rowOff>108373</xdr:rowOff>
    </xdr:from>
    <xdr:to>
      <xdr:col>1</xdr:col>
      <xdr:colOff>1152314</xdr:colOff>
      <xdr:row>6</xdr:row>
      <xdr:rowOff>118533</xdr:rowOff>
    </xdr:to>
    <mc:AlternateContent xmlns:mc="http://schemas.openxmlformats.org/markup-compatibility/2006" xmlns:a14="http://schemas.microsoft.com/office/drawing/2010/main">
      <mc:Choice Requires="a14">
        <xdr:graphicFrame macro="">
          <xdr:nvGraphicFramePr>
            <xdr:cNvPr id="3" name="Period Type 5">
              <a:extLst>
                <a:ext uri="{FF2B5EF4-FFF2-40B4-BE49-F238E27FC236}">
                  <a16:creationId xmlns:a16="http://schemas.microsoft.com/office/drawing/2014/main" id="{6F0D5DB7-4D10-26B5-915F-E4FF7D894132}"/>
                </a:ext>
              </a:extLst>
            </xdr:cNvPr>
            <xdr:cNvGraphicFramePr/>
          </xdr:nvGraphicFramePr>
          <xdr:xfrm>
            <a:off x="0" y="0"/>
            <a:ext cx="0" cy="0"/>
          </xdr:xfrm>
          <a:graphic>
            <a:graphicData uri="http://schemas.microsoft.com/office/drawing/2010/slicer">
              <sle:slicer xmlns:sle="http://schemas.microsoft.com/office/drawing/2010/slicer" name="Period Type 5"/>
            </a:graphicData>
          </a:graphic>
        </xdr:graphicFrame>
      </mc:Choice>
      <mc:Fallback xmlns="">
        <xdr:sp macro="" textlink="">
          <xdr:nvSpPr>
            <xdr:cNvPr id="0" name=""/>
            <xdr:cNvSpPr>
              <a:spLocks noTextEdit="1"/>
            </xdr:cNvSpPr>
          </xdr:nvSpPr>
          <xdr:spPr>
            <a:xfrm>
              <a:off x="93981" y="540173"/>
              <a:ext cx="1828800" cy="78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43181</xdr:colOff>
      <xdr:row>2</xdr:row>
      <xdr:rowOff>108374</xdr:rowOff>
    </xdr:from>
    <xdr:to>
      <xdr:col>3</xdr:col>
      <xdr:colOff>762847</xdr:colOff>
      <xdr:row>6</xdr:row>
      <xdr:rowOff>76200</xdr:rowOff>
    </xdr:to>
    <mc:AlternateContent xmlns:mc="http://schemas.openxmlformats.org/markup-compatibility/2006" xmlns:a14="http://schemas.microsoft.com/office/drawing/2010/main">
      <mc:Choice Requires="a14">
        <xdr:graphicFrame macro="">
          <xdr:nvGraphicFramePr>
            <xdr:cNvPr id="7" name="Type 5">
              <a:extLst>
                <a:ext uri="{FF2B5EF4-FFF2-40B4-BE49-F238E27FC236}">
                  <a16:creationId xmlns:a16="http://schemas.microsoft.com/office/drawing/2014/main" id="{870CE995-BCFE-7EA7-88B1-559E7342B6F0}"/>
                </a:ext>
              </a:extLst>
            </xdr:cNvPr>
            <xdr:cNvGraphicFramePr/>
          </xdr:nvGraphicFramePr>
          <xdr:xfrm>
            <a:off x="0" y="0"/>
            <a:ext cx="0" cy="0"/>
          </xdr:xfrm>
          <a:graphic>
            <a:graphicData uri="http://schemas.microsoft.com/office/drawing/2010/slicer">
              <sle:slicer xmlns:sle="http://schemas.microsoft.com/office/drawing/2010/slicer" name="Type 5"/>
            </a:graphicData>
          </a:graphic>
        </xdr:graphicFrame>
      </mc:Choice>
      <mc:Fallback xmlns="">
        <xdr:sp macro="" textlink="">
          <xdr:nvSpPr>
            <xdr:cNvPr id="0" name=""/>
            <xdr:cNvSpPr>
              <a:spLocks noTextEdit="1"/>
            </xdr:cNvSpPr>
          </xdr:nvSpPr>
          <xdr:spPr>
            <a:xfrm>
              <a:off x="2320714" y="540174"/>
              <a:ext cx="1828800" cy="738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1160780</xdr:colOff>
      <xdr:row>2</xdr:row>
      <xdr:rowOff>74508</xdr:rowOff>
    </xdr:from>
    <xdr:to>
      <xdr:col>5</xdr:col>
      <xdr:colOff>314114</xdr:colOff>
      <xdr:row>6</xdr:row>
      <xdr:rowOff>33866</xdr:rowOff>
    </xdr:to>
    <mc:AlternateContent xmlns:mc="http://schemas.openxmlformats.org/markup-compatibility/2006" xmlns:a14="http://schemas.microsoft.com/office/drawing/2010/main">
      <mc:Choice Requires="a14">
        <xdr:graphicFrame macro="">
          <xdr:nvGraphicFramePr>
            <xdr:cNvPr id="8" name="Status 5">
              <a:extLst>
                <a:ext uri="{FF2B5EF4-FFF2-40B4-BE49-F238E27FC236}">
                  <a16:creationId xmlns:a16="http://schemas.microsoft.com/office/drawing/2014/main" id="{63F10B5B-1A85-40F5-96AC-92E875156183}"/>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4547447" y="506308"/>
              <a:ext cx="1828800" cy="72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1574800</xdr:colOff>
      <xdr:row>17</xdr:row>
      <xdr:rowOff>57150</xdr:rowOff>
    </xdr:from>
    <xdr:to>
      <xdr:col>24</xdr:col>
      <xdr:colOff>0</xdr:colOff>
      <xdr:row>40</xdr:row>
      <xdr:rowOff>0</xdr:rowOff>
    </xdr:to>
    <xdr:sp macro="" textlink="">
      <xdr:nvSpPr>
        <xdr:cNvPr id="2" name="Rectangle 1">
          <a:extLst>
            <a:ext uri="{FF2B5EF4-FFF2-40B4-BE49-F238E27FC236}">
              <a16:creationId xmlns:a16="http://schemas.microsoft.com/office/drawing/2014/main" id="{210B6899-9E69-4696-9658-E55642946ECC}"/>
            </a:ext>
          </a:extLst>
        </xdr:cNvPr>
        <xdr:cNvSpPr/>
      </xdr:nvSpPr>
      <xdr:spPr>
        <a:xfrm>
          <a:off x="17119600" y="3079750"/>
          <a:ext cx="11379200" cy="40322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0</xdr:col>
      <xdr:colOff>0</xdr:colOff>
      <xdr:row>0</xdr:row>
      <xdr:rowOff>0</xdr:rowOff>
    </xdr:from>
    <xdr:to>
      <xdr:col>1</xdr:col>
      <xdr:colOff>1625600</xdr:colOff>
      <xdr:row>93</xdr:row>
      <xdr:rowOff>19050</xdr:rowOff>
    </xdr:to>
    <xdr:sp macro="" textlink="">
      <xdr:nvSpPr>
        <xdr:cNvPr id="3" name="Rectangle 2">
          <a:extLst>
            <a:ext uri="{FF2B5EF4-FFF2-40B4-BE49-F238E27FC236}">
              <a16:creationId xmlns:a16="http://schemas.microsoft.com/office/drawing/2014/main" id="{9847F809-2DF6-46F6-B743-AE72A3910F9A}"/>
            </a:ext>
          </a:extLst>
        </xdr:cNvPr>
        <xdr:cNvSpPr/>
      </xdr:nvSpPr>
      <xdr:spPr>
        <a:xfrm>
          <a:off x="0" y="0"/>
          <a:ext cx="2875280" cy="18291810"/>
        </a:xfrm>
        <a:prstGeom prst="rect">
          <a:avLst/>
        </a:prstGeom>
        <a:solidFill>
          <a:srgbClr val="0F4D1F"/>
        </a:solid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1727200</xdr:colOff>
      <xdr:row>1</xdr:row>
      <xdr:rowOff>44450</xdr:rowOff>
    </xdr:from>
    <xdr:to>
      <xdr:col>24</xdr:col>
      <xdr:colOff>25400</xdr:colOff>
      <xdr:row>16</xdr:row>
      <xdr:rowOff>127000</xdr:rowOff>
    </xdr:to>
    <xdr:sp macro="" textlink="">
      <xdr:nvSpPr>
        <xdr:cNvPr id="4" name="Rectangle 3">
          <a:extLst>
            <a:ext uri="{FF2B5EF4-FFF2-40B4-BE49-F238E27FC236}">
              <a16:creationId xmlns:a16="http://schemas.microsoft.com/office/drawing/2014/main" id="{D6D10389-1A31-431B-9D3F-ECDF7F83E5AB}"/>
            </a:ext>
          </a:extLst>
        </xdr:cNvPr>
        <xdr:cNvSpPr/>
      </xdr:nvSpPr>
      <xdr:spPr>
        <a:xfrm>
          <a:off x="2971800" y="222250"/>
          <a:ext cx="25552400" cy="27495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1740806</xdr:colOff>
      <xdr:row>17</xdr:row>
      <xdr:rowOff>0</xdr:rowOff>
    </xdr:from>
    <xdr:to>
      <xdr:col>6</xdr:col>
      <xdr:colOff>812800</xdr:colOff>
      <xdr:row>40</xdr:row>
      <xdr:rowOff>57150</xdr:rowOff>
    </xdr:to>
    <xdr:sp macro="" textlink="">
      <xdr:nvSpPr>
        <xdr:cNvPr id="7" name="Rectangle 6">
          <a:extLst>
            <a:ext uri="{FF2B5EF4-FFF2-40B4-BE49-F238E27FC236}">
              <a16:creationId xmlns:a16="http://schemas.microsoft.com/office/drawing/2014/main" id="{160077C4-BEB2-4CFA-83E2-D33BBEF21027}"/>
            </a:ext>
          </a:extLst>
        </xdr:cNvPr>
        <xdr:cNvSpPr>
          <a:spLocks/>
        </xdr:cNvSpPr>
      </xdr:nvSpPr>
      <xdr:spPr>
        <a:xfrm>
          <a:off x="2985406" y="3022600"/>
          <a:ext cx="12025994" cy="41465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7</xdr:col>
      <xdr:colOff>304800</xdr:colOff>
      <xdr:row>72</xdr:row>
      <xdr:rowOff>68218</xdr:rowOff>
    </xdr:from>
    <xdr:to>
      <xdr:col>24</xdr:col>
      <xdr:colOff>254000</xdr:colOff>
      <xdr:row>96</xdr:row>
      <xdr:rowOff>25400</xdr:rowOff>
    </xdr:to>
    <xdr:sp macro="" textlink="">
      <xdr:nvSpPr>
        <xdr:cNvPr id="8" name="Rectangle 7">
          <a:extLst>
            <a:ext uri="{FF2B5EF4-FFF2-40B4-BE49-F238E27FC236}">
              <a16:creationId xmlns:a16="http://schemas.microsoft.com/office/drawing/2014/main" id="{BB3E3AE4-2669-4BE6-AAA4-23D92AB9CAF2}"/>
            </a:ext>
          </a:extLst>
        </xdr:cNvPr>
        <xdr:cNvSpPr/>
      </xdr:nvSpPr>
      <xdr:spPr>
        <a:xfrm>
          <a:off x="20243800" y="12869818"/>
          <a:ext cx="10312400" cy="5799182"/>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28</xdr:col>
      <xdr:colOff>264886</xdr:colOff>
      <xdr:row>75</xdr:row>
      <xdr:rowOff>50800</xdr:rowOff>
    </xdr:from>
    <xdr:to>
      <xdr:col>44</xdr:col>
      <xdr:colOff>254000</xdr:colOff>
      <xdr:row>87</xdr:row>
      <xdr:rowOff>40640</xdr:rowOff>
    </xdr:to>
    <xdr:graphicFrame macro="">
      <xdr:nvGraphicFramePr>
        <xdr:cNvPr id="9" name="Chart 8">
          <a:extLst>
            <a:ext uri="{FF2B5EF4-FFF2-40B4-BE49-F238E27FC236}">
              <a16:creationId xmlns:a16="http://schemas.microsoft.com/office/drawing/2014/main" id="{C67B515A-DA3B-4995-A573-42562CFF2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590550</xdr:colOff>
      <xdr:row>21</xdr:row>
      <xdr:rowOff>12700</xdr:rowOff>
    </xdr:from>
    <xdr:to>
      <xdr:col>37</xdr:col>
      <xdr:colOff>114300</xdr:colOff>
      <xdr:row>73</xdr:row>
      <xdr:rowOff>12700</xdr:rowOff>
    </xdr:to>
    <xdr:graphicFrame macro="">
      <xdr:nvGraphicFramePr>
        <xdr:cNvPr id="13" name="Chart 12">
          <a:extLst>
            <a:ext uri="{FF2B5EF4-FFF2-40B4-BE49-F238E27FC236}">
              <a16:creationId xmlns:a16="http://schemas.microsoft.com/office/drawing/2014/main" id="{294CF4F4-BA54-4FD3-B90C-2CF80E7EC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234400</xdr:colOff>
      <xdr:row>9</xdr:row>
      <xdr:rowOff>25117</xdr:rowOff>
    </xdr:from>
    <xdr:to>
      <xdr:col>50</xdr:col>
      <xdr:colOff>290954</xdr:colOff>
      <xdr:row>9</xdr:row>
      <xdr:rowOff>84200</xdr:rowOff>
    </xdr:to>
    <xdr:sp macro="" textlink="">
      <xdr:nvSpPr>
        <xdr:cNvPr id="102" name="Freeform: Shape 101">
          <a:extLst>
            <a:ext uri="{FF2B5EF4-FFF2-40B4-BE49-F238E27FC236}">
              <a16:creationId xmlns:a16="http://schemas.microsoft.com/office/drawing/2014/main" id="{BF80BBAF-C40C-8D0C-4CD4-5AD214D0D516}"/>
            </a:ext>
          </a:extLst>
        </xdr:cNvPr>
        <xdr:cNvSpPr/>
      </xdr:nvSpPr>
      <xdr:spPr>
        <a:xfrm>
          <a:off x="33648100" y="1739617"/>
          <a:ext cx="56554" cy="59083"/>
        </a:xfrm>
        <a:custGeom>
          <a:avLst/>
          <a:gdLst>
            <a:gd name="csX0" fmla="*/ 28277 w 56554"/>
            <a:gd name="csY0" fmla="*/ 59083 h 59083"/>
            <a:gd name="csX1" fmla="*/ 56554 w 56554"/>
            <a:gd name="csY1" fmla="*/ 29542 h 59083"/>
            <a:gd name="csX2" fmla="*/ 28277 w 56554"/>
            <a:gd name="csY2" fmla="*/ 0 h 59083"/>
            <a:gd name="csX3" fmla="*/ 0 w 56554"/>
            <a:gd name="csY3" fmla="*/ 29542 h 59083"/>
            <a:gd name="csX4" fmla="*/ 28277 w 56554"/>
            <a:gd name="csY4" fmla="*/ 59083 h 59083"/>
          </a:gdLst>
          <a:ahLst/>
          <a:cxnLst>
            <a:cxn ang="0">
              <a:pos x="csX0" y="csY0"/>
            </a:cxn>
            <a:cxn ang="0">
              <a:pos x="csX1" y="csY1"/>
            </a:cxn>
            <a:cxn ang="0">
              <a:pos x="csX2" y="csY2"/>
            </a:cxn>
            <a:cxn ang="0">
              <a:pos x="csX3" y="csY3"/>
            </a:cxn>
            <a:cxn ang="0">
              <a:pos x="csX4" y="csY4"/>
            </a:cxn>
          </a:cxnLst>
          <a:rect l="l" t="t" r="r" b="b"/>
          <a:pathLst>
            <a:path w="56554" h="59083">
              <a:moveTo>
                <a:pt x="28277" y="59083"/>
              </a:moveTo>
              <a:cubicBezTo>
                <a:pt x="43894" y="59083"/>
                <a:pt x="56554" y="45857"/>
                <a:pt x="56554" y="29542"/>
              </a:cubicBezTo>
              <a:cubicBezTo>
                <a:pt x="56554" y="13227"/>
                <a:pt x="43894" y="0"/>
                <a:pt x="28277" y="0"/>
              </a:cubicBezTo>
              <a:cubicBezTo>
                <a:pt x="12661" y="0"/>
                <a:pt x="0" y="13227"/>
                <a:pt x="0" y="29542"/>
              </a:cubicBezTo>
              <a:cubicBezTo>
                <a:pt x="19" y="45850"/>
                <a:pt x="12667" y="59064"/>
                <a:pt x="28277" y="59083"/>
              </a:cubicBezTo>
              <a:close/>
            </a:path>
          </a:pathLst>
        </a:custGeom>
        <a:solidFill>
          <a:srgbClr val="0F4D1F"/>
        </a:solidFill>
        <a:ln w="11113" cap="flat">
          <a:noFill/>
          <a:prstDash val="solid"/>
          <a:miter/>
        </a:ln>
      </xdr:spPr>
    </xdr:sp>
    <xdr:clientData/>
  </xdr:twoCellAnchor>
  <xdr:twoCellAnchor>
    <xdr:from>
      <xdr:col>50</xdr:col>
      <xdr:colOff>389952</xdr:colOff>
      <xdr:row>9</xdr:row>
      <xdr:rowOff>187625</xdr:rowOff>
    </xdr:from>
    <xdr:to>
      <xdr:col>50</xdr:col>
      <xdr:colOff>446506</xdr:colOff>
      <xdr:row>10</xdr:row>
      <xdr:rowOff>56208</xdr:rowOff>
    </xdr:to>
    <xdr:sp macro="" textlink="">
      <xdr:nvSpPr>
        <xdr:cNvPr id="103" name="Freeform: Shape 102">
          <a:extLst>
            <a:ext uri="{FF2B5EF4-FFF2-40B4-BE49-F238E27FC236}">
              <a16:creationId xmlns:a16="http://schemas.microsoft.com/office/drawing/2014/main" id="{17B2FD8B-F4C6-96EC-3F55-D119C842A02F}"/>
            </a:ext>
          </a:extLst>
        </xdr:cNvPr>
        <xdr:cNvSpPr/>
      </xdr:nvSpPr>
      <xdr:spPr>
        <a:xfrm>
          <a:off x="33803652" y="1902125"/>
          <a:ext cx="56554" cy="59083"/>
        </a:xfrm>
        <a:custGeom>
          <a:avLst/>
          <a:gdLst>
            <a:gd name="csX0" fmla="*/ 28277 w 56554"/>
            <a:gd name="csY0" fmla="*/ 0 h 59083"/>
            <a:gd name="csX1" fmla="*/ 0 w 56554"/>
            <a:gd name="csY1" fmla="*/ 29542 h 59083"/>
            <a:gd name="csX2" fmla="*/ 28277 w 56554"/>
            <a:gd name="csY2" fmla="*/ 59083 h 59083"/>
            <a:gd name="csX3" fmla="*/ 56554 w 56554"/>
            <a:gd name="csY3" fmla="*/ 29542 h 59083"/>
            <a:gd name="csX4" fmla="*/ 28277 w 56554"/>
            <a:gd name="csY4" fmla="*/ 0 h 59083"/>
          </a:gdLst>
          <a:ahLst/>
          <a:cxnLst>
            <a:cxn ang="0">
              <a:pos x="csX0" y="csY0"/>
            </a:cxn>
            <a:cxn ang="0">
              <a:pos x="csX1" y="csY1"/>
            </a:cxn>
            <a:cxn ang="0">
              <a:pos x="csX2" y="csY2"/>
            </a:cxn>
            <a:cxn ang="0">
              <a:pos x="csX3" y="csY3"/>
            </a:cxn>
            <a:cxn ang="0">
              <a:pos x="csX4" y="csY4"/>
            </a:cxn>
          </a:cxnLst>
          <a:rect l="l" t="t" r="r" b="b"/>
          <a:pathLst>
            <a:path w="56554" h="59083">
              <a:moveTo>
                <a:pt x="28277" y="0"/>
              </a:moveTo>
              <a:cubicBezTo>
                <a:pt x="12661" y="0"/>
                <a:pt x="0" y="13227"/>
                <a:pt x="0" y="29542"/>
              </a:cubicBezTo>
              <a:cubicBezTo>
                <a:pt x="0" y="45857"/>
                <a:pt x="12661" y="59083"/>
                <a:pt x="28277" y="59083"/>
              </a:cubicBezTo>
              <a:cubicBezTo>
                <a:pt x="43894" y="59083"/>
                <a:pt x="56554" y="45857"/>
                <a:pt x="56554" y="29542"/>
              </a:cubicBezTo>
              <a:cubicBezTo>
                <a:pt x="56535" y="13234"/>
                <a:pt x="43887" y="19"/>
                <a:pt x="28277" y="0"/>
              </a:cubicBezTo>
              <a:close/>
            </a:path>
          </a:pathLst>
        </a:custGeom>
        <a:solidFill>
          <a:srgbClr val="0F4D1F"/>
        </a:solidFill>
        <a:ln w="11113" cap="flat">
          <a:noFill/>
          <a:prstDash val="solid"/>
          <a:miter/>
        </a:ln>
      </xdr:spPr>
    </xdr:sp>
    <xdr:clientData/>
  </xdr:twoCellAnchor>
  <xdr:twoCellAnchor>
    <xdr:from>
      <xdr:col>14</xdr:col>
      <xdr:colOff>0</xdr:colOff>
      <xdr:row>72</xdr:row>
      <xdr:rowOff>218440</xdr:rowOff>
    </xdr:from>
    <xdr:to>
      <xdr:col>18</xdr:col>
      <xdr:colOff>416560</xdr:colOff>
      <xdr:row>76</xdr:row>
      <xdr:rowOff>213360</xdr:rowOff>
    </xdr:to>
    <xdr:sp macro="" textlink="">
      <xdr:nvSpPr>
        <xdr:cNvPr id="37" name="TextBox 36">
          <a:extLst>
            <a:ext uri="{FF2B5EF4-FFF2-40B4-BE49-F238E27FC236}">
              <a16:creationId xmlns:a16="http://schemas.microsoft.com/office/drawing/2014/main" id="{BB08C01D-5FA3-4E5B-8BE1-F828212B0929}"/>
            </a:ext>
          </a:extLst>
        </xdr:cNvPr>
        <xdr:cNvSpPr txBox="1"/>
      </xdr:nvSpPr>
      <xdr:spPr>
        <a:xfrm>
          <a:off x="18562320" y="13385800"/>
          <a:ext cx="2854960" cy="756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kern="1200">
              <a:solidFill>
                <a:srgbClr val="0F4D1F"/>
              </a:solidFill>
              <a:latin typeface="+mn-lt"/>
              <a:ea typeface="+mn-ea"/>
              <a:cs typeface="+mn-cs"/>
            </a:rPr>
            <a:t>key</a:t>
          </a:r>
          <a:r>
            <a:rPr lang="en-US" sz="2000" b="1">
              <a:solidFill>
                <a:srgbClr val="0F4D1F"/>
              </a:solidFill>
              <a:effectLst/>
              <a:latin typeface="+mn-lt"/>
              <a:ea typeface="+mn-ea"/>
              <a:cs typeface="+mn-cs"/>
            </a:rPr>
            <a:t> </a:t>
          </a:r>
          <a:r>
            <a:rPr lang="en-US" sz="3600" b="1" kern="1200">
              <a:solidFill>
                <a:srgbClr val="0F4D1F"/>
              </a:solidFill>
              <a:latin typeface="+mn-lt"/>
              <a:ea typeface="+mn-ea"/>
              <a:cs typeface="+mn-cs"/>
            </a:rPr>
            <a:t>insights</a:t>
          </a:r>
          <a:r>
            <a:rPr lang="en-US" sz="2000" b="1">
              <a:solidFill>
                <a:srgbClr val="0F4D1F"/>
              </a:solidFill>
              <a:effectLst/>
              <a:latin typeface="+mn-lt"/>
              <a:ea typeface="+mn-ea"/>
              <a:cs typeface="+mn-cs"/>
            </a:rPr>
            <a:t>      </a:t>
          </a:r>
          <a:endParaRPr lang="en-US" sz="2000" b="1">
            <a:solidFill>
              <a:srgbClr val="0F4D1F"/>
            </a:solidFill>
            <a:effectLst/>
          </a:endParaRPr>
        </a:p>
        <a:p>
          <a:endParaRPr lang="en-US" sz="1100"/>
        </a:p>
      </xdr:txBody>
    </xdr:sp>
    <xdr:clientData/>
  </xdr:twoCellAnchor>
  <xdr:twoCellAnchor>
    <xdr:from>
      <xdr:col>6</xdr:col>
      <xdr:colOff>2006600</xdr:colOff>
      <xdr:row>19</xdr:row>
      <xdr:rowOff>50800</xdr:rowOff>
    </xdr:from>
    <xdr:to>
      <xdr:col>23</xdr:col>
      <xdr:colOff>152400</xdr:colOff>
      <xdr:row>39</xdr:row>
      <xdr:rowOff>76200</xdr:rowOff>
    </xdr:to>
    <xdr:graphicFrame macro="">
      <xdr:nvGraphicFramePr>
        <xdr:cNvPr id="46" name="Chart 45">
          <a:extLst>
            <a:ext uri="{FF2B5EF4-FFF2-40B4-BE49-F238E27FC236}">
              <a16:creationId xmlns:a16="http://schemas.microsoft.com/office/drawing/2014/main" id="{D92B161E-FE3C-4CB6-8EB3-F2CAAA40E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1752600</xdr:colOff>
      <xdr:row>41</xdr:row>
      <xdr:rowOff>38100</xdr:rowOff>
    </xdr:from>
    <xdr:to>
      <xdr:col>6</xdr:col>
      <xdr:colOff>863600</xdr:colOff>
      <xdr:row>70</xdr:row>
      <xdr:rowOff>114300</xdr:rowOff>
    </xdr:to>
    <xdr:sp macro="" textlink="">
      <xdr:nvSpPr>
        <xdr:cNvPr id="49" name="Rectangle 48">
          <a:extLst>
            <a:ext uri="{FF2B5EF4-FFF2-40B4-BE49-F238E27FC236}">
              <a16:creationId xmlns:a16="http://schemas.microsoft.com/office/drawing/2014/main" id="{854087E8-0EF8-5454-E91F-DC16E57D0543}"/>
            </a:ext>
          </a:extLst>
        </xdr:cNvPr>
        <xdr:cNvSpPr/>
      </xdr:nvSpPr>
      <xdr:spPr>
        <a:xfrm>
          <a:off x="2990850" y="7848600"/>
          <a:ext cx="10198100" cy="560070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6</xdr:col>
      <xdr:colOff>1600200</xdr:colOff>
      <xdr:row>41</xdr:row>
      <xdr:rowOff>76200</xdr:rowOff>
    </xdr:from>
    <xdr:to>
      <xdr:col>24</xdr:col>
      <xdr:colOff>114300</xdr:colOff>
      <xdr:row>70</xdr:row>
      <xdr:rowOff>152400</xdr:rowOff>
    </xdr:to>
    <xdr:sp macro="" textlink="">
      <xdr:nvSpPr>
        <xdr:cNvPr id="50" name="Rectangle 49">
          <a:extLst>
            <a:ext uri="{FF2B5EF4-FFF2-40B4-BE49-F238E27FC236}">
              <a16:creationId xmlns:a16="http://schemas.microsoft.com/office/drawing/2014/main" id="{29971727-552E-4E1A-BA66-330B254B0A31}"/>
            </a:ext>
          </a:extLst>
        </xdr:cNvPr>
        <xdr:cNvSpPr/>
      </xdr:nvSpPr>
      <xdr:spPr>
        <a:xfrm>
          <a:off x="13620750" y="7886700"/>
          <a:ext cx="10744200" cy="560070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1866900</xdr:colOff>
      <xdr:row>43</xdr:row>
      <xdr:rowOff>171450</xdr:rowOff>
    </xdr:from>
    <xdr:to>
      <xdr:col>6</xdr:col>
      <xdr:colOff>600710</xdr:colOff>
      <xdr:row>68</xdr:row>
      <xdr:rowOff>95250</xdr:rowOff>
    </xdr:to>
    <xdr:graphicFrame macro="">
      <xdr:nvGraphicFramePr>
        <xdr:cNvPr id="51" name="Chart 50">
          <a:extLst>
            <a:ext uri="{FF2B5EF4-FFF2-40B4-BE49-F238E27FC236}">
              <a16:creationId xmlns:a16="http://schemas.microsoft.com/office/drawing/2014/main" id="{73539CDA-1512-4C35-BFD8-BA042064A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2235200</xdr:colOff>
      <xdr:row>42</xdr:row>
      <xdr:rowOff>127000</xdr:rowOff>
    </xdr:from>
    <xdr:to>
      <xdr:col>23</xdr:col>
      <xdr:colOff>381000</xdr:colOff>
      <xdr:row>69</xdr:row>
      <xdr:rowOff>25400</xdr:rowOff>
    </xdr:to>
    <xdr:graphicFrame macro="">
      <xdr:nvGraphicFramePr>
        <xdr:cNvPr id="52" name="Chart 51">
          <a:extLst>
            <a:ext uri="{FF2B5EF4-FFF2-40B4-BE49-F238E27FC236}">
              <a16:creationId xmlns:a16="http://schemas.microsoft.com/office/drawing/2014/main" id="{478E230F-9604-41AA-803A-339A78BC3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23</xdr:row>
      <xdr:rowOff>25400</xdr:rowOff>
    </xdr:from>
    <xdr:to>
      <xdr:col>1</xdr:col>
      <xdr:colOff>1625600</xdr:colOff>
      <xdr:row>32</xdr:row>
      <xdr:rowOff>25400</xdr:rowOff>
    </xdr:to>
    <mc:AlternateContent xmlns:mc="http://schemas.openxmlformats.org/markup-compatibility/2006" xmlns:a14="http://schemas.microsoft.com/office/drawing/2010/main">
      <mc:Choice Requires="a14">
        <xdr:graphicFrame macro="">
          <xdr:nvGraphicFramePr>
            <xdr:cNvPr id="53" name="Period Type 1">
              <a:extLst>
                <a:ext uri="{FF2B5EF4-FFF2-40B4-BE49-F238E27FC236}">
                  <a16:creationId xmlns:a16="http://schemas.microsoft.com/office/drawing/2014/main" id="{868853B2-4BAF-46BE-976D-05C188834AEA}"/>
                </a:ext>
              </a:extLst>
            </xdr:cNvPr>
            <xdr:cNvGraphicFramePr/>
          </xdr:nvGraphicFramePr>
          <xdr:xfrm>
            <a:off x="0" y="0"/>
            <a:ext cx="0" cy="0"/>
          </xdr:xfrm>
          <a:graphic>
            <a:graphicData uri="http://schemas.microsoft.com/office/drawing/2010/slicer">
              <sle:slicer xmlns:sle="http://schemas.microsoft.com/office/drawing/2010/slicer" name="Period Type 1"/>
            </a:graphicData>
          </a:graphic>
        </xdr:graphicFrame>
      </mc:Choice>
      <mc:Fallback xmlns="">
        <xdr:sp macro="" textlink="">
          <xdr:nvSpPr>
            <xdr:cNvPr id="0" name=""/>
            <xdr:cNvSpPr>
              <a:spLocks noTextEdit="1"/>
            </xdr:cNvSpPr>
          </xdr:nvSpPr>
          <xdr:spPr>
            <a:xfrm>
              <a:off x="0" y="4114800"/>
              <a:ext cx="28702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88900</xdr:rowOff>
    </xdr:from>
    <xdr:to>
      <xdr:col>1</xdr:col>
      <xdr:colOff>1619250</xdr:colOff>
      <xdr:row>45</xdr:row>
      <xdr:rowOff>50800</xdr:rowOff>
    </xdr:to>
    <mc:AlternateContent xmlns:mc="http://schemas.openxmlformats.org/markup-compatibility/2006" xmlns:a14="http://schemas.microsoft.com/office/drawing/2010/main">
      <mc:Choice Requires="a14">
        <xdr:graphicFrame macro="">
          <xdr:nvGraphicFramePr>
            <xdr:cNvPr id="54" name="Type 1">
              <a:extLst>
                <a:ext uri="{FF2B5EF4-FFF2-40B4-BE49-F238E27FC236}">
                  <a16:creationId xmlns:a16="http://schemas.microsoft.com/office/drawing/2014/main" id="{31264FAB-4FAA-4D38-ABF4-FDEC43045AB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0" y="6489700"/>
              <a:ext cx="286385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120650</xdr:rowOff>
    </xdr:from>
    <xdr:to>
      <xdr:col>1</xdr:col>
      <xdr:colOff>1543050</xdr:colOff>
      <xdr:row>57</xdr:row>
      <xdr:rowOff>101600</xdr:rowOff>
    </xdr:to>
    <mc:AlternateContent xmlns:mc="http://schemas.openxmlformats.org/markup-compatibility/2006" xmlns:a14="http://schemas.microsoft.com/office/drawing/2010/main">
      <mc:Choice Requires="a14">
        <xdr:graphicFrame macro="">
          <xdr:nvGraphicFramePr>
            <xdr:cNvPr id="55" name="Status 1">
              <a:extLst>
                <a:ext uri="{FF2B5EF4-FFF2-40B4-BE49-F238E27FC236}">
                  <a16:creationId xmlns:a16="http://schemas.microsoft.com/office/drawing/2014/main" id="{D32F7213-1204-4081-B85F-5FECA32BB91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8655050"/>
              <a:ext cx="27876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63</xdr:row>
      <xdr:rowOff>6350</xdr:rowOff>
    </xdr:from>
    <xdr:to>
      <xdr:col>1</xdr:col>
      <xdr:colOff>1568450</xdr:colOff>
      <xdr:row>76</xdr:row>
      <xdr:rowOff>355600</xdr:rowOff>
    </xdr:to>
    <mc:AlternateContent xmlns:mc="http://schemas.openxmlformats.org/markup-compatibility/2006" xmlns:tsle="http://schemas.microsoft.com/office/drawing/2012/timeslicer">
      <mc:Choice Requires="tsle">
        <xdr:graphicFrame macro="">
          <xdr:nvGraphicFramePr>
            <xdr:cNvPr id="56" name="Date 2">
              <a:extLst>
                <a:ext uri="{FF2B5EF4-FFF2-40B4-BE49-F238E27FC236}">
                  <a16:creationId xmlns:a16="http://schemas.microsoft.com/office/drawing/2014/main" id="{1659E529-8A25-4194-8837-1FA231D1BFC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400" y="11207750"/>
              <a:ext cx="2787650" cy="2863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121920</xdr:colOff>
      <xdr:row>10</xdr:row>
      <xdr:rowOff>142240</xdr:rowOff>
    </xdr:from>
    <xdr:to>
      <xdr:col>1</xdr:col>
      <xdr:colOff>1544320</xdr:colOff>
      <xdr:row>21</xdr:row>
      <xdr:rowOff>50800</xdr:rowOff>
    </xdr:to>
    <xdr:sp macro="" textlink="">
      <xdr:nvSpPr>
        <xdr:cNvPr id="64" name="TextBox 63">
          <a:extLst>
            <a:ext uri="{FF2B5EF4-FFF2-40B4-BE49-F238E27FC236}">
              <a16:creationId xmlns:a16="http://schemas.microsoft.com/office/drawing/2014/main" id="{BC20D507-F662-D2D3-9BA0-83D732B39010}"/>
            </a:ext>
          </a:extLst>
        </xdr:cNvPr>
        <xdr:cNvSpPr txBox="1"/>
      </xdr:nvSpPr>
      <xdr:spPr>
        <a:xfrm>
          <a:off x="121920" y="1920240"/>
          <a:ext cx="2667000" cy="186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Insurance Claim &amp; Compensation Dashboard Import Shipment</a:t>
          </a:r>
        </a:p>
      </xdr:txBody>
    </xdr:sp>
    <xdr:clientData/>
  </xdr:twoCellAnchor>
  <xdr:twoCellAnchor>
    <xdr:from>
      <xdr:col>14</xdr:col>
      <xdr:colOff>0</xdr:colOff>
      <xdr:row>1</xdr:row>
      <xdr:rowOff>95250</xdr:rowOff>
    </xdr:from>
    <xdr:to>
      <xdr:col>23</xdr:col>
      <xdr:colOff>323850</xdr:colOff>
      <xdr:row>15</xdr:row>
      <xdr:rowOff>95250</xdr:rowOff>
    </xdr:to>
    <xdr:grpSp>
      <xdr:nvGrpSpPr>
        <xdr:cNvPr id="107" name="Group 106">
          <a:extLst>
            <a:ext uri="{FF2B5EF4-FFF2-40B4-BE49-F238E27FC236}">
              <a16:creationId xmlns:a16="http://schemas.microsoft.com/office/drawing/2014/main" id="{A569A4CB-6EE7-FF1A-1AEF-D99ED20D6C55}"/>
            </a:ext>
          </a:extLst>
        </xdr:cNvPr>
        <xdr:cNvGrpSpPr/>
      </xdr:nvGrpSpPr>
      <xdr:grpSpPr>
        <a:xfrm>
          <a:off x="20312063" y="285750"/>
          <a:ext cx="5895975" cy="2667000"/>
          <a:chOff x="29756100" y="3048000"/>
          <a:chExt cx="5105400" cy="2705100"/>
        </a:xfrm>
      </xdr:grpSpPr>
      <xdr:grpSp>
        <xdr:nvGrpSpPr>
          <xdr:cNvPr id="106" name="Group 105">
            <a:extLst>
              <a:ext uri="{FF2B5EF4-FFF2-40B4-BE49-F238E27FC236}">
                <a16:creationId xmlns:a16="http://schemas.microsoft.com/office/drawing/2014/main" id="{A497E60D-11FB-CCB1-2B32-6D413181DE3E}"/>
              </a:ext>
            </a:extLst>
          </xdr:cNvPr>
          <xdr:cNvGrpSpPr/>
        </xdr:nvGrpSpPr>
        <xdr:grpSpPr>
          <a:xfrm>
            <a:off x="29946600" y="3448049"/>
            <a:ext cx="4811250" cy="1807480"/>
            <a:chOff x="22821900" y="857249"/>
            <a:chExt cx="4811250" cy="1807480"/>
          </a:xfrm>
        </xdr:grpSpPr>
        <xdr:sp macro="" textlink="">
          <xdr:nvSpPr>
            <xdr:cNvPr id="33" name="TextBox 32">
              <a:extLst>
                <a:ext uri="{FF2B5EF4-FFF2-40B4-BE49-F238E27FC236}">
                  <a16:creationId xmlns:a16="http://schemas.microsoft.com/office/drawing/2014/main" id="{F16B97B7-FE6F-1368-94DA-BB7B13C1761A}"/>
                </a:ext>
              </a:extLst>
            </xdr:cNvPr>
            <xdr:cNvSpPr txBox="1"/>
          </xdr:nvSpPr>
          <xdr:spPr>
            <a:xfrm>
              <a:off x="24331510" y="971550"/>
              <a:ext cx="3301640" cy="8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COMPENSATED</a:t>
              </a:r>
              <a:r>
                <a:rPr lang="en-US" sz="2400" b="1" baseline="0">
                  <a:solidFill>
                    <a:schemeClr val="dk1"/>
                  </a:solidFill>
                  <a:effectLst/>
                  <a:latin typeface="+mn-lt"/>
                  <a:ea typeface="+mn-ea"/>
                  <a:cs typeface="+mn-cs"/>
                </a:rPr>
                <a:t> RATE</a:t>
              </a:r>
              <a:endParaRPr lang="en-US" sz="2400">
                <a:effectLst/>
              </a:endParaRPr>
            </a:p>
            <a:p>
              <a:endParaRPr lang="en-US" sz="1800"/>
            </a:p>
          </xdr:txBody>
        </xdr:sp>
        <xdr:grpSp>
          <xdr:nvGrpSpPr>
            <xdr:cNvPr id="105" name="Group 104">
              <a:extLst>
                <a:ext uri="{FF2B5EF4-FFF2-40B4-BE49-F238E27FC236}">
                  <a16:creationId xmlns:a16="http://schemas.microsoft.com/office/drawing/2014/main" id="{E986C0AE-F085-4FA0-1D88-E2342AE22619}"/>
                </a:ext>
              </a:extLst>
            </xdr:cNvPr>
            <xdr:cNvGrpSpPr/>
          </xdr:nvGrpSpPr>
          <xdr:grpSpPr>
            <a:xfrm>
              <a:off x="22821900" y="857249"/>
              <a:ext cx="1428750" cy="1807480"/>
              <a:chOff x="33051750" y="1009649"/>
              <a:chExt cx="1428750" cy="1719310"/>
            </a:xfrm>
          </xdr:grpSpPr>
          <xdr:sp macro="" textlink="">
            <xdr:nvSpPr>
              <xdr:cNvPr id="90" name="Rectangle: Rounded Corners 89">
                <a:extLst>
                  <a:ext uri="{FF2B5EF4-FFF2-40B4-BE49-F238E27FC236}">
                    <a16:creationId xmlns:a16="http://schemas.microsoft.com/office/drawing/2014/main" id="{6DB93404-BBF1-4BFA-AABB-A5CA1C9668D3}"/>
                  </a:ext>
                </a:extLst>
              </xdr:cNvPr>
              <xdr:cNvSpPr/>
            </xdr:nvSpPr>
            <xdr:spPr>
              <a:xfrm>
                <a:off x="33051750" y="1009649"/>
                <a:ext cx="1428750" cy="1719310"/>
              </a:xfrm>
              <a:prstGeom prst="roundRect">
                <a:avLst/>
              </a:prstGeom>
              <a:solidFill>
                <a:srgbClr val="F2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Freeform: Shape 100">
                <a:extLst>
                  <a:ext uri="{FF2B5EF4-FFF2-40B4-BE49-F238E27FC236}">
                    <a16:creationId xmlns:a16="http://schemas.microsoft.com/office/drawing/2014/main" id="{08D6B1B5-0408-4BE8-B99F-C187BF39D52C}"/>
                  </a:ext>
                </a:extLst>
              </xdr:cNvPr>
              <xdr:cNvSpPr/>
            </xdr:nvSpPr>
            <xdr:spPr>
              <a:xfrm>
                <a:off x="33552944" y="1291948"/>
                <a:ext cx="402159" cy="196919"/>
              </a:xfrm>
              <a:custGeom>
                <a:avLst/>
                <a:gdLst>
                  <a:gd name="csX0" fmla="*/ 67359 w 402159"/>
                  <a:gd name="csY0" fmla="*/ 196920 h 196919"/>
                  <a:gd name="csX1" fmla="*/ 334791 w 402159"/>
                  <a:gd name="csY1" fmla="*/ 196920 h 196919"/>
                  <a:gd name="csX2" fmla="*/ 400432 w 402159"/>
                  <a:gd name="csY2" fmla="*/ 30889 h 196919"/>
                  <a:gd name="csX3" fmla="*/ 398200 w 402159"/>
                  <a:gd name="csY3" fmla="*/ 8730 h 196919"/>
                  <a:gd name="csX4" fmla="*/ 372066 w 402159"/>
                  <a:gd name="csY4" fmla="*/ 2642 h 196919"/>
                  <a:gd name="csX5" fmla="*/ 290383 w 402159"/>
                  <a:gd name="csY5" fmla="*/ 45304 h 196919"/>
                  <a:gd name="csX6" fmla="*/ 211055 w 402159"/>
                  <a:gd name="csY6" fmla="*/ 3867 h 196919"/>
                  <a:gd name="csX7" fmla="*/ 191084 w 402159"/>
                  <a:gd name="csY7" fmla="*/ 3867 h 196919"/>
                  <a:gd name="csX8" fmla="*/ 111767 w 402159"/>
                  <a:gd name="csY8" fmla="*/ 45304 h 196919"/>
                  <a:gd name="csX9" fmla="*/ 29839 w 402159"/>
                  <a:gd name="csY9" fmla="*/ 2560 h 196919"/>
                  <a:gd name="csX10" fmla="*/ 5982 w 402159"/>
                  <a:gd name="csY10" fmla="*/ 6059 h 196919"/>
                  <a:gd name="csX11" fmla="*/ 1707 w 402159"/>
                  <a:gd name="csY11" fmla="*/ 30831 h 1969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402159" h="196919">
                    <a:moveTo>
                      <a:pt x="67359" y="196920"/>
                    </a:moveTo>
                    <a:lnTo>
                      <a:pt x="334791" y="196920"/>
                    </a:lnTo>
                    <a:lnTo>
                      <a:pt x="400432" y="30889"/>
                    </a:lnTo>
                    <a:cubicBezTo>
                      <a:pt x="403365" y="23591"/>
                      <a:pt x="402523" y="15231"/>
                      <a:pt x="398200" y="8730"/>
                    </a:cubicBezTo>
                    <a:cubicBezTo>
                      <a:pt x="392117" y="247"/>
                      <a:pt x="381023" y="-2338"/>
                      <a:pt x="372066" y="2642"/>
                    </a:cubicBezTo>
                    <a:lnTo>
                      <a:pt x="290383" y="45304"/>
                    </a:lnTo>
                    <a:lnTo>
                      <a:pt x="211055" y="3867"/>
                    </a:lnTo>
                    <a:cubicBezTo>
                      <a:pt x="204769" y="582"/>
                      <a:pt x="197370" y="582"/>
                      <a:pt x="191084" y="3867"/>
                    </a:cubicBezTo>
                    <a:lnTo>
                      <a:pt x="111767" y="45304"/>
                    </a:lnTo>
                    <a:lnTo>
                      <a:pt x="29839" y="2560"/>
                    </a:lnTo>
                    <a:cubicBezTo>
                      <a:pt x="22013" y="-1871"/>
                      <a:pt x="12337" y="-452"/>
                      <a:pt x="5982" y="6059"/>
                    </a:cubicBezTo>
                    <a:cubicBezTo>
                      <a:pt x="26" y="12723"/>
                      <a:pt x="-1647" y="22413"/>
                      <a:pt x="1707" y="30831"/>
                    </a:cubicBezTo>
                    <a:close/>
                  </a:path>
                </a:pathLst>
              </a:custGeom>
              <a:solidFill>
                <a:srgbClr val="0F4D1F"/>
              </a:solidFill>
              <a:ln w="11113" cap="flat">
                <a:noFill/>
                <a:prstDash val="solid"/>
                <a:miter/>
              </a:ln>
            </xdr:spPr>
          </xdr:sp>
          <xdr:sp macro="" textlink="">
            <xdr:nvSpPr>
              <xdr:cNvPr id="104" name="Freeform: Shape 103">
                <a:extLst>
                  <a:ext uri="{FF2B5EF4-FFF2-40B4-BE49-F238E27FC236}">
                    <a16:creationId xmlns:a16="http://schemas.microsoft.com/office/drawing/2014/main" id="{EEA77FAF-B640-59E4-A978-C500B8C96729}"/>
                  </a:ext>
                </a:extLst>
              </xdr:cNvPr>
              <xdr:cNvSpPr/>
            </xdr:nvSpPr>
            <xdr:spPr>
              <a:xfrm>
                <a:off x="33374595" y="1535519"/>
                <a:ext cx="759115" cy="793470"/>
              </a:xfrm>
              <a:custGeom>
                <a:avLst/>
                <a:gdLst>
                  <a:gd name="csX0" fmla="*/ 518487 w 759115"/>
                  <a:gd name="csY0" fmla="*/ 0 h 606461"/>
                  <a:gd name="csX1" fmla="*/ 240629 w 759115"/>
                  <a:gd name="csY1" fmla="*/ 0 h 606461"/>
                  <a:gd name="csX2" fmla="*/ 0 w 759115"/>
                  <a:gd name="csY2" fmla="*/ 373207 h 606461"/>
                  <a:gd name="csX3" fmla="*/ 151332 w 759115"/>
                  <a:gd name="csY3" fmla="*/ 599744 h 606461"/>
                  <a:gd name="csX4" fmla="*/ 188864 w 759115"/>
                  <a:gd name="csY4" fmla="*/ 606462 h 606461"/>
                  <a:gd name="csX5" fmla="*/ 570252 w 759115"/>
                  <a:gd name="csY5" fmla="*/ 606462 h 606461"/>
                  <a:gd name="csX6" fmla="*/ 607784 w 759115"/>
                  <a:gd name="csY6" fmla="*/ 599744 h 606461"/>
                  <a:gd name="csX7" fmla="*/ 759116 w 759115"/>
                  <a:gd name="csY7" fmla="*/ 373207 h 606461"/>
                  <a:gd name="csX8" fmla="*/ 518487 w 759115"/>
                  <a:gd name="csY8" fmla="*/ 0 h 606461"/>
                  <a:gd name="csX9" fmla="*/ 301782 w 759115"/>
                  <a:gd name="csY9" fmla="*/ 169110 h 606461"/>
                  <a:gd name="csX10" fmla="*/ 363550 w 759115"/>
                  <a:gd name="csY10" fmla="*/ 233639 h 606461"/>
                  <a:gd name="csX11" fmla="*/ 301782 w 759115"/>
                  <a:gd name="csY11" fmla="*/ 298169 h 606461"/>
                  <a:gd name="csX12" fmla="*/ 240015 w 759115"/>
                  <a:gd name="csY12" fmla="*/ 233639 h 606461"/>
                  <a:gd name="csX13" fmla="*/ 301782 w 759115"/>
                  <a:gd name="csY13" fmla="*/ 169110 h 606461"/>
                  <a:gd name="csX14" fmla="*/ 253109 w 759115"/>
                  <a:gd name="csY14" fmla="*/ 422261 h 606461"/>
                  <a:gd name="csX15" fmla="*/ 478232 w 759115"/>
                  <a:gd name="csY15" fmla="*/ 187059 h 606461"/>
                  <a:gd name="csX16" fmla="*/ 501910 w 759115"/>
                  <a:gd name="csY16" fmla="*/ 211795 h 606461"/>
                  <a:gd name="csX17" fmla="*/ 276787 w 759115"/>
                  <a:gd name="csY17" fmla="*/ 446997 h 606461"/>
                  <a:gd name="csX18" fmla="*/ 457334 w 759115"/>
                  <a:gd name="csY18" fmla="*/ 460678 h 606461"/>
                  <a:gd name="csX19" fmla="*/ 395566 w 759115"/>
                  <a:gd name="csY19" fmla="*/ 396148 h 606461"/>
                  <a:gd name="csX20" fmla="*/ 457334 w 759115"/>
                  <a:gd name="csY20" fmla="*/ 331618 h 606461"/>
                  <a:gd name="csX21" fmla="*/ 519101 w 759115"/>
                  <a:gd name="csY21" fmla="*/ 396148 h 606461"/>
                  <a:gd name="csX22" fmla="*/ 457334 w 759115"/>
                  <a:gd name="csY22" fmla="*/ 460678 h 60646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Lst>
                <a:rect l="l" t="t" r="r" b="b"/>
                <a:pathLst>
                  <a:path w="759115" h="606461">
                    <a:moveTo>
                      <a:pt x="518487" y="0"/>
                    </a:moveTo>
                    <a:lnTo>
                      <a:pt x="240629" y="0"/>
                    </a:lnTo>
                    <a:cubicBezTo>
                      <a:pt x="121793" y="119788"/>
                      <a:pt x="0" y="208938"/>
                      <a:pt x="0" y="373207"/>
                    </a:cubicBezTo>
                    <a:cubicBezTo>
                      <a:pt x="0" y="487420"/>
                      <a:pt x="48394" y="561829"/>
                      <a:pt x="151332" y="599744"/>
                    </a:cubicBezTo>
                    <a:cubicBezTo>
                      <a:pt x="163387" y="604189"/>
                      <a:pt x="176079" y="606461"/>
                      <a:pt x="188864" y="606462"/>
                    </a:cubicBezTo>
                    <a:lnTo>
                      <a:pt x="570252" y="606462"/>
                    </a:lnTo>
                    <a:cubicBezTo>
                      <a:pt x="583037" y="606461"/>
                      <a:pt x="595728" y="604189"/>
                      <a:pt x="607784" y="599744"/>
                    </a:cubicBezTo>
                    <a:cubicBezTo>
                      <a:pt x="710722" y="561829"/>
                      <a:pt x="759116" y="487420"/>
                      <a:pt x="759116" y="373207"/>
                    </a:cubicBezTo>
                    <a:cubicBezTo>
                      <a:pt x="759116" y="208938"/>
                      <a:pt x="637322" y="119788"/>
                      <a:pt x="518487" y="0"/>
                    </a:cubicBezTo>
                    <a:close/>
                    <a:moveTo>
                      <a:pt x="301782" y="169110"/>
                    </a:moveTo>
                    <a:cubicBezTo>
                      <a:pt x="335895" y="169110"/>
                      <a:pt x="363550" y="198000"/>
                      <a:pt x="363550" y="233639"/>
                    </a:cubicBezTo>
                    <a:cubicBezTo>
                      <a:pt x="363550" y="269278"/>
                      <a:pt x="335895" y="298169"/>
                      <a:pt x="301782" y="298169"/>
                    </a:cubicBezTo>
                    <a:cubicBezTo>
                      <a:pt x="267669" y="298169"/>
                      <a:pt x="240015" y="269278"/>
                      <a:pt x="240015" y="233639"/>
                    </a:cubicBezTo>
                    <a:cubicBezTo>
                      <a:pt x="240058" y="198019"/>
                      <a:pt x="267687" y="169155"/>
                      <a:pt x="301782" y="169110"/>
                    </a:cubicBezTo>
                    <a:close/>
                    <a:moveTo>
                      <a:pt x="253109" y="422261"/>
                    </a:moveTo>
                    <a:lnTo>
                      <a:pt x="478232" y="187059"/>
                    </a:lnTo>
                    <a:lnTo>
                      <a:pt x="501910" y="211795"/>
                    </a:lnTo>
                    <a:lnTo>
                      <a:pt x="276787" y="446997"/>
                    </a:lnTo>
                    <a:close/>
                    <a:moveTo>
                      <a:pt x="457334" y="460678"/>
                    </a:moveTo>
                    <a:cubicBezTo>
                      <a:pt x="423221" y="460678"/>
                      <a:pt x="395566" y="431787"/>
                      <a:pt x="395566" y="396148"/>
                    </a:cubicBezTo>
                    <a:cubicBezTo>
                      <a:pt x="395566" y="360509"/>
                      <a:pt x="423221" y="331618"/>
                      <a:pt x="457334" y="331618"/>
                    </a:cubicBezTo>
                    <a:cubicBezTo>
                      <a:pt x="491447" y="331618"/>
                      <a:pt x="519101" y="360509"/>
                      <a:pt x="519101" y="396148"/>
                    </a:cubicBezTo>
                    <a:cubicBezTo>
                      <a:pt x="519058" y="431768"/>
                      <a:pt x="491429" y="460632"/>
                      <a:pt x="457334" y="460678"/>
                    </a:cubicBezTo>
                    <a:close/>
                  </a:path>
                </a:pathLst>
              </a:custGeom>
              <a:solidFill>
                <a:srgbClr val="0F4D1F"/>
              </a:solidFill>
              <a:ln w="11113" cap="flat">
                <a:noFill/>
                <a:prstDash val="solid"/>
                <a:miter/>
              </a:ln>
            </xdr:spPr>
          </xdr:sp>
        </xdr:grpSp>
        <xdr:sp macro="" textlink="Working!H5">
          <xdr:nvSpPr>
            <xdr:cNvPr id="35" name="TextBox 34">
              <a:extLst>
                <a:ext uri="{FF2B5EF4-FFF2-40B4-BE49-F238E27FC236}">
                  <a16:creationId xmlns:a16="http://schemas.microsoft.com/office/drawing/2014/main" id="{C4129909-E6D9-16F0-F330-79C4B3DF20AB}"/>
                </a:ext>
              </a:extLst>
            </xdr:cNvPr>
            <xdr:cNvSpPr txBox="1"/>
          </xdr:nvSpPr>
          <xdr:spPr>
            <a:xfrm>
              <a:off x="24804683" y="1511443"/>
              <a:ext cx="1755082" cy="6511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6F0F78-7C6E-42F4-B952-78485558369C}" type="TxLink">
                <a:rPr lang="en-US" sz="3200" b="1" i="0" u="none" strike="noStrike">
                  <a:solidFill>
                    <a:srgbClr val="FFC000"/>
                  </a:solidFill>
                  <a:latin typeface="Calibri"/>
                  <a:cs typeface="Calibri"/>
                </a:rPr>
                <a:pPr algn="ctr"/>
                <a:t>17%</a:t>
              </a:fld>
              <a:endParaRPr lang="en-US" sz="3200" b="1">
                <a:solidFill>
                  <a:srgbClr val="FFC000"/>
                </a:solidFill>
              </a:endParaRPr>
            </a:p>
          </xdr:txBody>
        </xdr:sp>
        <xdr:sp macro="" textlink="">
          <xdr:nvSpPr>
            <xdr:cNvPr id="36" name="TextBox 35">
              <a:extLst>
                <a:ext uri="{FF2B5EF4-FFF2-40B4-BE49-F238E27FC236}">
                  <a16:creationId xmlns:a16="http://schemas.microsoft.com/office/drawing/2014/main" id="{D50531C0-EE86-23C7-9FDC-57174EEE2D53}"/>
                </a:ext>
              </a:extLst>
            </xdr:cNvPr>
            <xdr:cNvSpPr txBox="1"/>
          </xdr:nvSpPr>
          <xdr:spPr>
            <a:xfrm>
              <a:off x="25177750" y="2171058"/>
              <a:ext cx="1338033" cy="350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Overall</a:t>
              </a:r>
            </a:p>
          </xdr:txBody>
        </xdr:sp>
      </xdr:grpSp>
      <xdr:sp macro="" textlink="">
        <xdr:nvSpPr>
          <xdr:cNvPr id="87" name="Rectangle: Rounded Corners 86">
            <a:extLst>
              <a:ext uri="{FF2B5EF4-FFF2-40B4-BE49-F238E27FC236}">
                <a16:creationId xmlns:a16="http://schemas.microsoft.com/office/drawing/2014/main" id="{6D3F314E-EA07-4C73-AB2D-A42FB2CDEC2F}"/>
              </a:ext>
            </a:extLst>
          </xdr:cNvPr>
          <xdr:cNvSpPr/>
        </xdr:nvSpPr>
        <xdr:spPr>
          <a:xfrm>
            <a:off x="29756100" y="3048000"/>
            <a:ext cx="5105400" cy="270510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clientData/>
  </xdr:twoCellAnchor>
  <xdr:twoCellAnchor>
    <xdr:from>
      <xdr:col>6</xdr:col>
      <xdr:colOff>742950</xdr:colOff>
      <xdr:row>1</xdr:row>
      <xdr:rowOff>152400</xdr:rowOff>
    </xdr:from>
    <xdr:to>
      <xdr:col>13</xdr:col>
      <xdr:colOff>57150</xdr:colOff>
      <xdr:row>15</xdr:row>
      <xdr:rowOff>114300</xdr:rowOff>
    </xdr:to>
    <xdr:grpSp>
      <xdr:nvGrpSpPr>
        <xdr:cNvPr id="118" name="Group 117">
          <a:extLst>
            <a:ext uri="{FF2B5EF4-FFF2-40B4-BE49-F238E27FC236}">
              <a16:creationId xmlns:a16="http://schemas.microsoft.com/office/drawing/2014/main" id="{20790B14-C6F4-F33D-771B-A62DCC132605}"/>
            </a:ext>
          </a:extLst>
        </xdr:cNvPr>
        <xdr:cNvGrpSpPr/>
      </xdr:nvGrpSpPr>
      <xdr:grpSpPr>
        <a:xfrm>
          <a:off x="14506575" y="342900"/>
          <a:ext cx="5243513" cy="2628900"/>
          <a:chOff x="32194500" y="3429000"/>
          <a:chExt cx="5105400" cy="3086100"/>
        </a:xfrm>
      </xdr:grpSpPr>
      <xdr:grpSp>
        <xdr:nvGrpSpPr>
          <xdr:cNvPr id="85" name="Group 84">
            <a:extLst>
              <a:ext uri="{FF2B5EF4-FFF2-40B4-BE49-F238E27FC236}">
                <a16:creationId xmlns:a16="http://schemas.microsoft.com/office/drawing/2014/main" id="{74249E86-D080-9026-AEEC-083ACBF3B277}"/>
              </a:ext>
            </a:extLst>
          </xdr:cNvPr>
          <xdr:cNvGrpSpPr/>
        </xdr:nvGrpSpPr>
        <xdr:grpSpPr>
          <a:xfrm>
            <a:off x="32442150" y="3812764"/>
            <a:ext cx="4797450" cy="2098534"/>
            <a:chOff x="17449800" y="536164"/>
            <a:chExt cx="4797450" cy="2098534"/>
          </a:xfrm>
        </xdr:grpSpPr>
        <xdr:sp macro="" textlink="">
          <xdr:nvSpPr>
            <xdr:cNvPr id="28" name="TextBox 27">
              <a:extLst>
                <a:ext uri="{FF2B5EF4-FFF2-40B4-BE49-F238E27FC236}">
                  <a16:creationId xmlns:a16="http://schemas.microsoft.com/office/drawing/2014/main" id="{36B328FC-373F-FCB4-8DC4-D6B3D819636E}"/>
                </a:ext>
              </a:extLst>
            </xdr:cNvPr>
            <xdr:cNvSpPr txBox="1"/>
          </xdr:nvSpPr>
          <xdr:spPr>
            <a:xfrm>
              <a:off x="18954750" y="609600"/>
              <a:ext cx="3292500" cy="11082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baseline="0">
                  <a:solidFill>
                    <a:schemeClr val="dk1"/>
                  </a:solidFill>
                  <a:effectLst/>
                  <a:latin typeface="+mn-lt"/>
                  <a:ea typeface="+mn-ea"/>
                  <a:cs typeface="+mn-cs"/>
                </a:rPr>
                <a:t>TOTAL</a:t>
              </a:r>
              <a:r>
                <a:rPr lang="en-US" sz="2400" b="1">
                  <a:solidFill>
                    <a:schemeClr val="dk1"/>
                  </a:solidFill>
                  <a:effectLst/>
                  <a:latin typeface="+mn-lt"/>
                  <a:ea typeface="+mn-ea"/>
                  <a:cs typeface="+mn-cs"/>
                </a:rPr>
                <a:t> C0MPENSATED</a:t>
              </a:r>
              <a:endParaRPr lang="en-US" sz="2400">
                <a:effectLst/>
              </a:endParaRPr>
            </a:p>
            <a:p>
              <a:endParaRPr lang="en-US" sz="1600"/>
            </a:p>
          </xdr:txBody>
        </xdr:sp>
        <xdr:sp macro="" textlink="Working!H4">
          <xdr:nvSpPr>
            <xdr:cNvPr id="29" name="TextBox 28">
              <a:extLst>
                <a:ext uri="{FF2B5EF4-FFF2-40B4-BE49-F238E27FC236}">
                  <a16:creationId xmlns:a16="http://schemas.microsoft.com/office/drawing/2014/main" id="{B0201E0B-2431-C5E5-8E71-1526BB7A631A}"/>
                </a:ext>
              </a:extLst>
            </xdr:cNvPr>
            <xdr:cNvSpPr txBox="1"/>
          </xdr:nvSpPr>
          <xdr:spPr>
            <a:xfrm>
              <a:off x="19363250" y="1337642"/>
              <a:ext cx="2222500" cy="54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2016E-B64B-4C5C-8070-79252448A207}" type="TxLink">
                <a:rPr lang="en-US" sz="3200" b="1" i="0" u="none" strike="noStrike">
                  <a:solidFill>
                    <a:srgbClr val="2F7D32"/>
                  </a:solidFill>
                  <a:latin typeface="Calibri"/>
                  <a:cs typeface="Calibri"/>
                </a:rPr>
                <a:pPr algn="ctr"/>
                <a:t> $8,237 </a:t>
              </a:fld>
              <a:endParaRPr lang="en-US" sz="3200" b="1">
                <a:solidFill>
                  <a:srgbClr val="2F7D32"/>
                </a:solidFill>
              </a:endParaRPr>
            </a:p>
          </xdr:txBody>
        </xdr:sp>
        <xdr:sp macro="" textlink="">
          <xdr:nvSpPr>
            <xdr:cNvPr id="31" name="TextBox 30">
              <a:extLst>
                <a:ext uri="{FF2B5EF4-FFF2-40B4-BE49-F238E27FC236}">
                  <a16:creationId xmlns:a16="http://schemas.microsoft.com/office/drawing/2014/main" id="{77475064-4BB9-9757-86E9-F58D687E36F2}"/>
                </a:ext>
              </a:extLst>
            </xdr:cNvPr>
            <xdr:cNvSpPr txBox="1"/>
          </xdr:nvSpPr>
          <xdr:spPr>
            <a:xfrm>
              <a:off x="20053300" y="2146300"/>
              <a:ext cx="9779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USD</a:t>
              </a:r>
            </a:p>
          </xdr:txBody>
        </xdr:sp>
        <xdr:grpSp>
          <xdr:nvGrpSpPr>
            <xdr:cNvPr id="84" name="Group 83">
              <a:extLst>
                <a:ext uri="{FF2B5EF4-FFF2-40B4-BE49-F238E27FC236}">
                  <a16:creationId xmlns:a16="http://schemas.microsoft.com/office/drawing/2014/main" id="{08412752-60C1-4651-1B2B-715EBDDEC01F}"/>
                </a:ext>
              </a:extLst>
            </xdr:cNvPr>
            <xdr:cNvGrpSpPr/>
          </xdr:nvGrpSpPr>
          <xdr:grpSpPr>
            <a:xfrm>
              <a:off x="17449800" y="536164"/>
              <a:ext cx="1428750" cy="2098534"/>
              <a:chOff x="28956000" y="1850614"/>
              <a:chExt cx="1428750" cy="2098534"/>
            </a:xfrm>
          </xdr:grpSpPr>
          <xdr:sp macro="" textlink="">
            <xdr:nvSpPr>
              <xdr:cNvPr id="83" name="Rectangle: Rounded Corners 82">
                <a:extLst>
                  <a:ext uri="{FF2B5EF4-FFF2-40B4-BE49-F238E27FC236}">
                    <a16:creationId xmlns:a16="http://schemas.microsoft.com/office/drawing/2014/main" id="{A6F7ACC1-EC37-4D68-BAB6-7871FC233C3A}"/>
                  </a:ext>
                </a:extLst>
              </xdr:cNvPr>
              <xdr:cNvSpPr/>
            </xdr:nvSpPr>
            <xdr:spPr>
              <a:xfrm>
                <a:off x="28956000" y="1850614"/>
                <a:ext cx="1428750" cy="2098534"/>
              </a:xfrm>
              <a:prstGeom prst="roundRect">
                <a:avLst/>
              </a:prstGeom>
              <a:solidFill>
                <a:srgbClr val="2F7D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2" name="Graphic 81" descr="Loan with solid fill">
                <a:extLst>
                  <a:ext uri="{FF2B5EF4-FFF2-40B4-BE49-F238E27FC236}">
                    <a16:creationId xmlns:a16="http://schemas.microsoft.com/office/drawing/2014/main" id="{10D809EE-3A60-4123-97AA-FCACD98BB3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146500" y="2286000"/>
                <a:ext cx="927100" cy="1323532"/>
              </a:xfrm>
              <a:prstGeom prst="rect">
                <a:avLst/>
              </a:prstGeom>
            </xdr:spPr>
          </xdr:pic>
        </xdr:grpSp>
      </xdr:grpSp>
      <xdr:sp macro="" textlink="">
        <xdr:nvSpPr>
          <xdr:cNvPr id="110" name="Rectangle: Rounded Corners 109">
            <a:extLst>
              <a:ext uri="{FF2B5EF4-FFF2-40B4-BE49-F238E27FC236}">
                <a16:creationId xmlns:a16="http://schemas.microsoft.com/office/drawing/2014/main" id="{2B6D2B8B-CC13-1807-0F0A-17DC67F45933}"/>
              </a:ext>
            </a:extLst>
          </xdr:cNvPr>
          <xdr:cNvSpPr/>
        </xdr:nvSpPr>
        <xdr:spPr>
          <a:xfrm>
            <a:off x="32194500" y="3429000"/>
            <a:ext cx="5105400" cy="308610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clientData/>
  </xdr:twoCellAnchor>
  <xdr:twoCellAnchor>
    <xdr:from>
      <xdr:col>4</xdr:col>
      <xdr:colOff>1028700</xdr:colOff>
      <xdr:row>1</xdr:row>
      <xdr:rowOff>114300</xdr:rowOff>
    </xdr:from>
    <xdr:to>
      <xdr:col>6</xdr:col>
      <xdr:colOff>209550</xdr:colOff>
      <xdr:row>15</xdr:row>
      <xdr:rowOff>95250</xdr:rowOff>
    </xdr:to>
    <xdr:grpSp>
      <xdr:nvGrpSpPr>
        <xdr:cNvPr id="158" name="Group 157">
          <a:extLst>
            <a:ext uri="{FF2B5EF4-FFF2-40B4-BE49-F238E27FC236}">
              <a16:creationId xmlns:a16="http://schemas.microsoft.com/office/drawing/2014/main" id="{EEB9F5DE-1DCE-2DC2-C06E-95D24533CB7E}"/>
            </a:ext>
          </a:extLst>
        </xdr:cNvPr>
        <xdr:cNvGrpSpPr/>
      </xdr:nvGrpSpPr>
      <xdr:grpSpPr>
        <a:xfrm>
          <a:off x="9005888" y="304800"/>
          <a:ext cx="4967287" cy="2647950"/>
          <a:chOff x="29756100" y="2286000"/>
          <a:chExt cx="5600700" cy="2952750"/>
        </a:xfrm>
      </xdr:grpSpPr>
      <xdr:sp macro="" textlink="">
        <xdr:nvSpPr>
          <xdr:cNvPr id="143" name="Rectangle: Rounded Corners 142">
            <a:extLst>
              <a:ext uri="{FF2B5EF4-FFF2-40B4-BE49-F238E27FC236}">
                <a16:creationId xmlns:a16="http://schemas.microsoft.com/office/drawing/2014/main" id="{AFE5162F-E19D-215C-6086-1F2D74DE4BA0}"/>
              </a:ext>
            </a:extLst>
          </xdr:cNvPr>
          <xdr:cNvSpPr/>
        </xdr:nvSpPr>
        <xdr:spPr>
          <a:xfrm>
            <a:off x="29756100" y="2286000"/>
            <a:ext cx="5600700" cy="295275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nvGrpSpPr>
          <xdr:cNvPr id="150" name="Group 149">
            <a:extLst>
              <a:ext uri="{FF2B5EF4-FFF2-40B4-BE49-F238E27FC236}">
                <a16:creationId xmlns:a16="http://schemas.microsoft.com/office/drawing/2014/main" id="{710DCD59-20D8-44D7-82A4-0B55A0769493}"/>
              </a:ext>
            </a:extLst>
          </xdr:cNvPr>
          <xdr:cNvGrpSpPr/>
        </xdr:nvGrpSpPr>
        <xdr:grpSpPr>
          <a:xfrm>
            <a:off x="30079950" y="2756618"/>
            <a:ext cx="4838705" cy="1929818"/>
            <a:chOff x="11029950" y="699218"/>
            <a:chExt cx="4838705" cy="1929818"/>
          </a:xfrm>
        </xdr:grpSpPr>
        <xdr:grpSp>
          <xdr:nvGrpSpPr>
            <xdr:cNvPr id="151" name="Group 150">
              <a:extLst>
                <a:ext uri="{FF2B5EF4-FFF2-40B4-BE49-F238E27FC236}">
                  <a16:creationId xmlns:a16="http://schemas.microsoft.com/office/drawing/2014/main" id="{CC089B55-41D6-8370-0BEC-B358F243FE5E}"/>
                </a:ext>
              </a:extLst>
            </xdr:cNvPr>
            <xdr:cNvGrpSpPr/>
          </xdr:nvGrpSpPr>
          <xdr:grpSpPr>
            <a:xfrm>
              <a:off x="12603722" y="781050"/>
              <a:ext cx="3264933" cy="1269999"/>
              <a:chOff x="11259136" y="1249207"/>
              <a:chExt cx="2554308" cy="937422"/>
            </a:xfrm>
          </xdr:grpSpPr>
          <xdr:sp macro="" textlink="Working!H3">
            <xdr:nvSpPr>
              <xdr:cNvPr id="156" name="TextBox 155">
                <a:extLst>
                  <a:ext uri="{FF2B5EF4-FFF2-40B4-BE49-F238E27FC236}">
                    <a16:creationId xmlns:a16="http://schemas.microsoft.com/office/drawing/2014/main" id="{F390E5EF-1CD4-DCF4-1ED0-563872A6E3D7}"/>
                  </a:ext>
                </a:extLst>
              </xdr:cNvPr>
              <xdr:cNvSpPr txBox="1"/>
            </xdr:nvSpPr>
            <xdr:spPr>
              <a:xfrm>
                <a:off x="11259136" y="1620253"/>
                <a:ext cx="2166809" cy="566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85FB7-9C27-47CA-BB1D-ED0E4C185EAB}" type="TxLink">
                  <a:rPr lang="en-US" sz="3200" b="1" i="0" u="none" strike="noStrike">
                    <a:solidFill>
                      <a:srgbClr val="0F4D1F"/>
                    </a:solidFill>
                    <a:latin typeface="Calibri"/>
                    <a:cs typeface="Calibri"/>
                  </a:rPr>
                  <a:pPr algn="ctr"/>
                  <a:t> $48,609 </a:t>
                </a:fld>
                <a:endParaRPr lang="en-US" sz="3200" b="1">
                  <a:solidFill>
                    <a:srgbClr val="0F4D1F"/>
                  </a:solidFill>
                </a:endParaRPr>
              </a:p>
            </xdr:txBody>
          </xdr:sp>
          <xdr:sp macro="" textlink="">
            <xdr:nvSpPr>
              <xdr:cNvPr id="157" name="TextBox 156">
                <a:extLst>
                  <a:ext uri="{FF2B5EF4-FFF2-40B4-BE49-F238E27FC236}">
                    <a16:creationId xmlns:a16="http://schemas.microsoft.com/office/drawing/2014/main" id="{484272DF-CE38-B9C0-F22F-ABFF035B7A61}"/>
                  </a:ext>
                </a:extLst>
              </xdr:cNvPr>
              <xdr:cNvSpPr txBox="1"/>
            </xdr:nvSpPr>
            <xdr:spPr>
              <a:xfrm>
                <a:off x="11309546" y="1249207"/>
                <a:ext cx="2503898" cy="493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TOTAL CLAIM</a:t>
                </a:r>
                <a:r>
                  <a:rPr lang="en-US" sz="2400" b="1" baseline="0">
                    <a:solidFill>
                      <a:schemeClr val="dk1"/>
                    </a:solidFill>
                    <a:effectLst/>
                    <a:latin typeface="+mn-lt"/>
                    <a:ea typeface="+mn-ea"/>
                    <a:cs typeface="+mn-cs"/>
                  </a:rPr>
                  <a:t> VALUE</a:t>
                </a:r>
                <a:endParaRPr lang="en-US" sz="2400" b="1">
                  <a:effectLst/>
                </a:endParaRPr>
              </a:p>
              <a:p>
                <a:endParaRPr lang="en-US" sz="1200">
                  <a:solidFill>
                    <a:schemeClr val="dk1"/>
                  </a:solidFill>
                </a:endParaRPr>
              </a:p>
            </xdr:txBody>
          </xdr:sp>
        </xdr:grpSp>
        <xdr:sp macro="" textlink="">
          <xdr:nvSpPr>
            <xdr:cNvPr id="152" name="TextBox 151">
              <a:extLst>
                <a:ext uri="{FF2B5EF4-FFF2-40B4-BE49-F238E27FC236}">
                  <a16:creationId xmlns:a16="http://schemas.microsoft.com/office/drawing/2014/main" id="{FF750DFE-65CB-F9D6-CC80-19316DBFE705}"/>
                </a:ext>
              </a:extLst>
            </xdr:cNvPr>
            <xdr:cNvSpPr txBox="1"/>
          </xdr:nvSpPr>
          <xdr:spPr>
            <a:xfrm>
              <a:off x="13685792" y="2171112"/>
              <a:ext cx="1244600" cy="4000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USD</a:t>
              </a:r>
            </a:p>
          </xdr:txBody>
        </xdr:sp>
        <xdr:grpSp>
          <xdr:nvGrpSpPr>
            <xdr:cNvPr id="153" name="Group 152">
              <a:extLst>
                <a:ext uri="{FF2B5EF4-FFF2-40B4-BE49-F238E27FC236}">
                  <a16:creationId xmlns:a16="http://schemas.microsoft.com/office/drawing/2014/main" id="{20B0FCB2-DD3B-7524-2EEC-B36BE7175A8A}"/>
                </a:ext>
              </a:extLst>
            </xdr:cNvPr>
            <xdr:cNvGrpSpPr/>
          </xdr:nvGrpSpPr>
          <xdr:grpSpPr>
            <a:xfrm>
              <a:off x="11029950" y="699218"/>
              <a:ext cx="1578780" cy="1929818"/>
              <a:chOff x="28898850" y="1099268"/>
              <a:chExt cx="1578780" cy="1929818"/>
            </a:xfrm>
          </xdr:grpSpPr>
          <xdr:sp macro="" textlink="">
            <xdr:nvSpPr>
              <xdr:cNvPr id="154" name="Rectangle: Rounded Corners 153">
                <a:extLst>
                  <a:ext uri="{FF2B5EF4-FFF2-40B4-BE49-F238E27FC236}">
                    <a16:creationId xmlns:a16="http://schemas.microsoft.com/office/drawing/2014/main" id="{2EC73538-B25A-EAFE-8624-08EE047A3974}"/>
                  </a:ext>
                </a:extLst>
              </xdr:cNvPr>
              <xdr:cNvSpPr/>
            </xdr:nvSpPr>
            <xdr:spPr>
              <a:xfrm>
                <a:off x="28898850" y="1099268"/>
                <a:ext cx="1578780" cy="1929818"/>
              </a:xfrm>
              <a:prstGeom prst="roundRect">
                <a:avLst/>
              </a:prstGeom>
              <a:solidFill>
                <a:srgbClr val="0F4D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55" name="Graphic 154" descr="Dollar with solid fill">
                <a:extLst>
                  <a:ext uri="{FF2B5EF4-FFF2-40B4-BE49-F238E27FC236}">
                    <a16:creationId xmlns:a16="http://schemas.microsoft.com/office/drawing/2014/main" id="{421B83C5-C0FE-8720-D5D7-CD0056151AF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273788" y="1502755"/>
                <a:ext cx="957158" cy="1184480"/>
              </a:xfrm>
              <a:prstGeom prst="rect">
                <a:avLst/>
              </a:prstGeom>
            </xdr:spPr>
          </xdr:pic>
        </xdr:grpSp>
      </xdr:grpSp>
    </xdr:grpSp>
    <xdr:clientData/>
  </xdr:twoCellAnchor>
  <xdr:twoCellAnchor>
    <xdr:from>
      <xdr:col>2</xdr:col>
      <xdr:colOff>0</xdr:colOff>
      <xdr:row>1</xdr:row>
      <xdr:rowOff>114300</xdr:rowOff>
    </xdr:from>
    <xdr:to>
      <xdr:col>4</xdr:col>
      <xdr:colOff>495300</xdr:colOff>
      <xdr:row>15</xdr:row>
      <xdr:rowOff>95250</xdr:rowOff>
    </xdr:to>
    <xdr:grpSp>
      <xdr:nvGrpSpPr>
        <xdr:cNvPr id="186" name="Group 185">
          <a:extLst>
            <a:ext uri="{FF2B5EF4-FFF2-40B4-BE49-F238E27FC236}">
              <a16:creationId xmlns:a16="http://schemas.microsoft.com/office/drawing/2014/main" id="{537DC7E6-C45D-B411-A9E8-1DC26D76F925}"/>
            </a:ext>
          </a:extLst>
        </xdr:cNvPr>
        <xdr:cNvGrpSpPr/>
      </xdr:nvGrpSpPr>
      <xdr:grpSpPr>
        <a:xfrm>
          <a:off x="3071813" y="304800"/>
          <a:ext cx="5400675" cy="2647950"/>
          <a:chOff x="29146500" y="4381500"/>
          <a:chExt cx="6038850" cy="2647950"/>
        </a:xfrm>
      </xdr:grpSpPr>
      <xdr:sp macro="" textlink="">
        <xdr:nvSpPr>
          <xdr:cNvPr id="170" name="Rectangle: Rounded Corners 169">
            <a:extLst>
              <a:ext uri="{FF2B5EF4-FFF2-40B4-BE49-F238E27FC236}">
                <a16:creationId xmlns:a16="http://schemas.microsoft.com/office/drawing/2014/main" id="{7EF0F25F-AFDA-0171-FAE1-C605DF65C6C8}"/>
              </a:ext>
            </a:extLst>
          </xdr:cNvPr>
          <xdr:cNvSpPr/>
        </xdr:nvSpPr>
        <xdr:spPr>
          <a:xfrm>
            <a:off x="29146500" y="4381500"/>
            <a:ext cx="6038850" cy="264795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nvGrpSpPr>
          <xdr:cNvPr id="179" name="Group 178">
            <a:extLst>
              <a:ext uri="{FF2B5EF4-FFF2-40B4-BE49-F238E27FC236}">
                <a16:creationId xmlns:a16="http://schemas.microsoft.com/office/drawing/2014/main" id="{E6DB1CE1-DFE5-4B3C-9CCA-E62191BD2D16}"/>
              </a:ext>
            </a:extLst>
          </xdr:cNvPr>
          <xdr:cNvGrpSpPr/>
        </xdr:nvGrpSpPr>
        <xdr:grpSpPr>
          <a:xfrm>
            <a:off x="29885954" y="4724400"/>
            <a:ext cx="4994596" cy="1853441"/>
            <a:chOff x="4185246" y="781050"/>
            <a:chExt cx="4558703" cy="1532653"/>
          </a:xfrm>
        </xdr:grpSpPr>
        <xdr:sp macro="" textlink="Working!H2">
          <xdr:nvSpPr>
            <xdr:cNvPr id="180" name="TextBox 179">
              <a:extLst>
                <a:ext uri="{FF2B5EF4-FFF2-40B4-BE49-F238E27FC236}">
                  <a16:creationId xmlns:a16="http://schemas.microsoft.com/office/drawing/2014/main" id="{23C029EB-DCD1-A9D2-09DD-24F18D15ED21}"/>
                </a:ext>
              </a:extLst>
            </xdr:cNvPr>
            <xdr:cNvSpPr txBox="1"/>
          </xdr:nvSpPr>
          <xdr:spPr>
            <a:xfrm>
              <a:off x="5378450" y="1219200"/>
              <a:ext cx="2724150" cy="6985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1E2A215A-F568-4312-B612-8B3950CA30F3}" type="TxLink">
                <a:rPr lang="en-US" sz="3200" b="1" i="0" u="none" strike="noStrike">
                  <a:solidFill>
                    <a:srgbClr val="2F7D32"/>
                  </a:solidFill>
                  <a:latin typeface="Calibri"/>
                  <a:cs typeface="Calibri"/>
                </a:rPr>
                <a:pPr algn="ctr"/>
                <a:t>75</a:t>
              </a:fld>
              <a:endParaRPr lang="en-US" sz="3200" b="1">
                <a:solidFill>
                  <a:srgbClr val="2F7D32"/>
                </a:solidFill>
              </a:endParaRPr>
            </a:p>
          </xdr:txBody>
        </xdr:sp>
        <xdr:sp macro="" textlink="">
          <xdr:nvSpPr>
            <xdr:cNvPr id="181" name="TextBox 180">
              <a:extLst>
                <a:ext uri="{FF2B5EF4-FFF2-40B4-BE49-F238E27FC236}">
                  <a16:creationId xmlns:a16="http://schemas.microsoft.com/office/drawing/2014/main" id="{39F16A9F-F441-1FA9-19C5-5242E1FD6C76}"/>
                </a:ext>
              </a:extLst>
            </xdr:cNvPr>
            <xdr:cNvSpPr txBox="1"/>
          </xdr:nvSpPr>
          <xdr:spPr>
            <a:xfrm>
              <a:off x="6425894" y="1911059"/>
              <a:ext cx="2003337" cy="40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cases</a:t>
              </a:r>
              <a:endParaRPr lang="en-US" sz="1600">
                <a:solidFill>
                  <a:srgbClr val="2F7D32"/>
                </a:solidFill>
              </a:endParaRPr>
            </a:p>
          </xdr:txBody>
        </xdr:sp>
        <xdr:sp macro="" textlink="">
          <xdr:nvSpPr>
            <xdr:cNvPr id="182" name="TextBox 181">
              <a:extLst>
                <a:ext uri="{FF2B5EF4-FFF2-40B4-BE49-F238E27FC236}">
                  <a16:creationId xmlns:a16="http://schemas.microsoft.com/office/drawing/2014/main" id="{84CAF6F3-11E0-7B47-B5CB-58763B5A806C}"/>
                </a:ext>
              </a:extLst>
            </xdr:cNvPr>
            <xdr:cNvSpPr txBox="1"/>
          </xdr:nvSpPr>
          <xdr:spPr>
            <a:xfrm>
              <a:off x="5824958" y="781050"/>
              <a:ext cx="2918991" cy="36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CASES</a:t>
              </a:r>
            </a:p>
          </xdr:txBody>
        </xdr:sp>
        <xdr:grpSp>
          <xdr:nvGrpSpPr>
            <xdr:cNvPr id="183" name="Group 182">
              <a:extLst>
                <a:ext uri="{FF2B5EF4-FFF2-40B4-BE49-F238E27FC236}">
                  <a16:creationId xmlns:a16="http://schemas.microsoft.com/office/drawing/2014/main" id="{1FE8C51D-B86B-7F14-AFC3-4CB650F0A373}"/>
                </a:ext>
              </a:extLst>
            </xdr:cNvPr>
            <xdr:cNvGrpSpPr/>
          </xdr:nvGrpSpPr>
          <xdr:grpSpPr>
            <a:xfrm>
              <a:off x="4185246" y="865903"/>
              <a:ext cx="1526761" cy="1376561"/>
              <a:chOff x="30404512" y="1132601"/>
              <a:chExt cx="1832113" cy="1764823"/>
            </a:xfrm>
          </xdr:grpSpPr>
          <xdr:sp macro="" textlink="">
            <xdr:nvSpPr>
              <xdr:cNvPr id="184" name="Rectangle: Rounded Corners 183">
                <a:extLst>
                  <a:ext uri="{FF2B5EF4-FFF2-40B4-BE49-F238E27FC236}">
                    <a16:creationId xmlns:a16="http://schemas.microsoft.com/office/drawing/2014/main" id="{D9BC9F22-0C45-58EC-14F9-1F505D8D7481}"/>
                  </a:ext>
                </a:extLst>
              </xdr:cNvPr>
              <xdr:cNvSpPr/>
            </xdr:nvSpPr>
            <xdr:spPr>
              <a:xfrm>
                <a:off x="30404512" y="1132601"/>
                <a:ext cx="1832113" cy="1764823"/>
              </a:xfrm>
              <a:prstGeom prst="roundRect">
                <a:avLst/>
              </a:prstGeom>
              <a:solidFill>
                <a:srgbClr val="8CC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5" name="Graphic 184" descr="Users with solid fill">
                <a:extLst>
                  <a:ext uri="{FF2B5EF4-FFF2-40B4-BE49-F238E27FC236}">
                    <a16:creationId xmlns:a16="http://schemas.microsoft.com/office/drawing/2014/main" id="{93B1E92E-DC56-3EE4-7D34-C67FFA8A4EA2}"/>
                  </a:ext>
                </a:extLst>
              </xdr:cNvPr>
              <xdr:cNvPicPr>
                <a:picLocks noChangeAspect="1"/>
              </xdr:cNvPicPr>
            </xdr:nvPicPr>
            <xdr:blipFill>
              <a:blip xmlns:r="http://schemas.openxmlformats.org/officeDocument/2006/relationships" r:embed="rId10">
                <a:alphaModFix/>
                <a:extLst>
                  <a:ext uri="{96DAC541-7B7A-43D3-8B79-37D633B846F1}">
                    <asvg:svgBlip xmlns:asvg="http://schemas.microsoft.com/office/drawing/2016/SVG/main" r:embed="rId11"/>
                  </a:ext>
                </a:extLst>
              </a:blip>
              <a:stretch>
                <a:fillRect/>
              </a:stretch>
            </xdr:blipFill>
            <xdr:spPr>
              <a:xfrm>
                <a:off x="30695722" y="1350803"/>
                <a:ext cx="1234596" cy="1422400"/>
              </a:xfrm>
              <a:prstGeom prst="rect">
                <a:avLst/>
              </a:prstGeom>
              <a:effectLst/>
            </xdr:spPr>
          </xdr:pic>
        </xdr:grpSp>
      </xdr:grpSp>
    </xdr:grpSp>
    <xdr:clientData/>
  </xdr:twoCellAnchor>
  <xdr:twoCellAnchor>
    <xdr:from>
      <xdr:col>10</xdr:col>
      <xdr:colOff>228600</xdr:colOff>
      <xdr:row>76</xdr:row>
      <xdr:rowOff>177800</xdr:rowOff>
    </xdr:from>
    <xdr:to>
      <xdr:col>23</xdr:col>
      <xdr:colOff>76200</xdr:colOff>
      <xdr:row>93</xdr:row>
      <xdr:rowOff>254000</xdr:rowOff>
    </xdr:to>
    <xdr:sp macro="" textlink="">
      <xdr:nvSpPr>
        <xdr:cNvPr id="39" name="TextBox 38">
          <a:extLst>
            <a:ext uri="{FF2B5EF4-FFF2-40B4-BE49-F238E27FC236}">
              <a16:creationId xmlns:a16="http://schemas.microsoft.com/office/drawing/2014/main" id="{C402F477-97C7-A326-3E7D-DF17C14A2A99}"/>
            </a:ext>
          </a:extLst>
        </xdr:cNvPr>
        <xdr:cNvSpPr txBox="1"/>
      </xdr:nvSpPr>
      <xdr:spPr>
        <a:xfrm>
          <a:off x="21996400" y="13893800"/>
          <a:ext cx="7772400" cy="408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p>
        <a:p>
          <a:pPr marL="0" indent="0"/>
          <a:r>
            <a:rPr lang="en-US" sz="1800" b="1"/>
            <a:t>           </a:t>
          </a:r>
          <a:r>
            <a:rPr lang="en-US" sz="2400" b="1">
              <a:solidFill>
                <a:schemeClr val="dk1"/>
              </a:solidFill>
              <a:latin typeface="+mn-lt"/>
              <a:ea typeface="+mn-ea"/>
              <a:cs typeface="+mn-cs"/>
            </a:rPr>
            <a:t>Peak claims in 2025(26K)</a:t>
          </a:r>
        </a:p>
        <a:p>
          <a:pPr marL="0" indent="0"/>
          <a:r>
            <a:rPr lang="en-US" sz="2200" b="0">
              <a:solidFill>
                <a:schemeClr val="dk1"/>
              </a:solidFill>
              <a:latin typeface="+mn-lt"/>
              <a:ea typeface="+mn-ea"/>
              <a:cs typeface="+mn-cs"/>
            </a:rPr>
            <a:t>The highest claim value was recorded in 2025.</a:t>
          </a:r>
        </a:p>
        <a:p>
          <a:endParaRPr lang="en-US" sz="1800" b="0"/>
        </a:p>
        <a:p>
          <a:endParaRPr lang="en-US" sz="2400" b="1">
            <a:solidFill>
              <a:schemeClr val="dk1"/>
            </a:solidFill>
            <a:latin typeface="+mn-lt"/>
            <a:ea typeface="+mn-ea"/>
            <a:cs typeface="+mn-cs"/>
          </a:endParaRPr>
        </a:p>
        <a:p>
          <a:r>
            <a:rPr lang="en-US" sz="2400" b="1">
              <a:solidFill>
                <a:schemeClr val="dk1"/>
              </a:solidFill>
              <a:latin typeface="+mn-lt"/>
              <a:ea typeface="+mn-ea"/>
              <a:cs typeface="+mn-cs"/>
            </a:rPr>
            <a:t>         </a:t>
          </a:r>
          <a:r>
            <a:rPr lang="en-US" sz="2400" b="1" baseline="0">
              <a:solidFill>
                <a:schemeClr val="dk1"/>
              </a:solidFill>
              <a:latin typeface="+mn-lt"/>
              <a:ea typeface="+mn-ea"/>
              <a:cs typeface="+mn-cs"/>
            </a:rPr>
            <a:t> </a:t>
          </a:r>
          <a:r>
            <a:rPr lang="en-US" sz="2400" b="1">
              <a:solidFill>
                <a:schemeClr val="dk1"/>
              </a:solidFill>
              <a:latin typeface="+mn-lt"/>
              <a:ea typeface="+mn-ea"/>
              <a:cs typeface="+mn-cs"/>
            </a:rPr>
            <a:t>Highest compensation rate in 2024 (52%)</a:t>
          </a:r>
        </a:p>
        <a:p>
          <a:pPr marL="0" indent="0"/>
          <a:r>
            <a:rPr lang="en-US" sz="2200" b="0">
              <a:solidFill>
                <a:schemeClr val="dk1"/>
              </a:solidFill>
              <a:latin typeface="+mn-lt"/>
              <a:ea typeface="+mn-ea"/>
              <a:cs typeface="+mn-cs"/>
            </a:rPr>
            <a:t>Excellent settlement performance in 2024.</a:t>
          </a:r>
        </a:p>
        <a:p>
          <a:endParaRPr lang="en-US" sz="1800"/>
        </a:p>
        <a:p>
          <a:r>
            <a:rPr lang="en-US" sz="1800"/>
            <a:t> </a:t>
          </a:r>
        </a:p>
        <a:p>
          <a:r>
            <a:rPr lang="en-US" sz="1800" b="1"/>
            <a:t>            </a:t>
          </a:r>
          <a:r>
            <a:rPr lang="en-US" sz="2400" b="1"/>
            <a:t>No compensation yet in 2026</a:t>
          </a:r>
        </a:p>
        <a:p>
          <a:r>
            <a:rPr lang="en-US" sz="2200" b="0"/>
            <a:t>no</a:t>
          </a:r>
          <a:r>
            <a:rPr lang="en-US" sz="2200" b="0" baseline="0"/>
            <a:t> compensation recorded.</a:t>
          </a:r>
          <a:endParaRPr lang="en-US" sz="2200" b="0"/>
        </a:p>
      </xdr:txBody>
    </xdr:sp>
    <xdr:clientData/>
  </xdr:twoCellAnchor>
  <xdr:twoCellAnchor>
    <xdr:from>
      <xdr:col>10</xdr:col>
      <xdr:colOff>127000</xdr:colOff>
      <xdr:row>76</xdr:row>
      <xdr:rowOff>279401</xdr:rowOff>
    </xdr:from>
    <xdr:to>
      <xdr:col>11</xdr:col>
      <xdr:colOff>203200</xdr:colOff>
      <xdr:row>78</xdr:row>
      <xdr:rowOff>50800</xdr:rowOff>
    </xdr:to>
    <xdr:grpSp>
      <xdr:nvGrpSpPr>
        <xdr:cNvPr id="17" name="Group 16">
          <a:extLst>
            <a:ext uri="{FF2B5EF4-FFF2-40B4-BE49-F238E27FC236}">
              <a16:creationId xmlns:a16="http://schemas.microsoft.com/office/drawing/2014/main" id="{3E223445-728C-A763-4F4F-015F15888585}"/>
            </a:ext>
          </a:extLst>
        </xdr:cNvPr>
        <xdr:cNvGrpSpPr/>
      </xdr:nvGrpSpPr>
      <xdr:grpSpPr>
        <a:xfrm>
          <a:off x="17962563" y="14876464"/>
          <a:ext cx="695325" cy="581024"/>
          <a:chOff x="29752456" y="14173200"/>
          <a:chExt cx="609600" cy="609601"/>
        </a:xfrm>
      </xdr:grpSpPr>
      <xdr:sp macro="" textlink="">
        <xdr:nvSpPr>
          <xdr:cNvPr id="10" name="Oval 9">
            <a:extLst>
              <a:ext uri="{FF2B5EF4-FFF2-40B4-BE49-F238E27FC236}">
                <a16:creationId xmlns:a16="http://schemas.microsoft.com/office/drawing/2014/main" id="{D3007951-C9BB-275D-180E-2A593169647F}"/>
              </a:ext>
            </a:extLst>
          </xdr:cNvPr>
          <xdr:cNvSpPr/>
        </xdr:nvSpPr>
        <xdr:spPr>
          <a:xfrm>
            <a:off x="29752456" y="14173200"/>
            <a:ext cx="609600" cy="609601"/>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Graphic 5" descr="Upward trend with solid fill">
            <a:extLst>
              <a:ext uri="{FF2B5EF4-FFF2-40B4-BE49-F238E27FC236}">
                <a16:creationId xmlns:a16="http://schemas.microsoft.com/office/drawing/2014/main" id="{8729E7BF-F864-475B-A0D8-C0918443D0B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9763720" y="14264640"/>
            <a:ext cx="557057" cy="459373"/>
          </a:xfrm>
          <a:prstGeom prst="rect">
            <a:avLst/>
          </a:prstGeom>
        </xdr:spPr>
      </xdr:pic>
    </xdr:grpSp>
    <xdr:clientData/>
  </xdr:twoCellAnchor>
  <xdr:twoCellAnchor>
    <xdr:from>
      <xdr:col>10</xdr:col>
      <xdr:colOff>203200</xdr:colOff>
      <xdr:row>80</xdr:row>
      <xdr:rowOff>101600</xdr:rowOff>
    </xdr:from>
    <xdr:to>
      <xdr:col>11</xdr:col>
      <xdr:colOff>297180</xdr:colOff>
      <xdr:row>83</xdr:row>
      <xdr:rowOff>145923</xdr:rowOff>
    </xdr:to>
    <xdr:grpSp>
      <xdr:nvGrpSpPr>
        <xdr:cNvPr id="18" name="Group 17">
          <a:extLst>
            <a:ext uri="{FF2B5EF4-FFF2-40B4-BE49-F238E27FC236}">
              <a16:creationId xmlns:a16="http://schemas.microsoft.com/office/drawing/2014/main" id="{C6D89F4A-F61C-DA59-7762-8FA5F1502A0E}"/>
            </a:ext>
          </a:extLst>
        </xdr:cNvPr>
        <xdr:cNvGrpSpPr/>
      </xdr:nvGrpSpPr>
      <xdr:grpSpPr>
        <a:xfrm>
          <a:off x="18038763" y="16317913"/>
          <a:ext cx="713105" cy="615823"/>
          <a:chOff x="32735520" y="13060680"/>
          <a:chExt cx="609600" cy="609600"/>
        </a:xfrm>
      </xdr:grpSpPr>
      <xdr:sp macro="" textlink="">
        <xdr:nvSpPr>
          <xdr:cNvPr id="14" name="Oval 13">
            <a:extLst>
              <a:ext uri="{FF2B5EF4-FFF2-40B4-BE49-F238E27FC236}">
                <a16:creationId xmlns:a16="http://schemas.microsoft.com/office/drawing/2014/main" id="{C10B4EBA-04C1-4C9C-AA8F-1A7BA524194A}"/>
              </a:ext>
            </a:extLst>
          </xdr:cNvPr>
          <xdr:cNvSpPr/>
        </xdr:nvSpPr>
        <xdr:spPr>
          <a:xfrm>
            <a:off x="32735520" y="13060680"/>
            <a:ext cx="609600" cy="609600"/>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Graphic 15" descr="Bar graph with upward trend with solid fill">
            <a:extLst>
              <a:ext uri="{FF2B5EF4-FFF2-40B4-BE49-F238E27FC236}">
                <a16:creationId xmlns:a16="http://schemas.microsoft.com/office/drawing/2014/main" id="{D99AA9B3-3148-4420-BE06-190BEEB971A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811720" y="13167360"/>
            <a:ext cx="434975" cy="417373"/>
          </a:xfrm>
          <a:prstGeom prst="rect">
            <a:avLst/>
          </a:prstGeom>
        </xdr:spPr>
      </xdr:pic>
    </xdr:grpSp>
    <xdr:clientData/>
  </xdr:twoCellAnchor>
  <xdr:twoCellAnchor>
    <xdr:from>
      <xdr:col>10</xdr:col>
      <xdr:colOff>203200</xdr:colOff>
      <xdr:row>87</xdr:row>
      <xdr:rowOff>127214</xdr:rowOff>
    </xdr:from>
    <xdr:to>
      <xdr:col>11</xdr:col>
      <xdr:colOff>253999</xdr:colOff>
      <xdr:row>90</xdr:row>
      <xdr:rowOff>101600</xdr:rowOff>
    </xdr:to>
    <xdr:grpSp>
      <xdr:nvGrpSpPr>
        <xdr:cNvPr id="26" name="Group 25">
          <a:extLst>
            <a:ext uri="{FF2B5EF4-FFF2-40B4-BE49-F238E27FC236}">
              <a16:creationId xmlns:a16="http://schemas.microsoft.com/office/drawing/2014/main" id="{AC3992A1-2939-C70E-2041-DEE0C6998857}"/>
            </a:ext>
          </a:extLst>
        </xdr:cNvPr>
        <xdr:cNvGrpSpPr/>
      </xdr:nvGrpSpPr>
      <xdr:grpSpPr>
        <a:xfrm>
          <a:off x="18038763" y="17677027"/>
          <a:ext cx="669924" cy="545886"/>
          <a:chOff x="30967680" y="12390120"/>
          <a:chExt cx="482600" cy="396240"/>
        </a:xfrm>
      </xdr:grpSpPr>
      <xdr:sp macro="" textlink="">
        <xdr:nvSpPr>
          <xdr:cNvPr id="25" name="Oval 24">
            <a:extLst>
              <a:ext uri="{FF2B5EF4-FFF2-40B4-BE49-F238E27FC236}">
                <a16:creationId xmlns:a16="http://schemas.microsoft.com/office/drawing/2014/main" id="{BAA2A305-AC81-4286-BC0A-88076A024E34}"/>
              </a:ext>
            </a:extLst>
          </xdr:cNvPr>
          <xdr:cNvSpPr/>
        </xdr:nvSpPr>
        <xdr:spPr>
          <a:xfrm>
            <a:off x="30967680" y="12390120"/>
            <a:ext cx="482600" cy="396240"/>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0" name="Graphic 19" descr="Clipboard with solid fill">
            <a:extLst>
              <a:ext uri="{FF2B5EF4-FFF2-40B4-BE49-F238E27FC236}">
                <a16:creationId xmlns:a16="http://schemas.microsoft.com/office/drawing/2014/main" id="{4A127CBF-8BDD-432B-861A-B80DDFB0A02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022196" y="12410777"/>
            <a:ext cx="388403" cy="334407"/>
          </a:xfrm>
          <a:prstGeom prst="rect">
            <a:avLst/>
          </a:prstGeom>
        </xdr:spPr>
      </xdr:pic>
    </xdr:grpSp>
    <xdr:clientData/>
  </xdr:twoCellAnchor>
  <xdr:twoCellAnchor editAs="oneCell">
    <xdr:from>
      <xdr:col>0</xdr:col>
      <xdr:colOff>655320</xdr:colOff>
      <xdr:row>2</xdr:row>
      <xdr:rowOff>15240</xdr:rowOff>
    </xdr:from>
    <xdr:to>
      <xdr:col>1</xdr:col>
      <xdr:colOff>1000760</xdr:colOff>
      <xdr:row>9</xdr:row>
      <xdr:rowOff>10160</xdr:rowOff>
    </xdr:to>
    <xdr:pic>
      <xdr:nvPicPr>
        <xdr:cNvPr id="5" name="Picture 4">
          <a:extLst>
            <a:ext uri="{FF2B5EF4-FFF2-40B4-BE49-F238E27FC236}">
              <a16:creationId xmlns:a16="http://schemas.microsoft.com/office/drawing/2014/main" id="{B4F53AC4-3EF4-4C74-96C3-47DB0B7C318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55320" y="381000"/>
          <a:ext cx="1595120" cy="1275080"/>
        </a:xfrm>
        <a:prstGeom prst="rect">
          <a:avLst/>
        </a:prstGeom>
      </xdr:spPr>
    </xdr:pic>
    <xdr:clientData/>
  </xdr:twoCellAnchor>
  <xdr:twoCellAnchor>
    <xdr:from>
      <xdr:col>1</xdr:col>
      <xdr:colOff>1740806</xdr:colOff>
      <xdr:row>18</xdr:row>
      <xdr:rowOff>95250</xdr:rowOff>
    </xdr:from>
    <xdr:to>
      <xdr:col>6</xdr:col>
      <xdr:colOff>685800</xdr:colOff>
      <xdr:row>39</xdr:row>
      <xdr:rowOff>50800</xdr:rowOff>
    </xdr:to>
    <xdr:graphicFrame macro="">
      <xdr:nvGraphicFramePr>
        <xdr:cNvPr id="12" name="Chart 11">
          <a:extLst>
            <a:ext uri="{FF2B5EF4-FFF2-40B4-BE49-F238E27FC236}">
              <a16:creationId xmlns:a16="http://schemas.microsoft.com/office/drawing/2014/main" id="{5A36C389-CA70-4DF9-8D4E-4C26F88F5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22860</xdr:colOff>
      <xdr:row>13</xdr:row>
      <xdr:rowOff>99060</xdr:rowOff>
    </xdr:from>
    <xdr:to>
      <xdr:col>24</xdr:col>
      <xdr:colOff>30480</xdr:colOff>
      <xdr:row>25</xdr:row>
      <xdr:rowOff>38100</xdr:rowOff>
    </xdr:to>
    <xdr:graphicFrame macro="">
      <xdr:nvGraphicFramePr>
        <xdr:cNvPr id="4" name="Chart 3">
          <a:extLst>
            <a:ext uri="{FF2B5EF4-FFF2-40B4-BE49-F238E27FC236}">
              <a16:creationId xmlns:a16="http://schemas.microsoft.com/office/drawing/2014/main" id="{B234622A-37EE-8BCE-7D4F-FD5856D8F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426720</xdr:colOff>
      <xdr:row>13</xdr:row>
      <xdr:rowOff>38100</xdr:rowOff>
    </xdr:from>
    <xdr:to>
      <xdr:col>27</xdr:col>
      <xdr:colOff>1965960</xdr:colOff>
      <xdr:row>26</xdr:row>
      <xdr:rowOff>57150</xdr:rowOff>
    </xdr:to>
    <xdr:graphicFrame macro="">
      <xdr:nvGraphicFramePr>
        <xdr:cNvPr id="5" name="Chart 4">
          <a:extLst>
            <a:ext uri="{FF2B5EF4-FFF2-40B4-BE49-F238E27FC236}">
              <a16:creationId xmlns:a16="http://schemas.microsoft.com/office/drawing/2014/main" id="{3F9A0D23-5114-512C-E36C-14890CDDE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106680</xdr:colOff>
      <xdr:row>21</xdr:row>
      <xdr:rowOff>106681</xdr:rowOff>
    </xdr:from>
    <xdr:to>
      <xdr:col>11</xdr:col>
      <xdr:colOff>320040</xdr:colOff>
      <xdr:row>25</xdr:row>
      <xdr:rowOff>38101</xdr:rowOff>
    </xdr:to>
    <mc:AlternateContent xmlns:mc="http://schemas.openxmlformats.org/markup-compatibility/2006" xmlns:a14="http://schemas.microsoft.com/office/drawing/2010/main">
      <mc:Choice Requires="a14">
        <xdr:graphicFrame macro="">
          <xdr:nvGraphicFramePr>
            <xdr:cNvPr id="6" name="Period Type">
              <a:extLst>
                <a:ext uri="{FF2B5EF4-FFF2-40B4-BE49-F238E27FC236}">
                  <a16:creationId xmlns:a16="http://schemas.microsoft.com/office/drawing/2014/main" id="{71F3947B-3AB1-42CE-756B-908D569A991C}"/>
                </a:ext>
              </a:extLst>
            </xdr:cNvPr>
            <xdr:cNvGraphicFramePr/>
          </xdr:nvGraphicFramePr>
          <xdr:xfrm>
            <a:off x="0" y="0"/>
            <a:ext cx="0" cy="0"/>
          </xdr:xfrm>
          <a:graphic>
            <a:graphicData uri="http://schemas.microsoft.com/office/drawing/2010/slicer">
              <sle:slicer xmlns:sle="http://schemas.microsoft.com/office/drawing/2010/slicer" name="Period Type"/>
            </a:graphicData>
          </a:graphic>
        </xdr:graphicFrame>
      </mc:Choice>
      <mc:Fallback xmlns="">
        <xdr:sp macro="" textlink="">
          <xdr:nvSpPr>
            <xdr:cNvPr id="0" name=""/>
            <xdr:cNvSpPr>
              <a:spLocks noTextEdit="1"/>
            </xdr:cNvSpPr>
          </xdr:nvSpPr>
          <xdr:spPr>
            <a:xfrm>
              <a:off x="10507980" y="3992881"/>
              <a:ext cx="182880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144780</xdr:colOff>
      <xdr:row>17</xdr:row>
      <xdr:rowOff>114301</xdr:rowOff>
    </xdr:from>
    <xdr:to>
      <xdr:col>11</xdr:col>
      <xdr:colOff>358140</xdr:colOff>
      <xdr:row>21</xdr:row>
      <xdr:rowOff>30481</xdr:rowOff>
    </xdr:to>
    <mc:AlternateContent xmlns:mc="http://schemas.openxmlformats.org/markup-compatibility/2006" xmlns:a14="http://schemas.microsoft.com/office/drawing/2010/main">
      <mc:Choice Requires="a14">
        <xdr:graphicFrame macro="">
          <xdr:nvGraphicFramePr>
            <xdr:cNvPr id="7" name="Type">
              <a:extLst>
                <a:ext uri="{FF2B5EF4-FFF2-40B4-BE49-F238E27FC236}">
                  <a16:creationId xmlns:a16="http://schemas.microsoft.com/office/drawing/2014/main" id="{95C6E633-9E6A-C87C-F8EB-B061BC1E646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546080" y="3268981"/>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25</xdr:row>
      <xdr:rowOff>60961</xdr:rowOff>
    </xdr:from>
    <xdr:to>
      <xdr:col>11</xdr:col>
      <xdr:colOff>403860</xdr:colOff>
      <xdr:row>28</xdr:row>
      <xdr:rowOff>152401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C360D3D2-78A4-D97C-A3F7-2865EA4C0A7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591800" y="4678681"/>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68580</xdr:rowOff>
    </xdr:from>
    <xdr:to>
      <xdr:col>1</xdr:col>
      <xdr:colOff>1531620</xdr:colOff>
      <xdr:row>25</xdr:row>
      <xdr:rowOff>87630</xdr:rowOff>
    </xdr:to>
    <xdr:graphicFrame macro="">
      <xdr:nvGraphicFramePr>
        <xdr:cNvPr id="9" name="Chart 8">
          <a:extLst>
            <a:ext uri="{FF2B5EF4-FFF2-40B4-BE49-F238E27FC236}">
              <a16:creationId xmlns:a16="http://schemas.microsoft.com/office/drawing/2014/main" id="{82C5C35A-823C-BFD9-754F-1892F16EE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518160</xdr:colOff>
      <xdr:row>14</xdr:row>
      <xdr:rowOff>148590</xdr:rowOff>
    </xdr:from>
    <xdr:to>
      <xdr:col>18</xdr:col>
      <xdr:colOff>15240</xdr:colOff>
      <xdr:row>29</xdr:row>
      <xdr:rowOff>148590</xdr:rowOff>
    </xdr:to>
    <xdr:graphicFrame macro="">
      <xdr:nvGraphicFramePr>
        <xdr:cNvPr id="10" name="Chart 9">
          <a:extLst>
            <a:ext uri="{FF2B5EF4-FFF2-40B4-BE49-F238E27FC236}">
              <a16:creationId xmlns:a16="http://schemas.microsoft.com/office/drawing/2014/main" id="{BC1989BC-93B7-4887-7410-2A9978FD1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1104900</xdr:colOff>
      <xdr:row>19</xdr:row>
      <xdr:rowOff>15240</xdr:rowOff>
    </xdr:from>
    <xdr:to>
      <xdr:col>9</xdr:col>
      <xdr:colOff>373380</xdr:colOff>
      <xdr:row>26</xdr:row>
      <xdr:rowOff>106680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47920B28-F611-DBD9-A441-36B4826A315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437120" y="3535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76200</xdr:colOff>
      <xdr:row>17</xdr:row>
      <xdr:rowOff>133350</xdr:rowOff>
    </xdr:from>
    <xdr:to>
      <xdr:col>24</xdr:col>
      <xdr:colOff>285750</xdr:colOff>
      <xdr:row>40</xdr:row>
      <xdr:rowOff>63500</xdr:rowOff>
    </xdr:to>
    <xdr:sp macro="" textlink="">
      <xdr:nvSpPr>
        <xdr:cNvPr id="7186" name="Rectangle 7185">
          <a:extLst>
            <a:ext uri="{FF2B5EF4-FFF2-40B4-BE49-F238E27FC236}">
              <a16:creationId xmlns:a16="http://schemas.microsoft.com/office/drawing/2014/main" id="{8524160E-9BDD-409C-9E00-EC612F582A5A}"/>
            </a:ext>
          </a:extLst>
        </xdr:cNvPr>
        <xdr:cNvSpPr/>
      </xdr:nvSpPr>
      <xdr:spPr>
        <a:xfrm>
          <a:off x="13811250" y="3371850"/>
          <a:ext cx="9963150" cy="43116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0</xdr:col>
      <xdr:colOff>0</xdr:colOff>
      <xdr:row>0</xdr:row>
      <xdr:rowOff>0</xdr:rowOff>
    </xdr:from>
    <xdr:to>
      <xdr:col>1</xdr:col>
      <xdr:colOff>1625600</xdr:colOff>
      <xdr:row>62</xdr:row>
      <xdr:rowOff>19050</xdr:rowOff>
    </xdr:to>
    <xdr:sp macro="" textlink="">
      <xdr:nvSpPr>
        <xdr:cNvPr id="7182" name="Rectangle 7181">
          <a:extLst>
            <a:ext uri="{FF2B5EF4-FFF2-40B4-BE49-F238E27FC236}">
              <a16:creationId xmlns:a16="http://schemas.microsoft.com/office/drawing/2014/main" id="{C3025FA9-E681-0FBE-ECE7-07019E1EEBEB}"/>
            </a:ext>
          </a:extLst>
        </xdr:cNvPr>
        <xdr:cNvSpPr/>
      </xdr:nvSpPr>
      <xdr:spPr>
        <a:xfrm>
          <a:off x="0" y="0"/>
          <a:ext cx="2863850" cy="12820650"/>
        </a:xfrm>
        <a:prstGeom prst="rect">
          <a:avLst/>
        </a:prstGeom>
        <a:solidFill>
          <a:srgbClr val="0F4D1F"/>
        </a:solid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1828800</xdr:colOff>
      <xdr:row>1</xdr:row>
      <xdr:rowOff>0</xdr:rowOff>
    </xdr:from>
    <xdr:to>
      <xdr:col>24</xdr:col>
      <xdr:colOff>228600</xdr:colOff>
      <xdr:row>16</xdr:row>
      <xdr:rowOff>133350</xdr:rowOff>
    </xdr:to>
    <xdr:sp macro="" textlink="">
      <xdr:nvSpPr>
        <xdr:cNvPr id="6" name="Rectangle 5">
          <a:extLst>
            <a:ext uri="{FF2B5EF4-FFF2-40B4-BE49-F238E27FC236}">
              <a16:creationId xmlns:a16="http://schemas.microsoft.com/office/drawing/2014/main" id="{549E231C-3883-C900-54D5-7FE2129720D6}"/>
            </a:ext>
          </a:extLst>
        </xdr:cNvPr>
        <xdr:cNvSpPr/>
      </xdr:nvSpPr>
      <xdr:spPr>
        <a:xfrm>
          <a:off x="3067050" y="190500"/>
          <a:ext cx="20650200" cy="29908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5</xdr:col>
      <xdr:colOff>628650</xdr:colOff>
      <xdr:row>4</xdr:row>
      <xdr:rowOff>133350</xdr:rowOff>
    </xdr:from>
    <xdr:to>
      <xdr:col>7</xdr:col>
      <xdr:colOff>209550</xdr:colOff>
      <xdr:row>15</xdr:row>
      <xdr:rowOff>152400</xdr:rowOff>
    </xdr:to>
    <xdr:sp macro="" textlink="">
      <xdr:nvSpPr>
        <xdr:cNvPr id="8" name="Rectangle: Rounded Corners 7">
          <a:extLst>
            <a:ext uri="{FF2B5EF4-FFF2-40B4-BE49-F238E27FC236}">
              <a16:creationId xmlns:a16="http://schemas.microsoft.com/office/drawing/2014/main" id="{02917324-2E91-8397-6E99-D46AB44121C0}"/>
            </a:ext>
          </a:extLst>
        </xdr:cNvPr>
        <xdr:cNvSpPr/>
      </xdr:nvSpPr>
      <xdr:spPr>
        <a:xfrm>
          <a:off x="9182100" y="895350"/>
          <a:ext cx="4152900" cy="211455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9</xdr:col>
      <xdr:colOff>38100</xdr:colOff>
      <xdr:row>4</xdr:row>
      <xdr:rowOff>95250</xdr:rowOff>
    </xdr:from>
    <xdr:to>
      <xdr:col>16</xdr:col>
      <xdr:colOff>0</xdr:colOff>
      <xdr:row>15</xdr:row>
      <xdr:rowOff>133350</xdr:rowOff>
    </xdr:to>
    <xdr:sp macro="" textlink="">
      <xdr:nvSpPr>
        <xdr:cNvPr id="9" name="Rectangle: Rounded Corners 8">
          <a:extLst>
            <a:ext uri="{FF2B5EF4-FFF2-40B4-BE49-F238E27FC236}">
              <a16:creationId xmlns:a16="http://schemas.microsoft.com/office/drawing/2014/main" id="{02A4F34A-1ABB-C98E-DDCD-C517D660AAA3}"/>
            </a:ext>
          </a:extLst>
        </xdr:cNvPr>
        <xdr:cNvSpPr/>
      </xdr:nvSpPr>
      <xdr:spPr>
        <a:xfrm>
          <a:off x="14382750" y="857250"/>
          <a:ext cx="4229100" cy="213360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a:effectLst/>
          </a:endParaRPr>
        </a:p>
        <a:p>
          <a:pPr algn="ctr"/>
          <a:endParaRPr lang="en-US"/>
        </a:p>
      </xdr:txBody>
    </xdr:sp>
    <xdr:clientData/>
  </xdr:twoCellAnchor>
  <xdr:twoCellAnchor>
    <xdr:from>
      <xdr:col>1</xdr:col>
      <xdr:colOff>1791606</xdr:colOff>
      <xdr:row>17</xdr:row>
      <xdr:rowOff>171450</xdr:rowOff>
    </xdr:from>
    <xdr:to>
      <xdr:col>7</xdr:col>
      <xdr:colOff>76200</xdr:colOff>
      <xdr:row>39</xdr:row>
      <xdr:rowOff>133350</xdr:rowOff>
    </xdr:to>
    <xdr:sp macro="" textlink="">
      <xdr:nvSpPr>
        <xdr:cNvPr id="13" name="Rectangle 12">
          <a:extLst>
            <a:ext uri="{FF2B5EF4-FFF2-40B4-BE49-F238E27FC236}">
              <a16:creationId xmlns:a16="http://schemas.microsoft.com/office/drawing/2014/main" id="{18057ABD-527E-51BC-80AD-877ACF44FF9D}"/>
            </a:ext>
          </a:extLst>
        </xdr:cNvPr>
        <xdr:cNvSpPr>
          <a:spLocks/>
        </xdr:cNvSpPr>
      </xdr:nvSpPr>
      <xdr:spPr>
        <a:xfrm>
          <a:off x="3029856" y="3409950"/>
          <a:ext cx="9924144" cy="415290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8</xdr:col>
      <xdr:colOff>101600</xdr:colOff>
      <xdr:row>41</xdr:row>
      <xdr:rowOff>58058</xdr:rowOff>
    </xdr:from>
    <xdr:to>
      <xdr:col>24</xdr:col>
      <xdr:colOff>304800</xdr:colOff>
      <xdr:row>61</xdr:row>
      <xdr:rowOff>7258</xdr:rowOff>
    </xdr:to>
    <xdr:sp macro="" textlink="">
      <xdr:nvSpPr>
        <xdr:cNvPr id="15" name="Rectangle 14">
          <a:extLst>
            <a:ext uri="{FF2B5EF4-FFF2-40B4-BE49-F238E27FC236}">
              <a16:creationId xmlns:a16="http://schemas.microsoft.com/office/drawing/2014/main" id="{C4CAE957-F328-492D-91A6-27516B17CCE1}"/>
            </a:ext>
          </a:extLst>
        </xdr:cNvPr>
        <xdr:cNvSpPr/>
      </xdr:nvSpPr>
      <xdr:spPr>
        <a:xfrm>
          <a:off x="13491029" y="7645401"/>
          <a:ext cx="9956800" cy="4640943"/>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2</xdr:col>
      <xdr:colOff>131536</xdr:colOff>
      <xdr:row>20</xdr:row>
      <xdr:rowOff>50800</xdr:rowOff>
    </xdr:from>
    <xdr:to>
      <xdr:col>6</xdr:col>
      <xdr:colOff>1758950</xdr:colOff>
      <xdr:row>38</xdr:row>
      <xdr:rowOff>40640</xdr:rowOff>
    </xdr:to>
    <xdr:graphicFrame macro="">
      <xdr:nvGraphicFramePr>
        <xdr:cNvPr id="17" name="Chart 16">
          <a:extLst>
            <a:ext uri="{FF2B5EF4-FFF2-40B4-BE49-F238E27FC236}">
              <a16:creationId xmlns:a16="http://schemas.microsoft.com/office/drawing/2014/main" id="{8269EC41-0B65-4A88-9A4D-1E5AB2584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83655</xdr:rowOff>
    </xdr:from>
    <xdr:to>
      <xdr:col>1</xdr:col>
      <xdr:colOff>1430291</xdr:colOff>
      <xdr:row>17</xdr:row>
      <xdr:rowOff>104622</xdr:rowOff>
    </xdr:to>
    <mc:AlternateContent xmlns:mc="http://schemas.openxmlformats.org/markup-compatibility/2006" xmlns:a14="http://schemas.microsoft.com/office/drawing/2010/main">
      <mc:Choice Requires="a14">
        <xdr:graphicFrame macro="">
          <xdr:nvGraphicFramePr>
            <xdr:cNvPr id="20" name="Period Type 4">
              <a:extLst>
                <a:ext uri="{FF2B5EF4-FFF2-40B4-BE49-F238E27FC236}">
                  <a16:creationId xmlns:a16="http://schemas.microsoft.com/office/drawing/2014/main" id="{D0A216E9-B2F5-4E53-9A47-41C1939AF95F}"/>
                </a:ext>
              </a:extLst>
            </xdr:cNvPr>
            <xdr:cNvGraphicFramePr/>
          </xdr:nvGraphicFramePr>
          <xdr:xfrm>
            <a:off x="0" y="0"/>
            <a:ext cx="0" cy="0"/>
          </xdr:xfrm>
          <a:graphic>
            <a:graphicData uri="http://schemas.microsoft.com/office/drawing/2010/slicer">
              <sle:slicer xmlns:sle="http://schemas.microsoft.com/office/drawing/2010/slicer" name="Period Type 4"/>
            </a:graphicData>
          </a:graphic>
        </xdr:graphicFrame>
      </mc:Choice>
      <mc:Fallback xmlns="">
        <xdr:sp macro="" textlink="">
          <xdr:nvSpPr>
            <xdr:cNvPr id="0" name=""/>
            <xdr:cNvSpPr>
              <a:spLocks noTextEdit="1"/>
            </xdr:cNvSpPr>
          </xdr:nvSpPr>
          <xdr:spPr>
            <a:xfrm>
              <a:off x="0" y="2369655"/>
              <a:ext cx="2668541" cy="97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176067</xdr:rowOff>
    </xdr:from>
    <xdr:to>
      <xdr:col>1</xdr:col>
      <xdr:colOff>1447800</xdr:colOff>
      <xdr:row>25</xdr:row>
      <xdr:rowOff>31570</xdr:rowOff>
    </xdr:to>
    <mc:AlternateContent xmlns:mc="http://schemas.openxmlformats.org/markup-compatibility/2006" xmlns:a14="http://schemas.microsoft.com/office/drawing/2010/main">
      <mc:Choice Requires="a14">
        <xdr:graphicFrame macro="">
          <xdr:nvGraphicFramePr>
            <xdr:cNvPr id="22" name="Type 4">
              <a:extLst>
                <a:ext uri="{FF2B5EF4-FFF2-40B4-BE49-F238E27FC236}">
                  <a16:creationId xmlns:a16="http://schemas.microsoft.com/office/drawing/2014/main" id="{F6307F90-44A7-4259-9D7B-30865ECA5B52}"/>
                </a:ext>
              </a:extLst>
            </xdr:cNvPr>
            <xdr:cNvGraphicFramePr/>
          </xdr:nvGraphicFramePr>
          <xdr:xfrm>
            <a:off x="0" y="0"/>
            <a:ext cx="0" cy="0"/>
          </xdr:xfrm>
          <a:graphic>
            <a:graphicData uri="http://schemas.microsoft.com/office/drawing/2010/slicer">
              <sle:slicer xmlns:sle="http://schemas.microsoft.com/office/drawing/2010/slicer" name="Type 4"/>
            </a:graphicData>
          </a:graphic>
        </xdr:graphicFrame>
      </mc:Choice>
      <mc:Fallback xmlns="">
        <xdr:sp macro="" textlink="">
          <xdr:nvSpPr>
            <xdr:cNvPr id="0" name=""/>
            <xdr:cNvSpPr>
              <a:spLocks noTextEdit="1"/>
            </xdr:cNvSpPr>
          </xdr:nvSpPr>
          <xdr:spPr>
            <a:xfrm>
              <a:off x="0" y="3795567"/>
              <a:ext cx="2686050" cy="998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44225</xdr:rowOff>
    </xdr:from>
    <xdr:to>
      <xdr:col>1</xdr:col>
      <xdr:colOff>1409700</xdr:colOff>
      <xdr:row>33</xdr:row>
      <xdr:rowOff>139700</xdr:rowOff>
    </xdr:to>
    <mc:AlternateContent xmlns:mc="http://schemas.openxmlformats.org/markup-compatibility/2006" xmlns:a14="http://schemas.microsoft.com/office/drawing/2010/main">
      <mc:Choice Requires="a14">
        <xdr:graphicFrame macro="">
          <xdr:nvGraphicFramePr>
            <xdr:cNvPr id="24" name="Status 4">
              <a:extLst>
                <a:ext uri="{FF2B5EF4-FFF2-40B4-BE49-F238E27FC236}">
                  <a16:creationId xmlns:a16="http://schemas.microsoft.com/office/drawing/2014/main" id="{6A219E55-6E4E-4B74-93F7-C03888E3B0CA}"/>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0" y="5378225"/>
              <a:ext cx="2647950" cy="1047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57150</xdr:colOff>
      <xdr:row>18</xdr:row>
      <xdr:rowOff>107950</xdr:rowOff>
    </xdr:from>
    <xdr:to>
      <xdr:col>22</xdr:col>
      <xdr:colOff>476250</xdr:colOff>
      <xdr:row>39</xdr:row>
      <xdr:rowOff>146050</xdr:rowOff>
    </xdr:to>
    <xdr:graphicFrame macro="">
      <xdr:nvGraphicFramePr>
        <xdr:cNvPr id="45" name="Chart 44">
          <a:extLst>
            <a:ext uri="{FF2B5EF4-FFF2-40B4-BE49-F238E27FC236}">
              <a16:creationId xmlns:a16="http://schemas.microsoft.com/office/drawing/2014/main" id="{A2EA0758-7DC7-4C23-BBF2-0F01ADE85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35</xdr:row>
      <xdr:rowOff>127000</xdr:rowOff>
    </xdr:from>
    <xdr:to>
      <xdr:col>1</xdr:col>
      <xdr:colOff>1549400</xdr:colOff>
      <xdr:row>44</xdr:row>
      <xdr:rowOff>292100</xdr:rowOff>
    </xdr:to>
    <mc:AlternateContent xmlns:mc="http://schemas.openxmlformats.org/markup-compatibility/2006" xmlns:tsle="http://schemas.microsoft.com/office/drawing/2012/timeslicer">
      <mc:Choice Requires="tsle">
        <xdr:graphicFrame macro="">
          <xdr:nvGraphicFramePr>
            <xdr:cNvPr id="47" name="Date 1">
              <a:extLst>
                <a:ext uri="{FF2B5EF4-FFF2-40B4-BE49-F238E27FC236}">
                  <a16:creationId xmlns:a16="http://schemas.microsoft.com/office/drawing/2014/main" id="{341F0E78-6BDB-4386-BE02-F0F5C53216E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6794500"/>
              <a:ext cx="2787650" cy="1727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685800</xdr:colOff>
      <xdr:row>4</xdr:row>
      <xdr:rowOff>101600</xdr:rowOff>
    </xdr:from>
    <xdr:to>
      <xdr:col>4</xdr:col>
      <xdr:colOff>1543050</xdr:colOff>
      <xdr:row>15</xdr:row>
      <xdr:rowOff>127000</xdr:rowOff>
    </xdr:to>
    <xdr:sp macro="" textlink="">
      <xdr:nvSpPr>
        <xdr:cNvPr id="7" name="Rectangle: Rounded Corners 6">
          <a:extLst>
            <a:ext uri="{FF2B5EF4-FFF2-40B4-BE49-F238E27FC236}">
              <a16:creationId xmlns:a16="http://schemas.microsoft.com/office/drawing/2014/main" id="{B11C1754-42C1-3E39-EF21-BEF2D234F101}"/>
            </a:ext>
          </a:extLst>
        </xdr:cNvPr>
        <xdr:cNvSpPr/>
      </xdr:nvSpPr>
      <xdr:spPr>
        <a:xfrm>
          <a:off x="3829050" y="863600"/>
          <a:ext cx="4438650" cy="2120900"/>
        </a:xfrm>
        <a:prstGeom prst="roundRect">
          <a:avLst/>
        </a:prstGeom>
        <a:solidFill>
          <a:srgbClr val="8CCB00"/>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1358900</xdr:colOff>
      <xdr:row>8</xdr:row>
      <xdr:rowOff>19050</xdr:rowOff>
    </xdr:from>
    <xdr:to>
      <xdr:col>4</xdr:col>
      <xdr:colOff>387350</xdr:colOff>
      <xdr:row>11</xdr:row>
      <xdr:rowOff>146050</xdr:rowOff>
    </xdr:to>
    <xdr:sp macro="" textlink="Working!H2">
      <xdr:nvSpPr>
        <xdr:cNvPr id="25" name="TextBox 24">
          <a:extLst>
            <a:ext uri="{FF2B5EF4-FFF2-40B4-BE49-F238E27FC236}">
              <a16:creationId xmlns:a16="http://schemas.microsoft.com/office/drawing/2014/main" id="{BF0869AB-0DA0-DCEA-CC8E-77FCD1C7EC4B}"/>
            </a:ext>
          </a:extLst>
        </xdr:cNvPr>
        <xdr:cNvSpPr txBox="1"/>
      </xdr:nvSpPr>
      <xdr:spPr>
        <a:xfrm>
          <a:off x="5797550" y="1543050"/>
          <a:ext cx="1314450" cy="698500"/>
        </a:xfrm>
        <a:prstGeom prst="rect">
          <a:avLst/>
        </a:prstGeom>
        <a:solidFill>
          <a:srgbClr val="8CCB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1E2A215A-F568-4312-B612-8B3950CA30F3}" type="TxLink">
            <a:rPr lang="en-US" sz="2000" b="1" i="0" u="none" strike="noStrike">
              <a:solidFill>
                <a:srgbClr val="000000"/>
              </a:solidFill>
              <a:latin typeface="Calibri"/>
              <a:cs typeface="Calibri"/>
            </a:rPr>
            <a:pPr algn="ctr"/>
            <a:t>75</a:t>
          </a:fld>
          <a:endParaRPr lang="en-US" sz="2000" b="1"/>
        </a:p>
      </xdr:txBody>
    </xdr:sp>
    <xdr:clientData/>
  </xdr:twoCellAnchor>
  <xdr:twoCellAnchor>
    <xdr:from>
      <xdr:col>5</xdr:col>
      <xdr:colOff>704850</xdr:colOff>
      <xdr:row>6</xdr:row>
      <xdr:rowOff>6352</xdr:rowOff>
    </xdr:from>
    <xdr:to>
      <xdr:col>7</xdr:col>
      <xdr:colOff>114300</xdr:colOff>
      <xdr:row>12</xdr:row>
      <xdr:rowOff>171449</xdr:rowOff>
    </xdr:to>
    <xdr:grpSp>
      <xdr:nvGrpSpPr>
        <xdr:cNvPr id="7190" name="Group 7189">
          <a:extLst>
            <a:ext uri="{FF2B5EF4-FFF2-40B4-BE49-F238E27FC236}">
              <a16:creationId xmlns:a16="http://schemas.microsoft.com/office/drawing/2014/main" id="{00F704E6-191C-B62A-EE55-5A417460B37E}"/>
            </a:ext>
          </a:extLst>
        </xdr:cNvPr>
        <xdr:cNvGrpSpPr/>
      </xdr:nvGrpSpPr>
      <xdr:grpSpPr>
        <a:xfrm>
          <a:off x="9063038" y="1149352"/>
          <a:ext cx="3838575" cy="1308097"/>
          <a:chOff x="10276299" y="1291391"/>
          <a:chExt cx="3030419" cy="895238"/>
        </a:xfrm>
      </xdr:grpSpPr>
      <xdr:sp macro="" textlink="Working!H3">
        <xdr:nvSpPr>
          <xdr:cNvPr id="40" name="TextBox 39">
            <a:extLst>
              <a:ext uri="{FF2B5EF4-FFF2-40B4-BE49-F238E27FC236}">
                <a16:creationId xmlns:a16="http://schemas.microsoft.com/office/drawing/2014/main" id="{3A01C7D4-7A99-B33F-74C3-828C9C11F6FB}"/>
              </a:ext>
            </a:extLst>
          </xdr:cNvPr>
          <xdr:cNvSpPr txBox="1"/>
        </xdr:nvSpPr>
        <xdr:spPr>
          <a:xfrm>
            <a:off x="11259137" y="1620253"/>
            <a:ext cx="1474258" cy="566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85FB7-9C27-47CA-BB1D-ED0E4C185EAB}" type="TxLink">
              <a:rPr lang="en-US" sz="2000" b="1" i="0" u="none" strike="noStrike">
                <a:solidFill>
                  <a:srgbClr val="000000"/>
                </a:solidFill>
                <a:latin typeface="Calibri"/>
                <a:cs typeface="Calibri"/>
              </a:rPr>
              <a:pPr algn="ctr"/>
              <a:t> $48,609 </a:t>
            </a:fld>
            <a:endParaRPr lang="en-US" sz="2000" b="1"/>
          </a:p>
        </xdr:txBody>
      </xdr:sp>
      <xdr:sp macro="" textlink="">
        <xdr:nvSpPr>
          <xdr:cNvPr id="55" name="TextBox 54">
            <a:extLst>
              <a:ext uri="{FF2B5EF4-FFF2-40B4-BE49-F238E27FC236}">
                <a16:creationId xmlns:a16="http://schemas.microsoft.com/office/drawing/2014/main" id="{C2ECDABB-EA2E-DF5B-C645-9AC94F6D00BD}"/>
              </a:ext>
            </a:extLst>
          </xdr:cNvPr>
          <xdr:cNvSpPr txBox="1"/>
        </xdr:nvSpPr>
        <xdr:spPr>
          <a:xfrm>
            <a:off x="10802820" y="1291391"/>
            <a:ext cx="2503898" cy="493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TOTAL</a:t>
            </a:r>
            <a:r>
              <a:rPr lang="en-US" sz="1800" b="1">
                <a:solidFill>
                  <a:schemeClr val="dk1"/>
                </a:solidFill>
                <a:effectLst/>
                <a:latin typeface="+mn-lt"/>
                <a:ea typeface="+mn-ea"/>
                <a:cs typeface="+mn-cs"/>
              </a:rPr>
              <a:t> CLAIM</a:t>
            </a:r>
            <a:r>
              <a:rPr lang="en-US" sz="1800" b="1" baseline="0">
                <a:solidFill>
                  <a:schemeClr val="dk1"/>
                </a:solidFill>
                <a:effectLst/>
                <a:latin typeface="+mn-lt"/>
                <a:ea typeface="+mn-ea"/>
                <a:cs typeface="+mn-cs"/>
              </a:rPr>
              <a:t> VALUE</a:t>
            </a:r>
            <a:endParaRPr lang="en-US" sz="1800" b="1">
              <a:effectLst/>
            </a:endParaRPr>
          </a:p>
          <a:p>
            <a:endParaRPr lang="en-US" sz="1200">
              <a:solidFill>
                <a:schemeClr val="dk1"/>
              </a:solidFill>
            </a:endParaRPr>
          </a:p>
        </xdr:txBody>
      </xdr:sp>
      <xdr:pic>
        <xdr:nvPicPr>
          <xdr:cNvPr id="7172" name="Graphic 7171" descr="Dollar with solid fill">
            <a:extLst>
              <a:ext uri="{FF2B5EF4-FFF2-40B4-BE49-F238E27FC236}">
                <a16:creationId xmlns:a16="http://schemas.microsoft.com/office/drawing/2014/main" id="{3670F1DB-8E0C-CEA9-4676-7B2D2C4F71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76299" y="1474091"/>
            <a:ext cx="748829" cy="696495"/>
          </a:xfrm>
          <a:prstGeom prst="rect">
            <a:avLst/>
          </a:prstGeom>
        </xdr:spPr>
      </xdr:pic>
    </xdr:grpSp>
    <xdr:clientData/>
  </xdr:twoCellAnchor>
  <xdr:twoCellAnchor>
    <xdr:from>
      <xdr:col>16</xdr:col>
      <xdr:colOff>590550</xdr:colOff>
      <xdr:row>4</xdr:row>
      <xdr:rowOff>158750</xdr:rowOff>
    </xdr:from>
    <xdr:to>
      <xdr:col>24</xdr:col>
      <xdr:colOff>19050</xdr:colOff>
      <xdr:row>15</xdr:row>
      <xdr:rowOff>184150</xdr:rowOff>
    </xdr:to>
    <xdr:sp macro="" textlink="">
      <xdr:nvSpPr>
        <xdr:cNvPr id="7206" name="Rectangle: Rounded Corners 7205">
          <a:extLst>
            <a:ext uri="{FF2B5EF4-FFF2-40B4-BE49-F238E27FC236}">
              <a16:creationId xmlns:a16="http://schemas.microsoft.com/office/drawing/2014/main" id="{B7FAA9D5-C7EC-4C73-A4D2-44CE31F38A12}"/>
            </a:ext>
          </a:extLst>
        </xdr:cNvPr>
        <xdr:cNvSpPr/>
      </xdr:nvSpPr>
      <xdr:spPr>
        <a:xfrm>
          <a:off x="19202400" y="920750"/>
          <a:ext cx="4305300" cy="212090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2</xdr:col>
      <xdr:colOff>1028702</xdr:colOff>
      <xdr:row>6</xdr:row>
      <xdr:rowOff>0</xdr:rowOff>
    </xdr:from>
    <xdr:to>
      <xdr:col>4</xdr:col>
      <xdr:colOff>1123951</xdr:colOff>
      <xdr:row>14</xdr:row>
      <xdr:rowOff>12700</xdr:rowOff>
    </xdr:to>
    <xdr:grpSp>
      <xdr:nvGrpSpPr>
        <xdr:cNvPr id="7266" name="Group 7265">
          <a:extLst>
            <a:ext uri="{FF2B5EF4-FFF2-40B4-BE49-F238E27FC236}">
              <a16:creationId xmlns:a16="http://schemas.microsoft.com/office/drawing/2014/main" id="{2771A7F7-E9C5-EFF0-DAD3-F2534B50733B}"/>
            </a:ext>
          </a:extLst>
        </xdr:cNvPr>
        <xdr:cNvGrpSpPr/>
      </xdr:nvGrpSpPr>
      <xdr:grpSpPr>
        <a:xfrm>
          <a:off x="4100515" y="1143000"/>
          <a:ext cx="3595686" cy="1536700"/>
          <a:chOff x="4057650" y="952500"/>
          <a:chExt cx="2040806" cy="1536700"/>
        </a:xfrm>
      </xdr:grpSpPr>
      <xdr:pic>
        <xdr:nvPicPr>
          <xdr:cNvPr id="62" name="Graphic 61" descr="Users with solid fill">
            <a:extLst>
              <a:ext uri="{FF2B5EF4-FFF2-40B4-BE49-F238E27FC236}">
                <a16:creationId xmlns:a16="http://schemas.microsoft.com/office/drawing/2014/main" id="{66BD7D9A-594A-66B6-B6C5-3CBE7776BA98}"/>
              </a:ext>
            </a:extLst>
          </xdr:cNvPr>
          <xdr:cNvPicPr>
            <a:picLocks noChangeAspect="1"/>
          </xdr:cNvPicPr>
        </xdr:nvPicPr>
        <xdr:blipFill>
          <a:blip xmlns:r="http://schemas.openxmlformats.org/officeDocument/2006/relationships" r:embed="rId5">
            <a:alphaModFix/>
            <a:extLst>
              <a:ext uri="{96DAC541-7B7A-43D3-8B79-37D633B846F1}">
                <asvg:svgBlip xmlns:asvg="http://schemas.microsoft.com/office/drawing/2016/SVG/main" r:embed="rId6"/>
              </a:ext>
            </a:extLst>
          </a:blip>
          <a:stretch>
            <a:fillRect/>
          </a:stretch>
        </xdr:blipFill>
        <xdr:spPr>
          <a:xfrm>
            <a:off x="4057650" y="1054100"/>
            <a:ext cx="604852" cy="1422400"/>
          </a:xfrm>
          <a:prstGeom prst="rect">
            <a:avLst/>
          </a:prstGeom>
          <a:effectLst/>
        </xdr:spPr>
      </xdr:pic>
      <xdr:sp macro="" textlink="">
        <xdr:nvSpPr>
          <xdr:cNvPr id="7224" name="TextBox 7223">
            <a:extLst>
              <a:ext uri="{FF2B5EF4-FFF2-40B4-BE49-F238E27FC236}">
                <a16:creationId xmlns:a16="http://schemas.microsoft.com/office/drawing/2014/main" id="{4DD62EAA-3B84-A42F-ABB0-F25D99E1933A}"/>
              </a:ext>
            </a:extLst>
          </xdr:cNvPr>
          <xdr:cNvSpPr txBox="1"/>
        </xdr:nvSpPr>
        <xdr:spPr>
          <a:xfrm>
            <a:off x="4686300" y="2133600"/>
            <a:ext cx="812800" cy="355600"/>
          </a:xfrm>
          <a:prstGeom prst="rect">
            <a:avLst/>
          </a:prstGeom>
          <a:solidFill>
            <a:srgbClr val="8CCB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cases</a:t>
            </a:r>
            <a:endParaRPr lang="en-US" sz="1100"/>
          </a:p>
        </xdr:txBody>
      </xdr:sp>
      <xdr:sp macro="" textlink="">
        <xdr:nvSpPr>
          <xdr:cNvPr id="7225" name="TextBox 7224">
            <a:extLst>
              <a:ext uri="{FF2B5EF4-FFF2-40B4-BE49-F238E27FC236}">
                <a16:creationId xmlns:a16="http://schemas.microsoft.com/office/drawing/2014/main" id="{9B8CA278-A848-4B0E-B925-109D48D75CBE}"/>
              </a:ext>
            </a:extLst>
          </xdr:cNvPr>
          <xdr:cNvSpPr txBox="1"/>
        </xdr:nvSpPr>
        <xdr:spPr>
          <a:xfrm>
            <a:off x="4914154" y="952500"/>
            <a:ext cx="1184302" cy="323850"/>
          </a:xfrm>
          <a:prstGeom prst="rect">
            <a:avLst/>
          </a:prstGeom>
          <a:solidFill>
            <a:srgbClr val="8CCB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CASES</a:t>
            </a:r>
          </a:p>
        </xdr:txBody>
      </xdr:sp>
    </xdr:grpSp>
    <xdr:clientData/>
  </xdr:twoCellAnchor>
  <xdr:twoCellAnchor>
    <xdr:from>
      <xdr:col>5</xdr:col>
      <xdr:colOff>1670050</xdr:colOff>
      <xdr:row>12</xdr:row>
      <xdr:rowOff>0</xdr:rowOff>
    </xdr:from>
    <xdr:to>
      <xdr:col>6</xdr:col>
      <xdr:colOff>1219200</xdr:colOff>
      <xdr:row>14</xdr:row>
      <xdr:rowOff>0</xdr:rowOff>
    </xdr:to>
    <xdr:sp macro="" textlink="">
      <xdr:nvSpPr>
        <xdr:cNvPr id="7226" name="TextBox 7225">
          <a:extLst>
            <a:ext uri="{FF2B5EF4-FFF2-40B4-BE49-F238E27FC236}">
              <a16:creationId xmlns:a16="http://schemas.microsoft.com/office/drawing/2014/main" id="{6C39E01B-02CC-CFBC-2105-2604EF1559DA}"/>
            </a:ext>
          </a:extLst>
        </xdr:cNvPr>
        <xdr:cNvSpPr txBox="1"/>
      </xdr:nvSpPr>
      <xdr:spPr>
        <a:xfrm>
          <a:off x="10223500" y="2286000"/>
          <a:ext cx="225425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USD</a:t>
          </a:r>
          <a:endParaRPr lang="en-US" sz="1100"/>
        </a:p>
      </xdr:txBody>
    </xdr:sp>
    <xdr:clientData/>
  </xdr:twoCellAnchor>
  <xdr:twoCellAnchor>
    <xdr:from>
      <xdr:col>9</xdr:col>
      <xdr:colOff>584200</xdr:colOff>
      <xdr:row>6</xdr:row>
      <xdr:rowOff>38100</xdr:rowOff>
    </xdr:from>
    <xdr:to>
      <xdr:col>15</xdr:col>
      <xdr:colOff>342899</xdr:colOff>
      <xdr:row>14</xdr:row>
      <xdr:rowOff>38100</xdr:rowOff>
    </xdr:to>
    <xdr:grpSp>
      <xdr:nvGrpSpPr>
        <xdr:cNvPr id="7267" name="Group 7266">
          <a:extLst>
            <a:ext uri="{FF2B5EF4-FFF2-40B4-BE49-F238E27FC236}">
              <a16:creationId xmlns:a16="http://schemas.microsoft.com/office/drawing/2014/main" id="{8D0381F3-002B-7F6A-2B32-B1AA6DD13AE6}"/>
            </a:ext>
          </a:extLst>
        </xdr:cNvPr>
        <xdr:cNvGrpSpPr/>
      </xdr:nvGrpSpPr>
      <xdr:grpSpPr>
        <a:xfrm>
          <a:off x="14609763" y="1181100"/>
          <a:ext cx="3473449" cy="1524000"/>
          <a:chOff x="15786100" y="876300"/>
          <a:chExt cx="3416299" cy="1524000"/>
        </a:xfrm>
      </xdr:grpSpPr>
      <xdr:sp macro="" textlink="">
        <xdr:nvSpPr>
          <xdr:cNvPr id="38" name="TextBox 37">
            <a:extLst>
              <a:ext uri="{FF2B5EF4-FFF2-40B4-BE49-F238E27FC236}">
                <a16:creationId xmlns:a16="http://schemas.microsoft.com/office/drawing/2014/main" id="{A432CD08-62A4-280E-DF13-652F9DAE8FA0}"/>
              </a:ext>
            </a:extLst>
          </xdr:cNvPr>
          <xdr:cNvSpPr txBox="1"/>
        </xdr:nvSpPr>
        <xdr:spPr>
          <a:xfrm>
            <a:off x="16624300" y="876300"/>
            <a:ext cx="2578099" cy="58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mn-lt"/>
                <a:ea typeface="+mn-ea"/>
                <a:cs typeface="+mn-cs"/>
              </a:rPr>
              <a:t>TOTAL</a:t>
            </a:r>
            <a:r>
              <a:rPr lang="en-US" sz="1600" b="1">
                <a:solidFill>
                  <a:schemeClr val="dk1"/>
                </a:solidFill>
                <a:effectLst/>
                <a:latin typeface="+mn-lt"/>
                <a:ea typeface="+mn-ea"/>
                <a:cs typeface="+mn-cs"/>
              </a:rPr>
              <a:t> </a:t>
            </a:r>
            <a:r>
              <a:rPr lang="en-US" sz="1800" b="1">
                <a:solidFill>
                  <a:schemeClr val="dk1"/>
                </a:solidFill>
                <a:effectLst/>
                <a:latin typeface="+mn-lt"/>
                <a:ea typeface="+mn-ea"/>
                <a:cs typeface="+mn-cs"/>
              </a:rPr>
              <a:t>C0MPENSATED</a:t>
            </a:r>
            <a:endParaRPr lang="en-US" sz="1600">
              <a:effectLst/>
            </a:endParaRPr>
          </a:p>
          <a:p>
            <a:endParaRPr lang="en-US" sz="1600"/>
          </a:p>
        </xdr:txBody>
      </xdr:sp>
      <xdr:sp macro="" textlink="Working!H4">
        <xdr:nvSpPr>
          <xdr:cNvPr id="41" name="TextBox 40">
            <a:extLst>
              <a:ext uri="{FF2B5EF4-FFF2-40B4-BE49-F238E27FC236}">
                <a16:creationId xmlns:a16="http://schemas.microsoft.com/office/drawing/2014/main" id="{65A00228-DA9F-41B8-8561-8A4992CF7B55}"/>
              </a:ext>
            </a:extLst>
          </xdr:cNvPr>
          <xdr:cNvSpPr txBox="1"/>
        </xdr:nvSpPr>
        <xdr:spPr>
          <a:xfrm>
            <a:off x="16789400" y="1295401"/>
            <a:ext cx="1536699" cy="701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9F164B-E6F8-4118-BA1E-97CEEF9A0300}" type="TxLink">
              <a:rPr lang="en-US" sz="1800" b="1" i="0" u="none" strike="noStrike">
                <a:solidFill>
                  <a:srgbClr val="000000"/>
                </a:solidFill>
                <a:latin typeface="Calibri"/>
                <a:cs typeface="Calibri"/>
              </a:rPr>
              <a:pPr algn="ctr"/>
              <a:t> $8,237 </a:t>
            </a:fld>
            <a:endParaRPr lang="en-US" sz="1800" b="1"/>
          </a:p>
        </xdr:txBody>
      </xdr:sp>
      <xdr:pic>
        <xdr:nvPicPr>
          <xdr:cNvPr id="7168" name="Graphic 7167" descr="Loan with solid fill">
            <a:extLst>
              <a:ext uri="{FF2B5EF4-FFF2-40B4-BE49-F238E27FC236}">
                <a16:creationId xmlns:a16="http://schemas.microsoft.com/office/drawing/2014/main" id="{D9217C38-2DB7-B375-DB52-D3AD13FE4A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786100" y="1104900"/>
            <a:ext cx="927100" cy="1079500"/>
          </a:xfrm>
          <a:prstGeom prst="rect">
            <a:avLst/>
          </a:prstGeom>
        </xdr:spPr>
      </xdr:pic>
      <xdr:sp macro="" textlink="">
        <xdr:nvSpPr>
          <xdr:cNvPr id="7244" name="TextBox 7243">
            <a:extLst>
              <a:ext uri="{FF2B5EF4-FFF2-40B4-BE49-F238E27FC236}">
                <a16:creationId xmlns:a16="http://schemas.microsoft.com/office/drawing/2014/main" id="{2687E128-10DB-4C25-AB87-C290117EF442}"/>
              </a:ext>
            </a:extLst>
          </xdr:cNvPr>
          <xdr:cNvSpPr txBox="1"/>
        </xdr:nvSpPr>
        <xdr:spPr>
          <a:xfrm>
            <a:off x="16662400" y="2032000"/>
            <a:ext cx="9779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USD</a:t>
            </a:r>
            <a:endParaRPr lang="en-US" sz="1100"/>
          </a:p>
        </xdr:txBody>
      </xdr:sp>
    </xdr:grpSp>
    <xdr:clientData/>
  </xdr:twoCellAnchor>
  <xdr:twoCellAnchor>
    <xdr:from>
      <xdr:col>17</xdr:col>
      <xdr:colOff>533400</xdr:colOff>
      <xdr:row>5</xdr:row>
      <xdr:rowOff>152400</xdr:rowOff>
    </xdr:from>
    <xdr:to>
      <xdr:col>23</xdr:col>
      <xdr:colOff>63501</xdr:colOff>
      <xdr:row>14</xdr:row>
      <xdr:rowOff>107950</xdr:rowOff>
    </xdr:to>
    <xdr:grpSp>
      <xdr:nvGrpSpPr>
        <xdr:cNvPr id="7268" name="Group 7267">
          <a:extLst>
            <a:ext uri="{FF2B5EF4-FFF2-40B4-BE49-F238E27FC236}">
              <a16:creationId xmlns:a16="http://schemas.microsoft.com/office/drawing/2014/main" id="{3430D276-8B8C-C90A-1884-133CD33B3D9E}"/>
            </a:ext>
          </a:extLst>
        </xdr:cNvPr>
        <xdr:cNvGrpSpPr/>
      </xdr:nvGrpSpPr>
      <xdr:grpSpPr>
        <a:xfrm>
          <a:off x="19511963" y="1104900"/>
          <a:ext cx="3244851" cy="1670050"/>
          <a:chOff x="19964400" y="914400"/>
          <a:chExt cx="3187701" cy="1670050"/>
        </a:xfrm>
      </xdr:grpSpPr>
      <xdr:sp macro="" textlink="">
        <xdr:nvSpPr>
          <xdr:cNvPr id="7220" name="TextBox 7219">
            <a:extLst>
              <a:ext uri="{FF2B5EF4-FFF2-40B4-BE49-F238E27FC236}">
                <a16:creationId xmlns:a16="http://schemas.microsoft.com/office/drawing/2014/main" id="{DC0EFFE1-8B88-EA59-FAD6-9824C7620C34}"/>
              </a:ext>
            </a:extLst>
          </xdr:cNvPr>
          <xdr:cNvSpPr txBox="1"/>
        </xdr:nvSpPr>
        <xdr:spPr>
          <a:xfrm>
            <a:off x="20739101" y="914400"/>
            <a:ext cx="24130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COMPENSATED</a:t>
            </a:r>
            <a:r>
              <a:rPr lang="en-US" sz="1600" b="1" baseline="0">
                <a:solidFill>
                  <a:schemeClr val="dk1"/>
                </a:solidFill>
                <a:effectLst/>
                <a:latin typeface="+mn-lt"/>
                <a:ea typeface="+mn-ea"/>
                <a:cs typeface="+mn-cs"/>
              </a:rPr>
              <a:t> RATE</a:t>
            </a:r>
            <a:endParaRPr lang="en-US" sz="1600">
              <a:effectLst/>
            </a:endParaRPr>
          </a:p>
          <a:p>
            <a:endParaRPr lang="en-US" sz="1800"/>
          </a:p>
        </xdr:txBody>
      </xdr:sp>
      <xdr:pic>
        <xdr:nvPicPr>
          <xdr:cNvPr id="7222" name="Graphic 7221" descr="Tax with solid fill">
            <a:extLst>
              <a:ext uri="{FF2B5EF4-FFF2-40B4-BE49-F238E27FC236}">
                <a16:creationId xmlns:a16="http://schemas.microsoft.com/office/drawing/2014/main" id="{3BA59008-3A02-D3A0-6911-F71A61F1F6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964400" y="1282700"/>
            <a:ext cx="850900" cy="931084"/>
          </a:xfrm>
          <a:prstGeom prst="rect">
            <a:avLst/>
          </a:prstGeom>
        </xdr:spPr>
      </xdr:pic>
      <xdr:sp macro="" textlink="Working!H5">
        <xdr:nvSpPr>
          <xdr:cNvPr id="7223" name="TextBox 7222">
            <a:extLst>
              <a:ext uri="{FF2B5EF4-FFF2-40B4-BE49-F238E27FC236}">
                <a16:creationId xmlns:a16="http://schemas.microsoft.com/office/drawing/2014/main" id="{1186A834-3FF1-003A-224F-F70E926E77B6}"/>
              </a:ext>
            </a:extLst>
          </xdr:cNvPr>
          <xdr:cNvSpPr txBox="1"/>
        </xdr:nvSpPr>
        <xdr:spPr>
          <a:xfrm>
            <a:off x="21196300" y="1752600"/>
            <a:ext cx="12827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6F0F78-7C6E-42F4-B952-78485558369C}" type="TxLink">
              <a:rPr lang="en-US" sz="1800" b="1" i="0" u="none" strike="noStrike">
                <a:solidFill>
                  <a:srgbClr val="000000"/>
                </a:solidFill>
                <a:latin typeface="Calibri"/>
                <a:cs typeface="Calibri"/>
              </a:rPr>
              <a:pPr algn="ctr"/>
              <a:t>17%</a:t>
            </a:fld>
            <a:endParaRPr lang="en-US" sz="1800" b="1"/>
          </a:p>
        </xdr:txBody>
      </xdr:sp>
      <xdr:sp macro="" textlink="">
        <xdr:nvSpPr>
          <xdr:cNvPr id="7246" name="TextBox 7245">
            <a:extLst>
              <a:ext uri="{FF2B5EF4-FFF2-40B4-BE49-F238E27FC236}">
                <a16:creationId xmlns:a16="http://schemas.microsoft.com/office/drawing/2014/main" id="{530D0924-4095-476D-BE4B-E2D43AA0439E}"/>
              </a:ext>
            </a:extLst>
          </xdr:cNvPr>
          <xdr:cNvSpPr txBox="1"/>
        </xdr:nvSpPr>
        <xdr:spPr>
          <a:xfrm>
            <a:off x="20605750" y="2228850"/>
            <a:ext cx="9779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Overall</a:t>
            </a:r>
            <a:endParaRPr lang="en-US" sz="1100"/>
          </a:p>
        </xdr:txBody>
      </xdr:sp>
    </xdr:grpSp>
    <xdr:clientData/>
  </xdr:twoCellAnchor>
  <xdr:twoCellAnchor>
    <xdr:from>
      <xdr:col>9</xdr:col>
      <xdr:colOff>190500</xdr:colOff>
      <xdr:row>48</xdr:row>
      <xdr:rowOff>127000</xdr:rowOff>
    </xdr:from>
    <xdr:to>
      <xdr:col>12</xdr:col>
      <xdr:colOff>355600</xdr:colOff>
      <xdr:row>52</xdr:row>
      <xdr:rowOff>139700</xdr:rowOff>
    </xdr:to>
    <xdr:sp macro="" textlink="">
      <xdr:nvSpPr>
        <xdr:cNvPr id="7247" name="TextBox 7246">
          <a:extLst>
            <a:ext uri="{FF2B5EF4-FFF2-40B4-BE49-F238E27FC236}">
              <a16:creationId xmlns:a16="http://schemas.microsoft.com/office/drawing/2014/main" id="{409DA260-3E4C-D121-FB8E-2B72E584C744}"/>
            </a:ext>
          </a:extLst>
        </xdr:cNvPr>
        <xdr:cNvSpPr txBox="1"/>
      </xdr:nvSpPr>
      <xdr:spPr>
        <a:xfrm>
          <a:off x="14465300" y="8966200"/>
          <a:ext cx="1993900" cy="1181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kern="1200">
              <a:solidFill>
                <a:srgbClr val="0F4D1F"/>
              </a:solidFill>
              <a:latin typeface="+mn-lt"/>
              <a:ea typeface="+mn-ea"/>
              <a:cs typeface="+mn-cs"/>
            </a:rPr>
            <a:t>key</a:t>
          </a:r>
          <a:r>
            <a:rPr lang="en-US" sz="1400" b="1">
              <a:solidFill>
                <a:srgbClr val="0F4D1F"/>
              </a:solidFill>
              <a:effectLst/>
              <a:latin typeface="+mn-lt"/>
              <a:ea typeface="+mn-ea"/>
              <a:cs typeface="+mn-cs"/>
            </a:rPr>
            <a:t> </a:t>
          </a:r>
          <a:r>
            <a:rPr lang="en-US" sz="2400" b="1" kern="1200">
              <a:solidFill>
                <a:srgbClr val="0F4D1F"/>
              </a:solidFill>
              <a:latin typeface="+mn-lt"/>
              <a:ea typeface="+mn-ea"/>
              <a:cs typeface="+mn-cs"/>
            </a:rPr>
            <a:t>insights</a:t>
          </a:r>
          <a:r>
            <a:rPr lang="en-US" sz="1400" b="1">
              <a:solidFill>
                <a:srgbClr val="0F4D1F"/>
              </a:solidFill>
              <a:effectLst/>
              <a:latin typeface="+mn-lt"/>
              <a:ea typeface="+mn-ea"/>
              <a:cs typeface="+mn-cs"/>
            </a:rPr>
            <a:t>      </a:t>
          </a:r>
          <a:endParaRPr lang="en-US" sz="1400" b="1">
            <a:solidFill>
              <a:srgbClr val="0F4D1F"/>
            </a:solidFill>
            <a:effectLst/>
          </a:endParaRPr>
        </a:p>
        <a:p>
          <a:endParaRPr lang="en-US" sz="1100"/>
        </a:p>
      </xdr:txBody>
    </xdr:sp>
    <xdr:clientData/>
  </xdr:twoCellAnchor>
  <xdr:twoCellAnchor>
    <xdr:from>
      <xdr:col>13</xdr:col>
      <xdr:colOff>381000</xdr:colOff>
      <xdr:row>45</xdr:row>
      <xdr:rowOff>0</xdr:rowOff>
    </xdr:from>
    <xdr:to>
      <xdr:col>21</xdr:col>
      <xdr:colOff>355601</xdr:colOff>
      <xdr:row>58</xdr:row>
      <xdr:rowOff>63501</xdr:rowOff>
    </xdr:to>
    <xdr:grpSp>
      <xdr:nvGrpSpPr>
        <xdr:cNvPr id="7265" name="Group 7264">
          <a:extLst>
            <a:ext uri="{FF2B5EF4-FFF2-40B4-BE49-F238E27FC236}">
              <a16:creationId xmlns:a16="http://schemas.microsoft.com/office/drawing/2014/main" id="{26A608A5-FF9C-6163-673B-DF4B842F353F}"/>
            </a:ext>
          </a:extLst>
        </xdr:cNvPr>
        <xdr:cNvGrpSpPr/>
      </xdr:nvGrpSpPr>
      <xdr:grpSpPr>
        <a:xfrm>
          <a:off x="16883063" y="8548688"/>
          <a:ext cx="4927601" cy="2968626"/>
          <a:chOff x="18667237" y="8326789"/>
          <a:chExt cx="5240934" cy="2951281"/>
        </a:xfrm>
      </xdr:grpSpPr>
      <xdr:sp macro="" textlink="">
        <xdr:nvSpPr>
          <xdr:cNvPr id="7248" name="TextBox 7247">
            <a:extLst>
              <a:ext uri="{FF2B5EF4-FFF2-40B4-BE49-F238E27FC236}">
                <a16:creationId xmlns:a16="http://schemas.microsoft.com/office/drawing/2014/main" id="{EFBE1800-C907-4738-623F-A85376F73565}"/>
              </a:ext>
            </a:extLst>
          </xdr:cNvPr>
          <xdr:cNvSpPr txBox="1"/>
        </xdr:nvSpPr>
        <xdr:spPr>
          <a:xfrm>
            <a:off x="18667237" y="8326789"/>
            <a:ext cx="5240934" cy="2951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p>
          <a:p>
            <a:r>
              <a:rPr lang="en-US" sz="1800" b="1"/>
              <a:t>              Peak claims in 2024($732K)</a:t>
            </a:r>
          </a:p>
          <a:p>
            <a:r>
              <a:rPr lang="en-US" sz="1800" b="0"/>
              <a:t>The</a:t>
            </a:r>
            <a:r>
              <a:rPr lang="en-US" sz="1800" b="0" baseline="0"/>
              <a:t> highest claim value was recorded in 2024.</a:t>
            </a:r>
          </a:p>
          <a:p>
            <a:endParaRPr lang="en-US" sz="1800" b="0"/>
          </a:p>
          <a:p>
            <a:endParaRPr lang="en-US" sz="1800" b="0"/>
          </a:p>
          <a:p>
            <a:r>
              <a:rPr lang="en-US" sz="1800" b="1"/>
              <a:t>           Highest compensation rate</a:t>
            </a:r>
            <a:r>
              <a:rPr lang="en-US" sz="1800" b="1" baseline="0"/>
              <a:t> in </a:t>
            </a:r>
            <a:r>
              <a:rPr lang="en-US" sz="1800" b="1"/>
              <a:t>2020 (95%)</a:t>
            </a:r>
          </a:p>
          <a:p>
            <a:r>
              <a:rPr lang="en-US" sz="1800" b="0"/>
              <a:t>Exellent</a:t>
            </a:r>
            <a:r>
              <a:rPr lang="en-US" sz="1800" b="0" baseline="0"/>
              <a:t> settlement performance in 2020.</a:t>
            </a:r>
            <a:endParaRPr lang="en-US" sz="1800" b="0"/>
          </a:p>
          <a:p>
            <a:endParaRPr lang="en-US" sz="1800"/>
          </a:p>
          <a:p>
            <a:r>
              <a:rPr lang="en-US" sz="1800"/>
              <a:t> </a:t>
            </a:r>
          </a:p>
          <a:p>
            <a:r>
              <a:rPr lang="en-US" sz="1800" b="1"/>
              <a:t>           No compensation yet in 2026</a:t>
            </a:r>
          </a:p>
          <a:p>
            <a:r>
              <a:rPr lang="en-US" sz="1800" b="0"/>
              <a:t>no</a:t>
            </a:r>
            <a:r>
              <a:rPr lang="en-US" sz="1800" b="0" baseline="0"/>
              <a:t> compensation recorded.</a:t>
            </a:r>
            <a:endParaRPr lang="en-US" sz="1400" b="0"/>
          </a:p>
        </xdr:txBody>
      </xdr:sp>
      <xdr:pic>
        <xdr:nvPicPr>
          <xdr:cNvPr id="7251" name="Graphic 7250" descr="Upward trend with solid fill">
            <a:extLst>
              <a:ext uri="{FF2B5EF4-FFF2-40B4-BE49-F238E27FC236}">
                <a16:creationId xmlns:a16="http://schemas.microsoft.com/office/drawing/2014/main" id="{0336FB01-B8EB-4576-B9FD-E31118B96A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839190" y="8525289"/>
            <a:ext cx="601785" cy="355600"/>
          </a:xfrm>
          <a:prstGeom prst="rect">
            <a:avLst/>
          </a:prstGeom>
        </xdr:spPr>
      </xdr:pic>
      <xdr:pic>
        <xdr:nvPicPr>
          <xdr:cNvPr id="7253" name="Graphic 7252" descr="Bar graph with upward trend with solid fill">
            <a:extLst>
              <a:ext uri="{FF2B5EF4-FFF2-40B4-BE49-F238E27FC236}">
                <a16:creationId xmlns:a16="http://schemas.microsoft.com/office/drawing/2014/main" id="{D1685AFE-EDAB-BE1E-69BB-FBB2AC4184B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832019" y="9442999"/>
            <a:ext cx="469900" cy="328986"/>
          </a:xfrm>
          <a:prstGeom prst="rect">
            <a:avLst/>
          </a:prstGeom>
        </xdr:spPr>
      </xdr:pic>
      <xdr:pic>
        <xdr:nvPicPr>
          <xdr:cNvPr id="7255" name="Graphic 7254" descr="Clipboard with solid fill">
            <a:extLst>
              <a:ext uri="{FF2B5EF4-FFF2-40B4-BE49-F238E27FC236}">
                <a16:creationId xmlns:a16="http://schemas.microsoft.com/office/drawing/2014/main" id="{927BD045-06B9-7754-CF22-84B687931E3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831867" y="10351386"/>
            <a:ext cx="457200" cy="355600"/>
          </a:xfrm>
          <a:prstGeom prst="rect">
            <a:avLst/>
          </a:prstGeom>
        </xdr:spPr>
      </xdr:pic>
    </xdr:grpSp>
    <xdr:clientData/>
  </xdr:twoCellAnchor>
  <xdr:twoCellAnchor>
    <xdr:from>
      <xdr:col>2</xdr:col>
      <xdr:colOff>38100</xdr:colOff>
      <xdr:row>0</xdr:row>
      <xdr:rowOff>133350</xdr:rowOff>
    </xdr:from>
    <xdr:to>
      <xdr:col>11</xdr:col>
      <xdr:colOff>76200</xdr:colOff>
      <xdr:row>4</xdr:row>
      <xdr:rowOff>38100</xdr:rowOff>
    </xdr:to>
    <xdr:sp macro="" textlink="">
      <xdr:nvSpPr>
        <xdr:cNvPr id="7271" name="TextBox 7270">
          <a:extLst>
            <a:ext uri="{FF2B5EF4-FFF2-40B4-BE49-F238E27FC236}">
              <a16:creationId xmlns:a16="http://schemas.microsoft.com/office/drawing/2014/main" id="{6D2DB1E1-918C-B3FB-10CA-F26DFE0D32B8}"/>
            </a:ext>
          </a:extLst>
        </xdr:cNvPr>
        <xdr:cNvSpPr txBox="1"/>
      </xdr:nvSpPr>
      <xdr:spPr>
        <a:xfrm>
          <a:off x="3181350" y="133350"/>
          <a:ext cx="12458700"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Insurance Claims &amp; Compensation Summary Dashboard</a:t>
          </a:r>
          <a:br>
            <a:rPr lang="en-US" sz="1800" b="1">
              <a:solidFill>
                <a:schemeClr val="dk1"/>
              </a:solidFill>
              <a:effectLst/>
              <a:latin typeface="+mn-lt"/>
              <a:ea typeface="+mn-ea"/>
              <a:cs typeface="+mn-cs"/>
            </a:rPr>
          </a:br>
          <a:r>
            <a:rPr lang="en-US" sz="1600">
              <a:solidFill>
                <a:schemeClr val="dk1"/>
              </a:solidFill>
              <a:effectLst/>
              <a:latin typeface="+mn-lt"/>
              <a:ea typeface="+mn-ea"/>
              <a:cs typeface="+mn-cs"/>
            </a:rPr>
            <a:t>Period: 2019–2026 | Currency: USD</a:t>
          </a:r>
          <a:endParaRPr lang="en-US" sz="1600">
            <a:effectLst/>
          </a:endParaRPr>
        </a:p>
        <a:p>
          <a:endParaRPr lang="en-US" sz="1100"/>
        </a:p>
      </xdr:txBody>
    </xdr:sp>
    <xdr:clientData/>
  </xdr:twoCellAnchor>
  <xdr:twoCellAnchor>
    <xdr:from>
      <xdr:col>13</xdr:col>
      <xdr:colOff>594360</xdr:colOff>
      <xdr:row>45</xdr:row>
      <xdr:rowOff>289560</xdr:rowOff>
    </xdr:from>
    <xdr:to>
      <xdr:col>14</xdr:col>
      <xdr:colOff>30479</xdr:colOff>
      <xdr:row>46</xdr:row>
      <xdr:rowOff>30479</xdr:rowOff>
    </xdr:to>
    <xdr:sp macro="" textlink="">
      <xdr:nvSpPr>
        <xdr:cNvPr id="2" name="Oval 1">
          <a:extLst>
            <a:ext uri="{FF2B5EF4-FFF2-40B4-BE49-F238E27FC236}">
              <a16:creationId xmlns:a16="http://schemas.microsoft.com/office/drawing/2014/main" id="{F3666002-4E1A-8D8D-1B05-5A72809DC74D}"/>
            </a:ext>
          </a:extLst>
        </xdr:cNvPr>
        <xdr:cNvSpPr/>
      </xdr:nvSpPr>
      <xdr:spPr>
        <a:xfrm>
          <a:off x="17160240" y="8519160"/>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42245372" backgroundQuery="1" createdVersion="8" refreshedVersion="8" minRefreshableVersion="3" recordCount="0" supportSubquery="1" supportAdvancedDrill="1" xr:uid="{ED4898F8-B141-4B4A-8846-FDB72562D297}">
  <cacheSource type="external" connectionId="1"/>
  <cacheFields count="6">
    <cacheField name="[Range].[Claim Status].[Claim Status]" caption="Claim Status" numFmtId="0" hierarchy="38" level="1">
      <sharedItems containsSemiMixedTypes="0" containsNonDate="0" containsString="0"/>
    </cacheField>
    <cacheField name="[Range].[Status Update].[Status Update]" caption="Status Update" numFmtId="0" hierarchy="40" level="1">
      <sharedItems count="8">
        <s v="Insurance compensation"/>
        <s v="Less than deductible"/>
        <s v="Local sale compensation"/>
        <s v="No cargo damage"/>
        <s v="Not include under insurance covarge"/>
        <s v="Not include under insurance covarge/Less than deductable"/>
        <s v="Shiping line compensation"/>
        <s v="Case submitted/ Waiting Insurance feedback" u="1"/>
      </sharedItems>
    </cacheField>
    <cacheField name="[Measures].[Sum of Compensation Value USD]" caption="Sum of Compensation Value USD" numFmtId="0" hierarchy="55" level="32767"/>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 name="[Range].[Status].[Status]" caption="Status" numFmtId="0" hierarchy="39"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4"/>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3"/>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2" memberValueDatatype="130" unbalanced="0">
      <fieldsUsage count="2">
        <fieldUsage x="-1"/>
        <fieldUsage x="1"/>
      </fieldsUsage>
    </cacheHierarchy>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oneField="1" hidden="1">
      <fieldsUsage count="1">
        <fieldUsage x="2"/>
      </fieldsUsage>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43981481" backgroundQuery="1" createdVersion="8" refreshedVersion="8" minRefreshableVersion="3" recordCount="0" supportSubquery="1" supportAdvancedDrill="1" xr:uid="{679D6EBB-778A-4BD5-86A5-4C0677197373}">
  <cacheSource type="external" connectionId="1"/>
  <cacheFields count="8">
    <cacheField name="[Range].[Year].[Year]" caption="Year" numFmtId="0" hierarchy="3"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Range].[Year].&amp;[2024]"/>
            <x15:cachedUniqueName index="1" name="[Range].[Year].&amp;[2025]"/>
            <x15:cachedUniqueName index="2" name="[Range].[Year].&amp;[2026]"/>
          </x15:cachedUniqueNames>
        </ext>
      </extLst>
    </cacheField>
    <cacheField name="[Measures].[Distinct Count of Case Number]" caption="Distinct Count of Case Number" numFmtId="0" hierarchy="53" level="32767"/>
    <cacheField name="[Measures].[Sum of Claim Value USD]" caption="Sum of Claim Value USD" numFmtId="0" hierarchy="54" level="32767"/>
    <cacheField name="[Measures].[Sum of Compensation Value USD]" caption="Sum of Compensation Value USD" numFmtId="0" hierarchy="55" level="32767"/>
    <cacheField name="[Measures].[measure 1]" caption="measure 1" numFmtId="0" hierarchy="48" level="32767"/>
    <cacheField name="[Range].[Status].[Status]" caption="Status" numFmtId="0" hierarchy="39" level="1">
      <sharedItems containsSemiMixedTypes="0" containsNonDate="0" containsString="0"/>
    </cacheField>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7"/>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6"/>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45601852" backgroundQuery="1" createdVersion="8" refreshedVersion="8" minRefreshableVersion="3" recordCount="0" supportSubquery="1" supportAdvancedDrill="1" xr:uid="{97D08085-47C7-4969-A93E-C6F4FEAF09B1}">
  <cacheSource type="external" connectionId="1"/>
  <cacheFields count="7">
    <cacheField name="[Range].[Year].[Year]" caption="Year" numFmtId="0" hierarchy="3"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Range].[Year].&amp;[2024]"/>
            <x15:cachedUniqueName index="1" name="[Range].[Year].&amp;[2025]"/>
            <x15:cachedUniqueName index="2" name="[Range].[Year].&amp;[2026]"/>
          </x15:cachedUniqueNames>
        </ext>
      </extLst>
    </cacheField>
    <cacheField name="[Measures].[Sum of Claim Value USD]" caption="Sum of Claim Value USD" numFmtId="0" hierarchy="54" level="32767"/>
    <cacheField name="[Measures].[Sum of Compensation Value USD]" caption="Sum of Compensation Value USD" numFmtId="0" hierarchy="55" level="32767"/>
    <cacheField name="[Measures].[measure 1]" caption="measure 1" numFmtId="0" hierarchy="48" level="32767"/>
    <cacheField name="[Range].[Status].[Status]" caption="Status" numFmtId="0" hierarchy="39" level="1">
      <sharedItems containsSemiMixedTypes="0" containsNonDate="0" containsString="0"/>
    </cacheField>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6"/>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5"/>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oneField="1" hidden="1">
      <fieldsUsage count="1">
        <fieldUsage x="2"/>
      </fieldsUsage>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47222222" backgroundQuery="1" createdVersion="8" refreshedVersion="8" minRefreshableVersion="3" recordCount="0" supportSubquery="1" supportAdvancedDrill="1" xr:uid="{BFAC0799-1C44-422D-A06F-F4ACB10E680D}">
  <cacheSource type="external" connectionId="1"/>
  <cacheFields count="4">
    <cacheField name="[Range].[Status].[Status]" caption="Status" numFmtId="0" hierarchy="39" level="1">
      <sharedItems count="2">
        <s v="Close"/>
        <s v="Pending"/>
      </sharedItems>
    </cacheField>
    <cacheField name="[Measures].[Distinct Count of Case Number]" caption="Distinct Count of Case Number" numFmtId="0" hierarchy="53" level="32767"/>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3"/>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2"/>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49074077" backgroundQuery="1" createdVersion="8" refreshedVersion="8" minRefreshableVersion="3" recordCount="0" supportSubquery="1" supportAdvancedDrill="1" xr:uid="{F5F2DCCA-39E0-4C03-8D07-83C4452983BF}">
  <cacheSource type="external" connectionId="1"/>
  <cacheFields count="5">
    <cacheField name="[Range].[Claim Status].[Claim Status]" caption="Claim Status" numFmtId="0" hierarchy="38" level="1">
      <sharedItems count="3">
        <s v="Accept"/>
        <s v="Pending"/>
        <s v="Reject"/>
      </sharedItems>
    </cacheField>
    <cacheField name="[Measures].[Sum of Claim Value USD]" caption="Sum of Claim Value USD" numFmtId="0" hierarchy="54" level="32767"/>
    <cacheField name="[Range].[Status].[Status]" caption="Status" numFmtId="0" hierarchy="39" level="1">
      <sharedItems containsSemiMixedTypes="0" containsNonDate="0" containsString="0"/>
    </cacheField>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4"/>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3"/>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50925925" backgroundQuery="1" createdVersion="8" refreshedVersion="8" minRefreshableVersion="3" recordCount="0" supportSubquery="1" supportAdvancedDrill="1" xr:uid="{CD2E9A6A-C14E-436D-B5C1-9CA81CEDC18B}">
  <cacheSource type="external" connectionId="1"/>
  <cacheFields count="7">
    <cacheField name="[Range].[Year].[Year]" caption="Year" numFmtId="0" hierarchy="3"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Range].[Year].&amp;[2024]"/>
            <x15:cachedUniqueName index="1" name="[Range].[Year].&amp;[2025]"/>
            <x15:cachedUniqueName index="2" name="[Range].[Year].&amp;[2026]"/>
          </x15:cachedUniqueNames>
        </ext>
      </extLst>
    </cacheField>
    <cacheField name="[Measures].[Distinct Count of Case Number]" caption="Distinct Count of Case Number" numFmtId="0" hierarchy="53" level="32767"/>
    <cacheField name="[Measures].[Sum of Claim Value USD]" caption="Sum of Claim Value USD" numFmtId="0" hierarchy="54" level="32767"/>
    <cacheField name="[Measures].[Sum of Compensation Value USD]" caption="Sum of Compensation Value USD" numFmtId="0" hierarchy="55" level="32767"/>
    <cacheField name="[Measures].[measure 1]" caption="measure 1" numFmtId="0" hierarchy="48" level="32767"/>
    <cacheField name="[Range].[Status].[Status]" caption="Status" numFmtId="0" hierarchy="39"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6"/>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0"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52546295" backgroundQuery="1" createdVersion="8" refreshedVersion="8" minRefreshableVersion="3" recordCount="0" supportSubquery="1" supportAdvancedDrill="1" xr:uid="{61B66912-FF41-41D9-8BB5-3481355DCBCD}">
  <cacheSource type="external" connectionId="1"/>
  <cacheFields count="8">
    <cacheField name="[Range].[Year].[Year]" caption="Year" numFmtId="0" hierarchy="3"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Range].[Year].&amp;[2024]"/>
            <x15:cachedUniqueName index="1" name="[Range].[Year].&amp;[2025]"/>
            <x15:cachedUniqueName index="2" name="[Range].[Year].&amp;[2026]"/>
          </x15:cachedUniqueNames>
        </ext>
      </extLst>
    </cacheField>
    <cacheField name="[Measures].[Distinct Count of Case Number]" caption="Distinct Count of Case Number" numFmtId="0" hierarchy="53" level="32767"/>
    <cacheField name="[Measures].[Sum of Claim Value USD]" caption="Sum of Claim Value USD" numFmtId="0" hierarchy="54" level="32767"/>
    <cacheField name="[Measures].[Sum of Compensation Value USD]" caption="Sum of Compensation Value USD" numFmtId="0" hierarchy="55" level="32767"/>
    <cacheField name="[Measures].[measure 1]" caption="measure 1" numFmtId="0" hierarchy="48" level="32767"/>
    <cacheField name="[Range].[Status].[Status]" caption="Status" numFmtId="0" hierarchy="39" level="1">
      <sharedItems containsSemiMixedTypes="0" containsNonDate="0" containsString="0"/>
    </cacheField>
    <cacheField name="[Range].[Period Type].[Period Type]" caption="Period Type" numFmtId="0" hierarchy="35" level="1">
      <sharedItems containsSemiMixedTypes="0" containsNonDate="0" containsString="0"/>
    </cacheField>
    <cacheField name="[Range].[Type].[Type]" caption="Type" numFmtId="0" hierarchy="21" level="1">
      <sharedItems containsSemiMixedTypes="0" containsNonDate="0" containsString="0"/>
    </cacheField>
  </cacheFields>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fieldsUsage count="2">
        <fieldUsage x="-1"/>
        <fieldUsage x="7"/>
      </fieldsUsage>
    </cacheHierarchy>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fieldsUsage count="2">
        <fieldUsage x="-1"/>
        <fieldUsage x="6"/>
      </fieldsUsage>
    </cacheHierarchy>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wan Ammar" refreshedDate="46245.965557175929" createdVersion="8" refreshedVersion="8" minRefreshableVersion="3" recordCount="76" xr:uid="{E1A9B4F5-2361-412A-A475-752B8DA8D6BC}">
  <cacheSource type="worksheet">
    <worksheetSource ref="A1:AV77" sheet="Summary"/>
  </cacheSource>
  <cacheFields count="50">
    <cacheField name="Date" numFmtId="167">
      <sharedItems containsSemiMixedTypes="0" containsNonDate="0" containsDate="1" containsString="0" minDate="2024-11-07T00:00:00" maxDate="2026-08-11T00:00:00" count="42">
        <d v="2024-11-07T00:00:00"/>
        <d v="2024-12-04T00:00:00"/>
        <d v="2024-12-10T00:00:00"/>
        <d v="2025-01-25T00:00:00"/>
        <d v="2025-02-13T00:00:00"/>
        <d v="2025-02-15T00:00:00"/>
        <d v="2025-02-25T00:00:00"/>
        <d v="2025-02-26T00:00:00"/>
        <d v="2025-03-06T00:00:00"/>
        <d v="2025-03-29T00:00:00"/>
        <d v="2025-04-23T00:00:00"/>
        <d v="2025-07-22T00:00:00"/>
        <d v="2025-08-06T00:00:00"/>
        <d v="2025-09-16T00:00:00"/>
        <d v="2025-09-30T00:00:00"/>
        <d v="2025-10-16T00:00:00"/>
        <d v="2025-09-29T00:00:00"/>
        <d v="2025-10-23T00:00:00"/>
        <d v="2025-10-29T00:00:00"/>
        <d v="2025-11-05T00:00:00"/>
        <d v="2025-11-11T00:00:00"/>
        <d v="2025-11-17T00:00:00"/>
        <d v="2025-11-18T00:00:00"/>
        <d v="2025-12-02T00:00:00"/>
        <d v="2025-12-15T00:00:00"/>
        <d v="2025-12-17T00:00:00"/>
        <d v="2026-01-06T00:00:00"/>
        <d v="2025-05-12T00:00:00"/>
        <d v="2025-05-22T00:00:00"/>
        <d v="2026-01-17T00:00:00"/>
        <d v="2026-02-22T00:00:00"/>
        <d v="2026-03-08T00:00:00"/>
        <d v="2026-04-06T00:00:00"/>
        <d v="2026-04-07T00:00:00"/>
        <d v="2026-04-08T00:00:00"/>
        <d v="2026-05-10T00:00:00"/>
        <d v="2026-05-11T00:00:00"/>
        <d v="2026-06-15T00:00:00"/>
        <d v="2026-06-24T00:00:00"/>
        <d v="2026-07-19T00:00:00"/>
        <d v="2026-07-22T00:00:00"/>
        <d v="2026-08-10T00:00:00"/>
      </sharedItems>
    </cacheField>
    <cacheField name="Season" numFmtId="0">
      <sharedItems containsBlank="1" containsMixedTypes="1" containsNumber="1" containsInteger="1" minValue="2026" maxValue="2026"/>
    </cacheField>
    <cacheField name="Month" numFmtId="0">
      <sharedItems/>
    </cacheField>
    <cacheField name="Year" numFmtId="1">
      <sharedItems containsSemiMixedTypes="0" containsString="0" containsNumber="1" containsInteger="1" minValue="2019" maxValue="2026" count="8">
        <n v="2024"/>
        <n v="2025"/>
        <n v="2026"/>
        <n v="2019" u="1"/>
        <n v="2020" u="1"/>
        <n v="2021" u="1"/>
        <n v="2022" u="1"/>
        <n v="2023" u="1"/>
      </sharedItems>
    </cacheField>
    <cacheField name="Case Number" numFmtId="0">
      <sharedItems containsSemiMixedTypes="0" containsString="0" containsNumber="1" containsInteger="1" minValue="1" maxValue="75"/>
    </cacheField>
    <cacheField name="BL NO." numFmtId="0">
      <sharedItems containsMixedTypes="1" containsNumber="1" containsInteger="1" minValue="245672578" maxValue="259649778"/>
    </cacheField>
    <cacheField name="WH" numFmtId="0">
      <sharedItems/>
    </cacheField>
    <cacheField name="Location" numFmtId="0">
      <sharedItems/>
    </cacheField>
    <cacheField name="Product" numFmtId="0">
      <sharedItems containsMixedTypes="1" containsNumber="1" containsInteger="1" minValue="4000000058" maxValue="4000000088"/>
    </cacheField>
    <cacheField name="Product Description" numFmtId="0">
      <sharedItems/>
    </cacheField>
    <cacheField name="Owner" numFmtId="0">
      <sharedItems containsNonDate="0" containsString="0" containsBlank="1"/>
    </cacheField>
    <cacheField name="Initial Quantity" numFmtId="165">
      <sharedItems containsSemiMixedTypes="0" containsString="0" containsNumber="1" containsInteger="1" minValue="0" maxValue="415"/>
    </cacheField>
    <cacheField name="Claim Quantity" numFmtId="165">
      <sharedItems containsSemiMixedTypes="0" containsString="0" containsNumber="1" containsInteger="1" minValue="0" maxValue="415"/>
    </cacheField>
    <cacheField name="Adjusted Quantity " numFmtId="0">
      <sharedItems containsString="0" containsBlank="1" containsNumber="1" containsInteger="1" minValue="0" maxValue="0"/>
    </cacheField>
    <cacheField name="NC number" numFmtId="0">
      <sharedItems containsBlank="1" containsMixedTypes="1" containsNumber="1" containsInteger="1" minValue="47" maxValue="162"/>
    </cacheField>
    <cacheField name="Torn QTY" numFmtId="0">
      <sharedItems containsString="0" containsBlank="1" containsNumber="1" containsInteger="1" minValue="0" maxValue="160"/>
    </cacheField>
    <cacheField name="loss" numFmtId="0">
      <sharedItems containsString="0" containsBlank="1" containsNumber="1" containsInteger="1" minValue="0" maxValue="23"/>
    </cacheField>
    <cacheField name="Sound from Torn QTY" numFmtId="0">
      <sharedItems containsSemiMixedTypes="0" containsString="0" containsNumber="1" containsInteger="1" minValue="0" maxValue="145"/>
    </cacheField>
    <cacheField name="Unit" numFmtId="0">
      <sharedItems/>
    </cacheField>
    <cacheField name="Cause of Loss" numFmtId="0">
      <sharedItems/>
    </cacheField>
    <cacheField name="Insurance Type" numFmtId="0">
      <sharedItems/>
    </cacheField>
    <cacheField name="Type" numFmtId="0">
      <sharedItems count="2">
        <s v="Import"/>
        <s v="Export" u="1"/>
      </sharedItems>
    </cacheField>
    <cacheField name="Detailed Description" numFmtId="0">
      <sharedItems longText="1"/>
    </cacheField>
    <cacheField name="Available documents " numFmtId="164">
      <sharedItems/>
    </cacheField>
    <cacheField name="Unit Cost USD" numFmtId="164">
      <sharedItems containsSemiMixedTypes="0" containsString="0" containsNumber="1" minValue="0" maxValue="29.6"/>
    </cacheField>
    <cacheField name="Total Value USD" numFmtId="164">
      <sharedItems containsSemiMixedTypes="0" containsString="0" containsNumber="1" minValue="0" maxValue="3863.65"/>
    </cacheField>
    <cacheField name="Unit Cost - SDG" numFmtId="166">
      <sharedItems containsSemiMixedTypes="0" containsString="0" containsNumber="1" minValue="0" maxValue="94587.227901907361"/>
    </cacheField>
    <cacheField name="Total Value SDG" numFmtId="166">
      <sharedItems containsSemiMixedTypes="0" containsString="0" containsNumber="1" minValue="0" maxValue="10149808.550000001"/>
    </cacheField>
    <cacheField name="STD Cost-SDG" numFmtId="166">
      <sharedItems containsSemiMixedTypes="0" containsString="0" containsNumber="1" minValue="0" maxValue="96566.186310000005"/>
    </cacheField>
    <cacheField name="STD Value-SDG" numFmtId="166">
      <sharedItems containsSemiMixedTypes="0" containsString="0" containsNumber="1" minValue="0" maxValue="12990251.743450001"/>
    </cacheField>
    <cacheField name="Compensation Value" numFmtId="0">
      <sharedItems containsString="0" containsBlank="1" containsNumber="1" minValue="0" maxValue="2142.14"/>
    </cacheField>
    <cacheField name="Exchange Rate" numFmtId="0">
      <sharedItems containsSemiMixedTypes="0" containsString="0" containsNumber="1" minValue="0" maxValue="5904"/>
    </cacheField>
    <cacheField name="Compensation Status" numFmtId="0">
      <sharedItems/>
    </cacheField>
    <cacheField name="System Status" numFmtId="0">
      <sharedItems/>
    </cacheField>
    <cacheField name="Follow Up Person" numFmtId="0">
      <sharedItems/>
    </cacheField>
    <cacheField name="Period Type" numFmtId="0">
      <sharedItems count="2">
        <s v="Post-War"/>
        <s v="Pre-War" u="1"/>
      </sharedItems>
    </cacheField>
    <cacheField name="Report by" numFmtId="0">
      <sharedItems/>
    </cacheField>
    <cacheField name="Remark" numFmtId="0">
      <sharedItems containsNonDate="0" containsString="0" containsBlank="1"/>
    </cacheField>
    <cacheField name="Claim Status" numFmtId="0">
      <sharedItems/>
    </cacheField>
    <cacheField name="Status" numFmtId="164">
      <sharedItems count="2">
        <s v="Close"/>
        <s v="Pending"/>
      </sharedItems>
    </cacheField>
    <cacheField name="Status Update" numFmtId="0">
      <sharedItems/>
    </cacheField>
    <cacheField name="Claim Value SDG" numFmtId="166">
      <sharedItems containsNonDate="0" containsString="0" containsBlank="1"/>
    </cacheField>
    <cacheField name="Claim Value USD" numFmtId="164">
      <sharedItems containsSemiMixedTypes="0" containsString="0" containsNumber="1" minValue="0" maxValue="3863.65"/>
    </cacheField>
    <cacheField name="Compensation Value USD" numFmtId="164">
      <sharedItems containsSemiMixedTypes="0" containsString="0" containsNumber="1" minValue="0" maxValue="2142.14"/>
    </cacheField>
    <cacheField name="Different" numFmtId="44">
      <sharedItems containsSemiMixedTypes="0" containsString="0" containsNumber="1" minValue="0" maxValue="3863.65"/>
    </cacheField>
    <cacheField name="% of different" numFmtId="9">
      <sharedItems containsMixedTypes="1" containsNumber="1" minValue="0" maxValue="1"/>
    </cacheField>
    <cacheField name="Remark of different " numFmtId="0">
      <sharedItems/>
    </cacheField>
    <cacheField name="Remark " numFmtId="0">
      <sharedItems containsNonDate="0" containsString="0" containsBlank="1"/>
    </cacheField>
    <cacheField name="Compansation %" numFmtId="0" formula="'Compensation Value USD'/'Claim Value USD'" databaseField="0"/>
    <cacheField name="% Compansation" numFmtId="0" formula="'Compensation Value USD'/'Claim Value USD'" databaseField="0"/>
  </cacheFields>
  <extLst>
    <ext xmlns:x14="http://schemas.microsoft.com/office/spreadsheetml/2009/9/main" uri="{725AE2AE-9491-48be-B2B4-4EB974FC3084}">
      <x14:pivotCacheDefinition pivotCacheId="2035467345"/>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39004632" backgroundQuery="1" createdVersion="3" refreshedVersion="8" minRefreshableVersion="3" recordCount="0" supportSubquery="1" supportAdvancedDrill="1" xr:uid="{FB094A48-B7D7-4810-9139-AD53B11F9AC6}">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Range].[Date]" caption="Date" attribute="1" time="1" defaultMemberUniqueName="[Range].[Date].[All]" allUniqueName="[Range].[Date].[All]" dimensionUniqueName="[Range]" displayFolder="" count="0"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92056236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245.965539583332" backgroundQuery="1" createdVersion="3" refreshedVersion="8" minRefreshableVersion="3" recordCount="0" supportSubquery="1" supportAdvancedDrill="1" xr:uid="{C81FCCB3-A42D-4019-863F-DC981EE5DD5D}">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Initial Quantity]" caption="Initial Quantity" attribute="1" defaultMemberUniqueName="[Range].[Initial Quantity].[All]" allUniqueName="[Range].[Initial Quantity].[All]" dimensionUniqueName="[Range]" displayFolder="" count="0" memberValueDatatype="20" unbalanced="0"/>
    <cacheHierarchy uniqueName="[Range].[Claim Quantity]" caption="Claim Quantity" attribute="1" defaultMemberUniqueName="[Range].[Claim Quantity].[All]" allUniqueName="[Range].[Claim Quantity].[All]" dimensionUniqueName="[Range]" displayFolder="" count="0" memberValueDatatype="20" unbalanced="0"/>
    <cacheHierarchy uniqueName="[Range].[Adjusted Quantity]" caption="Adjusted Quantity" attribute="1" defaultMemberUniqueName="[Range].[Adjusted Quantity].[All]" allUniqueName="[Range].[Adjusted Quantity].[All]" dimensionUniqueName="[Range]" displayFolder="" count="0" memberValueDatatype="20" unbalanced="0"/>
    <cacheHierarchy uniqueName="[Range].[NC number]" caption="NC number" attribute="1" defaultMemberUniqueName="[Range].[NC number].[All]" allUniqueName="[Range].[NC number].[All]" dimensionUniqueName="[Range]" displayFolder="" count="0" memberValueDatatype="130" unbalanced="0"/>
    <cacheHierarchy uniqueName="[Range].[Torn QTY]" caption="Torn QTY" attribute="1" defaultMemberUniqueName="[Range].[Torn QTY].[All]" allUniqueName="[Range].[Torn QTY].[All]" dimensionUniqueName="[Range]" displayFolder="" count="0" memberValueDatatype="20" unbalanced="0"/>
    <cacheHierarchy uniqueName="[Range].[loss]" caption="loss" attribute="1" defaultMemberUniqueName="[Range].[loss].[All]" allUniqueName="[Range].[loss].[All]" dimensionUniqueName="[Range]" displayFolder="" count="0" memberValueDatatype="20" unbalanced="0"/>
    <cacheHierarchy uniqueName="[Range].[Sound from Torn QTY]" caption="Sound from Torn QTY" attribute="1" defaultMemberUniqueName="[Range].[Sound from Torn QTY].[All]" allUniqueName="[Range].[Sound from Torn QTY].[All]" dimensionUniqueName="[Range]" displayFolder="" count="0" memberValueDatatype="2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0"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caption="Compensation Value" attribute="1" defaultMemberUniqueName="[Range].[Compensation Value].[All]" allUniqueName="[Range].[Compensation Value].[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0"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130"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130"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42"/>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43"/>
        </ext>
      </extLst>
    </cacheHierarchy>
    <cacheHierarchy uniqueName="[Measures].[Sum of Compensation Value]" caption="Sum of Compensation Value" measure="1" displayFolder="" measureGroup="Range"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pivotCacheId="16198677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s v="S7"/>
    <s v="Nov"/>
    <x v="0"/>
    <n v="1"/>
    <s v="3100033205A"/>
    <s v="XI"/>
    <s v="PZU-Bond area"/>
    <s v="LE0001"/>
    <s v="LENTIL TAT 20KG"/>
    <m/>
    <n v="0"/>
    <n v="0"/>
    <n v="0"/>
    <s v="Zero QTY"/>
    <n v="0"/>
    <n v="0"/>
    <n v="0"/>
    <s v="20KG BAGS"/>
    <s v="Import Container Damage/Short"/>
    <s v="Marine Insurance"/>
    <x v="0"/>
    <s v="Final inspection report, which confirms that there are no damaged bags as previously reported Container NO:FYCU7233921, BL NO:3100033205A"/>
    <s v="CIS report"/>
    <n v="0"/>
    <n v="0"/>
    <n v="0"/>
    <n v="0"/>
    <n v="0"/>
    <n v="0"/>
    <n v="0"/>
    <n v="0"/>
    <s v="No claim required (Zero loss)"/>
    <s v="N/A"/>
    <s v="Ajay/Limitz"/>
    <x v="0"/>
    <s v="Rawan"/>
    <m/>
    <s v="Accept"/>
    <x v="0"/>
    <s v="No cargo damage"/>
    <m/>
    <n v="0"/>
    <n v="0"/>
    <n v="0"/>
    <e v="#DIV/0!"/>
    <s v="No cargo damage"/>
    <m/>
  </r>
  <r>
    <x v="0"/>
    <s v="S7"/>
    <s v="Nov"/>
    <x v="0"/>
    <n v="2"/>
    <s v="XERNSAPSZU14324."/>
    <s v="XI"/>
    <s v="PZU-Bond area"/>
    <s v="RC0004"/>
    <s v="RICE LONG ELNGM 20K"/>
    <m/>
    <n v="215"/>
    <n v="215"/>
    <n v="0"/>
    <s v="Not found"/>
    <n v="0"/>
    <n v="0"/>
    <n v="0"/>
    <s v="20KG BAGS"/>
    <s v="Import Container Damage/Short"/>
    <s v="Marine Insurance"/>
    <x v="0"/>
    <s v="Shipment arrived Bond Area, container NO: JZPU1111481, BL XERNSAPSZU14324. The damage quantity of rice in 20kg bags is (215 bags 20KG) noted in wet and damage condition. We have received 50% of claim amount after the standard deduction (as per the policy) from insurance company. From insurance side they have made payment and closed their file, amount received is $1248."/>
    <s v="CIS report/Photo"/>
    <n v="11.609302325581396"/>
    <n v="2496"/>
    <n v="34000"/>
    <n v="7310000"/>
    <n v="30750"/>
    <n v="6611250"/>
    <n v="1248"/>
    <n v="2372"/>
    <s v="Compensated"/>
    <s v="Adjusted"/>
    <s v="Ajay/Shijil"/>
    <x v="0"/>
    <s v="Rawan"/>
    <m/>
    <s v="Accept"/>
    <x v="0"/>
    <s v="Insurance compensation"/>
    <m/>
    <n v="2496"/>
    <n v="1248"/>
    <n v="1248"/>
    <n v="0.5"/>
    <s v="As Shijil Email, We have received 50% of claim amount after the standard deduction (as per the policy) from insurance company."/>
    <m/>
  </r>
  <r>
    <x v="1"/>
    <s v="S7"/>
    <s v="Dec"/>
    <x v="0"/>
    <n v="3"/>
    <n v="245672578"/>
    <s v="XI"/>
    <s v="PZU-Bond area"/>
    <s v="LE0001"/>
    <s v="LENTIL TAT 20KG"/>
    <m/>
    <n v="0"/>
    <n v="0"/>
    <n v="0"/>
    <s v="Zero QTY"/>
    <n v="0"/>
    <n v="0"/>
    <n v="0"/>
    <s v="20KG BAGS"/>
    <s v="Import Container Damage/Short"/>
    <s v="Marine Insurance"/>
    <x v="0"/>
    <s v="Final inspection report, which confirms that there are no damaged bags as previously reported Container NO: CAAU6382276 /BL 245672578"/>
    <s v="CIS report"/>
    <n v="0"/>
    <n v="0"/>
    <n v="0"/>
    <n v="0"/>
    <n v="0"/>
    <n v="0"/>
    <n v="0"/>
    <n v="0"/>
    <s v="No claim required (Zero loss)"/>
    <s v="N/A"/>
    <s v="Ajay/Limitz"/>
    <x v="0"/>
    <s v="Rawan"/>
    <m/>
    <s v="Accept"/>
    <x v="0"/>
    <s v="No cargo damage"/>
    <m/>
    <n v="0"/>
    <n v="0"/>
    <n v="0"/>
    <e v="#DIV/0!"/>
    <s v="No cargo damage"/>
    <m/>
  </r>
  <r>
    <x v="1"/>
    <s v="S7"/>
    <s v="Dec"/>
    <x v="0"/>
    <n v="4"/>
    <n v="245672856"/>
    <s v="XI"/>
    <s v="PZU-Bond area"/>
    <s v="LE0001"/>
    <s v="LENTIL TAT 20KG"/>
    <m/>
    <n v="0"/>
    <n v="0"/>
    <n v="0"/>
    <s v="Zero QTY"/>
    <n v="0"/>
    <n v="0"/>
    <n v="0"/>
    <s v="20KG BAGS"/>
    <s v="Import Container Damage/Short"/>
    <s v="Marine Insurance"/>
    <x v="0"/>
    <s v="Final inspection report, which confirms that there are no damaged bags as previously reported Container NO:MSKU0899606 /BL 245672856"/>
    <s v="CIS report"/>
    <n v="0"/>
    <n v="0"/>
    <n v="0"/>
    <n v="0"/>
    <n v="0"/>
    <n v="0"/>
    <n v="0"/>
    <n v="0"/>
    <s v="No claim required (Zero loss)"/>
    <s v="N/A"/>
    <s v="Ajay/Limitz"/>
    <x v="0"/>
    <s v="Rawan"/>
    <m/>
    <s v="Accept"/>
    <x v="0"/>
    <s v="No cargo damage"/>
    <m/>
    <n v="0"/>
    <n v="0"/>
    <n v="0"/>
    <e v="#DIV/0!"/>
    <s v="No cargo damage"/>
    <m/>
  </r>
  <r>
    <x v="1"/>
    <s v="S7"/>
    <s v="Dec"/>
    <x v="0"/>
    <n v="4"/>
    <n v="245672856"/>
    <s v="XI"/>
    <s v="PZU-Bond area"/>
    <s v="LE0001"/>
    <s v="LENTIL TAT 20KG"/>
    <m/>
    <n v="21"/>
    <n v="21"/>
    <n v="0"/>
    <s v="Not found"/>
    <n v="0"/>
    <n v="0"/>
    <n v="0"/>
    <s v="20KG BAGS"/>
    <s v="Import Container Damage/Short"/>
    <s v="Marine Insurance"/>
    <x v="0"/>
    <s v="Shipment arrived Bond Area, Container NO: MVIU0022134 /BL 245672856-The damage quantity of rice in 20kg bags is (21 bags 20KG), having received 434,28 USD being the insurance claim amount."/>
    <s v="CIS report/LOP"/>
    <n v="20.68"/>
    <n v="434.28"/>
    <n v="48598"/>
    <n v="1020558"/>
    <n v="47408.368390000003"/>
    <n v="995575.73619000008"/>
    <n v="434.28"/>
    <n v="2350"/>
    <s v="Compensated"/>
    <s v="Adjusted"/>
    <s v="Ajay/Limitz"/>
    <x v="0"/>
    <s v="Rawan"/>
    <m/>
    <s v="Accept"/>
    <x v="0"/>
    <s v="Insurance compensation"/>
    <m/>
    <n v="434.28"/>
    <n v="434.28"/>
    <n v="0"/>
    <n v="0"/>
    <s v="Insurance compensated"/>
    <m/>
  </r>
  <r>
    <x v="2"/>
    <s v="S7"/>
    <s v="Dec"/>
    <x v="0"/>
    <n v="5"/>
    <s v="XERNSAPSZU1462425"/>
    <s v="XI"/>
    <s v="PZU-Bond area"/>
    <s v="RC0004"/>
    <s v="RICE LONG ELNGM 20K"/>
    <m/>
    <n v="25"/>
    <n v="25"/>
    <n v="0"/>
    <s v="Not found"/>
    <n v="0"/>
    <n v="0"/>
    <n v="0"/>
    <s v="20KG BAGS"/>
    <s v="Import Container Damage/Short"/>
    <s v="Marine Insurance"/>
    <x v="0"/>
    <s v="Shipment arrived Bond Area, Container NO:TEMU4187019 /BL XERNSAPSZU1462425 (14 bags), XERNSAPSZU1472425(11 bags) Total (25 bags). The damage quantity of rice in 20kg bags is 25 bags 20KG), case reject There is 0.5% excess payable for each claim (in this case $1826.55). Claim Value of 25 bags is less than 0.5% excess value hence insurance company has closed the file."/>
    <s v="CIS report/LOP"/>
    <n v="13.327961702127659"/>
    <n v="333.19904255319148"/>
    <n v="31320.71"/>
    <n v="783017.75"/>
    <n v="29520.555400000001"/>
    <n v="738013.88500000001"/>
    <n v="0"/>
    <n v="2350"/>
    <s v="Loss"/>
    <s v="Adjusted"/>
    <s v="Ajay/Shijil"/>
    <x v="0"/>
    <s v="Rawan"/>
    <m/>
    <s v="Accept"/>
    <x v="0"/>
    <s v="Less than deductible"/>
    <m/>
    <n v="333.19904255319148"/>
    <n v="0"/>
    <n v="333.19904255319148"/>
    <n v="1"/>
    <s v="Less than deductible (0.5%)"/>
    <m/>
  </r>
  <r>
    <x v="3"/>
    <s v="S7"/>
    <s v="Jan"/>
    <x v="1"/>
    <n v="6"/>
    <n v="247070297"/>
    <s v="XI"/>
    <s v="PZU"/>
    <s v="LE0001"/>
    <s v="LENTIL TAT 20KG"/>
    <m/>
    <n v="45"/>
    <n v="45"/>
    <n v="0"/>
    <s v="Short"/>
    <n v="0"/>
    <n v="0"/>
    <n v="0"/>
    <s v="20KG BAGS"/>
    <s v="Import Container Damage/Short"/>
    <s v="Marine Insurance"/>
    <x v="0"/>
    <s v="45 bags found shortage at container  BL:247070297 -  MAEU247070297 "/>
    <s v="CIS report/LOP"/>
    <n v="20.135917442738485"/>
    <n v="906.11628492323177"/>
    <n v="52000"/>
    <n v="2340000"/>
    <n v="48417.057079999999"/>
    <n v="2178767.5685999999"/>
    <n v="0"/>
    <n v="2582.4499999999998"/>
    <s v="Pending"/>
    <s v="Adjusted"/>
    <s v="Ajay/Limitz"/>
    <x v="0"/>
    <s v="Rawan"/>
    <m/>
    <s v="Pending"/>
    <x v="1"/>
    <s v="Case submitted/ Waiting Insurance feedback"/>
    <m/>
    <n v="906.11628492323177"/>
    <n v="0"/>
    <n v="906.11628492323177"/>
    <n v="1"/>
    <s v="Waiting Feedback"/>
    <m/>
  </r>
  <r>
    <x v="4"/>
    <s v="S7"/>
    <s v="Feb"/>
    <x v="1"/>
    <n v="7"/>
    <n v="248620904"/>
    <s v="XI"/>
    <s v="PZU-Bond area"/>
    <s v="LE0001"/>
    <s v="LENTIL TAT 20KG"/>
    <m/>
    <n v="54"/>
    <n v="54"/>
    <n v="0"/>
    <s v="Short"/>
    <n v="0"/>
    <n v="0"/>
    <n v="0"/>
    <s v="20KG BAGS"/>
    <s v="Import Container Damage/Short"/>
    <s v="Marine Insurance"/>
    <x v="0"/>
    <s v="54 bags found shortage at container  BL:248620904. Delivered DN and insurance compansate."/>
    <s v="CIS report/LOP"/>
    <n v="20.02"/>
    <n v="1081.08"/>
    <n v="51700.648999999998"/>
    <n v="2791835.0460000001"/>
    <n v="52451.811829999999"/>
    <n v="2832397.8388199997"/>
    <n v="1081.08"/>
    <n v="2582.4499999999998"/>
    <s v="Compensated"/>
    <s v="Adjusted"/>
    <s v="Ajay/Limitz"/>
    <x v="0"/>
    <s v="Rawan"/>
    <m/>
    <s v="Accept"/>
    <x v="0"/>
    <s v="Insurance compensation"/>
    <m/>
    <n v="1081.08"/>
    <n v="1081.08"/>
    <n v="0"/>
    <n v="0"/>
    <s v="Insurance compensated"/>
    <m/>
  </r>
  <r>
    <x v="5"/>
    <s v="S7"/>
    <s v="Feb"/>
    <x v="1"/>
    <n v="8"/>
    <n v="248619667"/>
    <s v="XI"/>
    <s v="PZU-Bond area"/>
    <s v="LE0001"/>
    <s v="LENTIL TAT 20KG"/>
    <m/>
    <n v="107"/>
    <n v="107"/>
    <n v="0"/>
    <s v="Short"/>
    <n v="0"/>
    <n v="0"/>
    <n v="0"/>
    <s v="20KG BAGS"/>
    <s v="Import Container Damage/Short"/>
    <s v="Marine Insurance"/>
    <x v="0"/>
    <s v="107 bags found shortage at container  BL:248619667. Delivered DN and insurance compansate."/>
    <s v="CIS report/LOP"/>
    <n v="20.02"/>
    <n v="2142.14"/>
    <n v="51700.648999999998"/>
    <n v="5531969.443"/>
    <n v="52451.811829999999"/>
    <n v="5612343.8658099994"/>
    <n v="2142.14"/>
    <n v="2582.4499999999998"/>
    <s v="Compensated"/>
    <s v="Adjusted"/>
    <s v="Ajay/Limitz"/>
    <x v="0"/>
    <s v="Rawan"/>
    <m/>
    <s v="Accept"/>
    <x v="0"/>
    <s v="Insurance compensation"/>
    <m/>
    <n v="2142.14"/>
    <n v="2142.14"/>
    <n v="0"/>
    <n v="0"/>
    <s v="Insurance compensated"/>
    <m/>
  </r>
  <r>
    <x v="6"/>
    <s v="S7"/>
    <s v="Feb"/>
    <x v="1"/>
    <n v="9"/>
    <n v="248620255"/>
    <s v="XI"/>
    <s v="PZU-Bond area"/>
    <s v="LE0001"/>
    <s v="LENTIL TAT 20KG"/>
    <m/>
    <n v="55"/>
    <n v="55"/>
    <n v="0"/>
    <s v="Short"/>
    <n v="0"/>
    <n v="0"/>
    <n v="0"/>
    <s v="20KG BAGS"/>
    <s v="Import Container Damage/Short"/>
    <s v="Marine Insurance"/>
    <x v="0"/>
    <s v="55 bags found shortage at container  BL:248620255. Delivered DN and insurance compansate."/>
    <s v="CIS report/LOP"/>
    <n v="20.02"/>
    <n v="1101.0999999999999"/>
    <n v="51700.648999999998"/>
    <n v="2843535.6949999998"/>
    <n v="52451.811829999999"/>
    <n v="2884849.6506499997"/>
    <n v="1101.0999999999999"/>
    <n v="2582.4499999999998"/>
    <s v="Compensated"/>
    <s v="Adjusted"/>
    <s v="Ajay/Limitz"/>
    <x v="0"/>
    <s v="Rawan"/>
    <m/>
    <s v="Accept"/>
    <x v="0"/>
    <s v="Insurance compensation"/>
    <m/>
    <n v="1101.0999999999999"/>
    <n v="1101.0999999999999"/>
    <n v="0"/>
    <n v="0"/>
    <s v="Insurance compensated"/>
    <m/>
  </r>
  <r>
    <x v="7"/>
    <s v="S7"/>
    <s v="Feb"/>
    <x v="1"/>
    <n v="10"/>
    <n v="248621429"/>
    <s v="XI"/>
    <s v="PZU-Bond area"/>
    <s v="LE0001"/>
    <s v="LENTIL TAT 20KG"/>
    <m/>
    <n v="30"/>
    <n v="30"/>
    <n v="0"/>
    <s v="Short"/>
    <n v="0"/>
    <n v="0"/>
    <n v="0"/>
    <s v="20KG BAGS"/>
    <s v="Import Container Damage/Short"/>
    <s v="Marine Insurance"/>
    <x v="0"/>
    <s v="30 bags found shortage at container  BL:248621429. Delivered DN and insurance compansate."/>
    <s v="CIS report/LOP"/>
    <n v="20"/>
    <n v="600"/>
    <n v="51649"/>
    <n v="1549470"/>
    <n v="52451.811829999999"/>
    <n v="1573554.3548999999"/>
    <n v="600"/>
    <n v="2582.4499999999998"/>
    <s v="Compensated"/>
    <s v="Adjusted"/>
    <s v="Ajay/Limitz"/>
    <x v="0"/>
    <s v="Rawan"/>
    <m/>
    <s v="Accept"/>
    <x v="0"/>
    <s v="Insurance compensation"/>
    <m/>
    <n v="600"/>
    <n v="600"/>
    <n v="0"/>
    <n v="0"/>
    <s v="Insurance compensated"/>
    <m/>
  </r>
  <r>
    <x v="8"/>
    <s v="S7"/>
    <s v="Mar"/>
    <x v="1"/>
    <n v="11"/>
    <n v="248622146"/>
    <s v="E2"/>
    <s v="PZU"/>
    <s v="LE0001"/>
    <s v="LENTIL TAT 20KG"/>
    <m/>
    <n v="62"/>
    <n v="62"/>
    <m/>
    <s v="Short"/>
    <n v="0"/>
    <n v="0"/>
    <n v="0"/>
    <s v="20KG BAGS"/>
    <s v="Import Container Damage/Short"/>
    <s v="Marine Insurance"/>
    <x v="0"/>
    <s v="62 bags found shortage at container  BL:248622146. Delivered DN and insurance compansate."/>
    <s v="CIS report/LOP"/>
    <n v="20.02"/>
    <n v="1241.24"/>
    <n v="51200.949799999995"/>
    <n v="3174458.8875999996"/>
    <n v="50018.234799999998"/>
    <n v="3101130.5575999999"/>
    <n v="1241.24"/>
    <n v="2557.4899999999998"/>
    <s v="Compensated"/>
    <s v="Adjusted"/>
    <s v="Ajay/Limitz"/>
    <x v="0"/>
    <s v="Rawan"/>
    <m/>
    <s v="Accept"/>
    <x v="0"/>
    <s v="Insurance compensation"/>
    <m/>
    <n v="1241.24"/>
    <n v="1241.24"/>
    <n v="0"/>
    <n v="0"/>
    <s v="Insurance compensated"/>
    <m/>
  </r>
  <r>
    <x v="9"/>
    <s v="S7"/>
    <s v="Mar"/>
    <x v="1"/>
    <n v="12"/>
    <n v="248623021"/>
    <s v="E2"/>
    <s v="PZU"/>
    <s v="LE0001"/>
    <s v="LENTIL TAT 20KG"/>
    <m/>
    <n v="54"/>
    <n v="54"/>
    <m/>
    <s v="Short"/>
    <n v="0"/>
    <n v="0"/>
    <n v="0"/>
    <s v="20KG BAGS"/>
    <s v="Import Container Damage/Short"/>
    <s v="Marine Insurance"/>
    <x v="0"/>
    <s v="54 bags found shortage at container  BL:248623021. Short bag less than deductable .05%"/>
    <s v="CIS report/LOP"/>
    <n v="20.98"/>
    <n v="1132.92"/>
    <n v="53500"/>
    <n v="2889000"/>
    <n v="50018.234799999998"/>
    <n v="2700984.6792000001"/>
    <n v="0"/>
    <n v="2550"/>
    <s v="Loss"/>
    <s v="Adjusted"/>
    <s v="Ajay/Limitz"/>
    <x v="0"/>
    <s v="Rawan"/>
    <m/>
    <s v="Accept"/>
    <x v="0"/>
    <s v="Less than deductible"/>
    <m/>
    <n v="1132.92"/>
    <n v="0"/>
    <n v="1132.92"/>
    <n v="1"/>
    <s v="Less than deductible (0.5%)"/>
    <m/>
  </r>
  <r>
    <x v="10"/>
    <s v="S7"/>
    <s v="Apr"/>
    <x v="1"/>
    <n v="13"/>
    <n v="248624161"/>
    <s v="XZ"/>
    <s v="PZU"/>
    <s v="LE0001"/>
    <s v="LENTIL TAT 20KG"/>
    <m/>
    <n v="28"/>
    <n v="28"/>
    <m/>
    <s v="Short"/>
    <n v="0"/>
    <n v="0"/>
    <n v="0"/>
    <s v="20KG BAGS"/>
    <s v="Import Container Damage/Short"/>
    <s v="Marine Insurance"/>
    <x v="0"/>
    <s v="28 bags found shortage at container  BL:248624161"/>
    <s v="CIS report/LOP"/>
    <n v="22.71"/>
    <n v="635.88"/>
    <n v="58000"/>
    <n v="1624000"/>
    <n v="50018.234799999998"/>
    <n v="1400510.5744"/>
    <n v="0"/>
    <n v="2554.48"/>
    <s v="Loss"/>
    <s v="Adjusted"/>
    <s v="Ajay/Limitz"/>
    <x v="0"/>
    <s v="Rawan"/>
    <m/>
    <s v="Accept"/>
    <x v="0"/>
    <s v="Less than deductible"/>
    <m/>
    <n v="635.88"/>
    <n v="0"/>
    <n v="635.88"/>
    <n v="1"/>
    <s v="Less than deductible (0.5%)"/>
    <m/>
  </r>
  <r>
    <x v="10"/>
    <s v="S7"/>
    <s v="Apr"/>
    <x v="1"/>
    <n v="14"/>
    <n v="248623393"/>
    <s v="XZ"/>
    <s v="PZU"/>
    <s v="LE0001"/>
    <s v="LENTIL TAT 20KG"/>
    <m/>
    <n v="23"/>
    <n v="23"/>
    <m/>
    <s v="Short"/>
    <n v="0"/>
    <n v="0"/>
    <n v="0"/>
    <s v="20KG BAGS"/>
    <s v="Import Container Damage/Short"/>
    <s v="Marine Insurance"/>
    <x v="0"/>
    <s v="23 bags found shortage at container  BL:248623393.  for short bags is less than deductable 0.5%."/>
    <s v="CIS report/LOP"/>
    <n v="22.71"/>
    <n v="522.33000000000004"/>
    <n v="58000"/>
    <n v="1334000"/>
    <n v="50018.234799999998"/>
    <n v="1150419.4003999999"/>
    <n v="0"/>
    <n v="2554.48"/>
    <s v="Loss"/>
    <s v="Adjusted"/>
    <s v="Ajay/Limitz"/>
    <x v="0"/>
    <s v="Rawan"/>
    <m/>
    <s v="Accept"/>
    <x v="0"/>
    <s v="Less than deductible"/>
    <m/>
    <n v="522.33000000000004"/>
    <n v="0"/>
    <n v="522.33000000000004"/>
    <n v="1"/>
    <s v="Less than deductible (0.5%)"/>
    <m/>
  </r>
  <r>
    <x v="10"/>
    <s v="S7"/>
    <s v="Apr"/>
    <x v="1"/>
    <n v="15"/>
    <n v="248623928"/>
    <s v="XZ"/>
    <s v="PZU"/>
    <s v="LE0001"/>
    <s v="LENTIL TAT 20KG"/>
    <m/>
    <n v="33"/>
    <n v="33"/>
    <m/>
    <s v="53-Short"/>
    <n v="0"/>
    <n v="0"/>
    <n v="0"/>
    <s v="20KG BAGS"/>
    <s v="Import Container Damage/Short"/>
    <s v="Marine Insurance"/>
    <x v="0"/>
    <s v="33 bags found shortage at container  BL:248623928"/>
    <s v="CIS report/LOP"/>
    <n v="22.71"/>
    <n v="749.43000000000006"/>
    <n v="58000"/>
    <n v="1914000"/>
    <n v="50018.234799999998"/>
    <n v="1650601.7483999999"/>
    <n v="0"/>
    <n v="2554.48"/>
    <s v="Loss"/>
    <s v="Adjusted"/>
    <s v="Ajay/Limitz"/>
    <x v="0"/>
    <s v="Rawan"/>
    <m/>
    <s v="Accept"/>
    <x v="0"/>
    <s v="Less than deductible"/>
    <m/>
    <n v="749.43000000000006"/>
    <n v="0"/>
    <n v="749.43000000000006"/>
    <n v="1"/>
    <s v="Less than deductible (0.5%)"/>
    <m/>
  </r>
  <r>
    <x v="11"/>
    <s v="S7"/>
    <s v="Jul"/>
    <x v="1"/>
    <n v="16"/>
    <s v="CAEMER25262000"/>
    <s v="XI"/>
    <s v="PZU-Bond area"/>
    <s v="LE0001"/>
    <s v="LENTIL TAT 20KG"/>
    <m/>
    <n v="52"/>
    <n v="6"/>
    <m/>
    <s v="Not found"/>
    <n v="0"/>
    <n v="0"/>
    <n v="0"/>
    <s v="20KG BAGS"/>
    <s v="Import Container Damage/Short"/>
    <s v="Marine Insurance"/>
    <x v="0"/>
    <s v="46 torn 6 wet bag during discharge CAEMER25262000.Torn bags are not covered under insurance. wet bag less than deductable 0.5%"/>
    <s v="CIS report"/>
    <n v="18.54"/>
    <n v="111.24"/>
    <n v="51967.619999999995"/>
    <n v="311805.71999999997"/>
    <n v="41075.795080000004"/>
    <n v="246454.77048000001"/>
    <n v="0"/>
    <n v="2803"/>
    <s v="Loss"/>
    <s v="N/A"/>
    <s v="Ajay/Jeenu"/>
    <x v="0"/>
    <s v="Rawan"/>
    <m/>
    <s v="Reject"/>
    <x v="0"/>
    <s v="Not include under insurance covarge/Less than deductable"/>
    <m/>
    <n v="111.24"/>
    <n v="0"/>
    <n v="111.24"/>
    <n v="1"/>
    <s v="Not include under insurance covarge/Less than deductable (0.5%)"/>
    <m/>
  </r>
  <r>
    <x v="11"/>
    <s v="S7"/>
    <s v="Jul"/>
    <x v="1"/>
    <n v="17"/>
    <s v="CAEMER25262001"/>
    <s v="XI"/>
    <s v="PZU-Bond area"/>
    <s v="LE0001"/>
    <s v="LENTIL TAT 20KG"/>
    <m/>
    <n v="54"/>
    <n v="3"/>
    <m/>
    <s v="Not found"/>
    <n v="0"/>
    <n v="0"/>
    <n v="0"/>
    <s v="20KG BAGS"/>
    <s v="Import Container Damage/Short"/>
    <s v="Marine Insurance"/>
    <x v="0"/>
    <s v="51  torn bag 3 wet bag during discharge CAEMER25262001. Torn bag not cover under insurance, for wet bags less than deductable .05%."/>
    <s v="CIS report"/>
    <n v="18.54"/>
    <n v="55.62"/>
    <n v="51967.619999999995"/>
    <n v="155902.85999999999"/>
    <n v="41075.795080000004"/>
    <n v="123227.38524"/>
    <n v="0"/>
    <n v="2803"/>
    <s v="Loss"/>
    <s v="N/A"/>
    <s v="Ajay/Jeenu"/>
    <x v="0"/>
    <s v="Rawan"/>
    <m/>
    <s v="Reject"/>
    <x v="0"/>
    <s v="Not include under insurance covarge"/>
    <m/>
    <n v="55.62"/>
    <n v="0"/>
    <n v="55.62"/>
    <n v="1"/>
    <s v="Case Reject/No compensation"/>
    <m/>
  </r>
  <r>
    <x v="11"/>
    <s v="S7"/>
    <s v="Jul"/>
    <x v="1"/>
    <n v="18"/>
    <s v="CAEMER25262002"/>
    <s v="XI"/>
    <s v="PZU-Bond area"/>
    <s v="LE0001"/>
    <s v="LENTIL TAT 20KG"/>
    <m/>
    <n v="67"/>
    <n v="5"/>
    <m/>
    <s v="Not found"/>
    <n v="0"/>
    <n v="0"/>
    <n v="0"/>
    <s v="20KG BAGS"/>
    <s v="Import Container Damage/Short"/>
    <s v="Marine Insurance"/>
    <x v="0"/>
    <s v="52  torn bag 5 wet bag during discharge CAEMER25262002. Torn bag not cover under insurance, for wet bags less than deductable .05%."/>
    <s v="CIS report/Wet LOP"/>
    <n v="18.54"/>
    <n v="92.699999999999989"/>
    <n v="51967.619999999995"/>
    <n v="259838.09999999998"/>
    <n v="41075.795080000004"/>
    <n v="205378.97540000002"/>
    <n v="0"/>
    <n v="2803"/>
    <s v="Loss"/>
    <s v="N/A"/>
    <s v="Ajay/Jeenu"/>
    <x v="0"/>
    <s v="Rawan"/>
    <m/>
    <s v="Reject"/>
    <x v="0"/>
    <s v="Not include under insurance covarge"/>
    <m/>
    <n v="92.699999999999989"/>
    <n v="0"/>
    <n v="92.699999999999989"/>
    <n v="1"/>
    <s v="Case Reject/No compensation"/>
    <m/>
  </r>
  <r>
    <x v="12"/>
    <s v="S7"/>
    <s v="Aug"/>
    <x v="1"/>
    <n v="19"/>
    <s v="CAEMER25310000"/>
    <s v="XI"/>
    <s v="PZU-Bond area"/>
    <s v="LE0001"/>
    <s v="LENTIL TAT 20KG"/>
    <m/>
    <n v="50"/>
    <n v="23"/>
    <m/>
    <n v="47"/>
    <n v="50"/>
    <n v="23"/>
    <n v="27"/>
    <s v="20KG BAGS"/>
    <s v="Import Container Damage/Short"/>
    <s v="Marine Insurance"/>
    <x v="0"/>
    <s v="50 torn bag during discharge CAEMER25310000, case reject due there is excess at BL by 207 bags."/>
    <s v="CIS report"/>
    <n v="18.54"/>
    <n v="426.41999999999996"/>
    <n v="51967.619999999995"/>
    <n v="1195255.2599999998"/>
    <n v="53401.105539999997"/>
    <n v="1228225.4274199998"/>
    <n v="0"/>
    <n v="2803"/>
    <s v="Loss"/>
    <s v="N/A"/>
    <s v="Ajay/Jeenue"/>
    <x v="0"/>
    <s v="Rawan"/>
    <m/>
    <s v="Reject"/>
    <x v="0"/>
    <s v="Not include under insurance covarge"/>
    <m/>
    <n v="426.41999999999996"/>
    <n v="0"/>
    <n v="426.41999999999996"/>
    <n v="1"/>
    <s v="Case Reject/No compensation"/>
    <m/>
  </r>
  <r>
    <x v="12"/>
    <s v="S7"/>
    <s v="Aug"/>
    <x v="1"/>
    <n v="20"/>
    <s v="CAEMER25310001"/>
    <s v="XI"/>
    <s v="PZU-Bond area"/>
    <s v="LE0001"/>
    <s v="LENTIL TAT 20KG"/>
    <m/>
    <n v="46"/>
    <n v="23"/>
    <m/>
    <n v="47"/>
    <n v="46"/>
    <n v="23"/>
    <n v="23"/>
    <s v="20KG BAGS"/>
    <s v="Import Container Damage/Short"/>
    <s v="Marine Insuranse"/>
    <x v="0"/>
    <s v="46 torn bag during descharge CAEMER25310001,Case rject  due there is ecxess at BL by 154 bags."/>
    <s v="CIS report"/>
    <n v="18.54"/>
    <n v="426.41999999999996"/>
    <n v="51967.619999999995"/>
    <n v="1195255.2599999998"/>
    <n v="53401.105539999997"/>
    <n v="1228225.4274199998"/>
    <n v="0"/>
    <n v="2803"/>
    <s v="Loss"/>
    <s v="N/A"/>
    <s v="Ajay/Jeenue"/>
    <x v="0"/>
    <s v="Rawan"/>
    <m/>
    <s v="Reject"/>
    <x v="0"/>
    <s v="Not include under insurance covarge"/>
    <m/>
    <n v="426.41999999999996"/>
    <n v="0"/>
    <n v="426.41999999999996"/>
    <n v="1"/>
    <s v="Not include under insurance covarge"/>
    <m/>
  </r>
  <r>
    <x v="13"/>
    <s v="S7"/>
    <s v="Sep"/>
    <x v="1"/>
    <n v="21"/>
    <s v="CAEMER25406100"/>
    <s v="XI"/>
    <s v="PZU-Bond area"/>
    <s v="LE0001"/>
    <s v="LENTIL TAT 20KG"/>
    <m/>
    <n v="87"/>
    <n v="27"/>
    <m/>
    <n v="69"/>
    <n v="80"/>
    <n v="20"/>
    <n v="60"/>
    <s v="20KG BAGS"/>
    <s v="Import Container Damage/Short"/>
    <s v="Marine Insuranse"/>
    <x v="0"/>
    <s v="80 torn bag during descharge and 7 wet bags, BL:CAEMER25406100, torn bags are not covered under the insurance. However, extra empty bags were shipped along with the cargo, which can be used to rebag, for wet bag less than deductable .05% "/>
    <s v="CIS report"/>
    <n v="18.38"/>
    <n v="496.26"/>
    <n v="61936.923999999999"/>
    <n v="1672296.9479999999"/>
    <n v="45680.80154"/>
    <n v="1233381.6415800001"/>
    <n v="0"/>
    <n v="3369.8"/>
    <s v="Loss"/>
    <s v="N/A"/>
    <s v="Ajay/Jeenue"/>
    <x v="0"/>
    <s v="Rawan"/>
    <m/>
    <s v="Reject"/>
    <x v="0"/>
    <s v="Not include under insurance covarge/Less than deductable"/>
    <m/>
    <n v="496.26"/>
    <n v="0"/>
    <n v="496.26"/>
    <n v="1"/>
    <s v="Not include under insurance covarge/Less than deductable (0.5%)"/>
    <m/>
  </r>
  <r>
    <x v="13"/>
    <m/>
    <s v="Sep"/>
    <x v="1"/>
    <n v="22"/>
    <s v="CAEMER25406101"/>
    <s v="XI"/>
    <s v="PZU-Bond area"/>
    <s v="LE0001"/>
    <s v="LENTIL TAT 20KG"/>
    <m/>
    <n v="60"/>
    <n v="18"/>
    <m/>
    <n v="70"/>
    <n v="60"/>
    <n v="18"/>
    <n v="42"/>
    <s v="20KG BAGS"/>
    <s v="Import Container Damage/Short"/>
    <s v="Marine Insuranse"/>
    <x v="0"/>
    <s v="60 torn bag during descharge, BL:CAEMER25406101, torn bags are not covered under the insurance. However, extra empty bags were shipped along with the cargo, which can be used to rebag "/>
    <s v="CIS report"/>
    <n v="18.38"/>
    <n v="330.84"/>
    <n v="61936.923999999999"/>
    <n v="1114864.632"/>
    <n v="45680.80154"/>
    <n v="822254.42772000004"/>
    <n v="0"/>
    <n v="3369.8"/>
    <s v="Loss"/>
    <s v="N/A"/>
    <s v="Ajay/Jeenue"/>
    <x v="0"/>
    <s v="Rawan"/>
    <m/>
    <s v="Reject"/>
    <x v="0"/>
    <s v="Not include under insurance covarge"/>
    <m/>
    <n v="330.84"/>
    <n v="0"/>
    <n v="330.84"/>
    <n v="1"/>
    <s v="Not include under insurance covarge"/>
    <m/>
  </r>
  <r>
    <x v="14"/>
    <m/>
    <s v="Sep"/>
    <x v="1"/>
    <n v="23"/>
    <n v="257625382"/>
    <s v="XI"/>
    <s v="PZU-Bond area"/>
    <s v="LE0001"/>
    <s v="LENTIL TAT 20KG"/>
    <m/>
    <n v="40"/>
    <n v="11"/>
    <m/>
    <n v="75"/>
    <n v="40"/>
    <n v="11"/>
    <n v="29"/>
    <s v="20KG BAGS"/>
    <s v="Import Container Damage/Short"/>
    <s v="Marine Insuranse"/>
    <x v="0"/>
    <s v="40 torn bag during descharge BL:257625382.Torn bags are not covered under insurance."/>
    <s v="CIS report"/>
    <n v="18.38"/>
    <n v="202.17999999999998"/>
    <n v="61936.923999999999"/>
    <n v="681306.16399999999"/>
    <n v="45680.80154"/>
    <n v="502488.81693999999"/>
    <n v="0"/>
    <n v="3369.8"/>
    <s v="Loss"/>
    <s v="N/A"/>
    <s v="Ajay/Jeenue"/>
    <x v="0"/>
    <s v="Rawan"/>
    <m/>
    <s v="Reject"/>
    <x v="0"/>
    <s v="Not include under insurance covarge"/>
    <m/>
    <n v="202.17999999999998"/>
    <n v="0"/>
    <n v="202.17999999999998"/>
    <n v="1"/>
    <s v="Not include under insurance covarge"/>
    <m/>
  </r>
  <r>
    <x v="15"/>
    <s v="S7"/>
    <s v="Oct"/>
    <x v="1"/>
    <n v="24"/>
    <s v="CAEMER25481600"/>
    <s v="XI"/>
    <s v="PZU-Bond area"/>
    <s v="LE0001"/>
    <s v="LENTIL TAT 20KG"/>
    <m/>
    <n v="42"/>
    <n v="14"/>
    <m/>
    <n v="83"/>
    <n v="42"/>
    <n v="14"/>
    <n v="28"/>
    <s v="20KG BAGS"/>
    <s v="Import Container Damage/Short"/>
    <s v="Marine Insuranse"/>
    <x v="0"/>
    <s v="42 torn bag during descharge BL:CAEMER25481600. Torn bags are not covered under insurance."/>
    <s v="CIS report"/>
    <n v="18.38"/>
    <n v="257.32"/>
    <n v="61936.923999999999"/>
    <n v="867116.93599999999"/>
    <n v="45681"/>
    <n v="639534"/>
    <n v="0"/>
    <n v="3369.8"/>
    <s v="Loss"/>
    <s v="N/A"/>
    <s v="Jeenue"/>
    <x v="0"/>
    <s v="Rawan"/>
    <m/>
    <s v="Reject"/>
    <x v="0"/>
    <s v="Not include under insurance covarge"/>
    <m/>
    <n v="257.32"/>
    <n v="0"/>
    <n v="257.32"/>
    <n v="1"/>
    <s v="Not include under insurance covarge"/>
    <m/>
  </r>
  <r>
    <x v="15"/>
    <m/>
    <s v="Oct"/>
    <x v="1"/>
    <n v="25"/>
    <s v="CAEMER25481700"/>
    <s v="XI"/>
    <s v="PZU-Bond area"/>
    <s v="LE0001"/>
    <s v="LENTIL TAT 20KG"/>
    <m/>
    <n v="41"/>
    <n v="17"/>
    <m/>
    <n v="84"/>
    <n v="41"/>
    <n v="17"/>
    <n v="24"/>
    <s v="20KG BAGS"/>
    <s v="Import Container Damage/Short"/>
    <s v="Marine Insuranse"/>
    <x v="0"/>
    <s v="41 torn bag during descharge BL: CAEMER25481700. Torn bags are not covered under insurance"/>
    <s v="CIS report"/>
    <n v="18.38"/>
    <n v="312.45999999999998"/>
    <n v="61936.923999999999"/>
    <n v="1052927.7080000001"/>
    <n v="45681"/>
    <n v="776577"/>
    <n v="0"/>
    <n v="3369.8"/>
    <s v="Loss"/>
    <s v="N/A"/>
    <s v="Jeenue"/>
    <x v="0"/>
    <s v="Rawan"/>
    <m/>
    <s v="Reject"/>
    <x v="0"/>
    <s v="Not include under insurance covarge"/>
    <m/>
    <n v="312.45999999999998"/>
    <n v="0"/>
    <n v="312.45999999999998"/>
    <n v="1"/>
    <s v="Not include under insurance covarge"/>
    <m/>
  </r>
  <r>
    <x v="16"/>
    <s v="S7"/>
    <s v="Sep"/>
    <x v="1"/>
    <n v="26"/>
    <s v="SHNSAPZU25070094"/>
    <s v="XI"/>
    <s v="PZU-Bond area"/>
    <s v="RC0004"/>
    <s v="RICE LONG ELNGM 20K"/>
    <m/>
    <n v="127"/>
    <n v="116"/>
    <m/>
    <s v="122&amp;125-Comment"/>
    <n v="40"/>
    <n v="23"/>
    <n v="17"/>
    <s v="20KG BAGS"/>
    <s v="Import Container Damage/Short"/>
    <s v="Marine Insuranse"/>
    <x v="0"/>
    <s v="40 torn bag/4 wet bag/83 shortagebag BL:SHNSAPZU25070094 all reqirment documents share, first notification on 29-Sep-25 the final CIS report with final quantity on 17-Oct-25.Torn bags are not covered under insurance for short and wet bag less than deductable .05%"/>
    <s v="CIS report/LOP/e claim form/Claim report form"/>
    <n v="11.41"/>
    <n v="1323.56"/>
    <n v="38449.418000000005"/>
    <n v="4460132.4880000008"/>
    <n v="31023"/>
    <n v="3598668"/>
    <n v="0"/>
    <n v="3369.8"/>
    <s v="Loss"/>
    <s v="Adjusted"/>
    <s v="Jeenue"/>
    <x v="0"/>
    <s v="Rawan"/>
    <m/>
    <s v="Accept"/>
    <x v="0"/>
    <s v="Not include under insurance covarge/Less than deductable"/>
    <m/>
    <n v="1323.56"/>
    <n v="0"/>
    <n v="1323.56"/>
    <n v="1"/>
    <s v="Not include under insurance covarge/Less than deductable (0.5%)"/>
    <m/>
  </r>
  <r>
    <x v="17"/>
    <s v="S7"/>
    <s v="Oct"/>
    <x v="1"/>
    <n v="27"/>
    <n v="258447410"/>
    <s v="XI"/>
    <s v="PZU-Bond area"/>
    <s v="LE0001"/>
    <s v="LENTIL TAT 20KG"/>
    <m/>
    <n v="46"/>
    <n v="34"/>
    <m/>
    <s v="86-Comment"/>
    <n v="18"/>
    <n v="6"/>
    <n v="12"/>
    <s v="20KG BAGS"/>
    <s v="Import Container Damage/Short"/>
    <s v="Marine Insuranse"/>
    <x v="0"/>
    <s v="18 torn bag / 28 short bag BL:258447410. As Dubai team email Torn bags are not covered under insurance."/>
    <s v="CIS report/LOP"/>
    <n v="17.416"/>
    <n v="592.14400000000001"/>
    <n v="58688.436800000003"/>
    <n v="1995406.8512000002"/>
    <n v="45681"/>
    <n v="1553154"/>
    <n v="0"/>
    <n v="3369.8"/>
    <s v="Pending"/>
    <s v="Adjusted"/>
    <s v="Jeenue"/>
    <x v="0"/>
    <s v="Rawan"/>
    <m/>
    <s v="Pending"/>
    <x v="1"/>
    <s v="Case submitted/ Waiting Insurance feedback"/>
    <m/>
    <n v="592.14400000000001"/>
    <n v="0"/>
    <n v="592.14400000000001"/>
    <n v="1"/>
    <s v="Waiting Feedback"/>
    <m/>
  </r>
  <r>
    <x v="18"/>
    <s v="S7"/>
    <s v="Oct"/>
    <x v="1"/>
    <n v="28"/>
    <s v="ASN/PZU/0825/11093"/>
    <s v="XI"/>
    <s v="PZU-Bond area"/>
    <s v="RC0004"/>
    <s v="RICE LONG ELNGM 20K"/>
    <m/>
    <n v="258"/>
    <n v="255"/>
    <m/>
    <s v="93&amp;94-Comment"/>
    <n v="48"/>
    <n v="9"/>
    <n v="39"/>
    <s v="20KG BAGS"/>
    <s v="Import Container Damage/Short"/>
    <s v="Marine Insuranse"/>
    <x v="0"/>
    <s v="48 torn bag/ 85 wet bags/ 125 short bags BL:ASN/PZU/0825/11093, As email from Jeenu torn bag not cover under insurance. There is Final report update at 7 December 2025- 48 torn bag/ 129 wet bags/ 81 short bags but insurance not accept the update, they accept the first servey report."/>
    <s v="CIS report/LOP"/>
    <n v="8.75"/>
    <n v="2231.25"/>
    <n v="31041.412500000002"/>
    <n v="7915560.1875000009"/>
    <n v="23264.087289999999"/>
    <n v="5932342.2589499997"/>
    <n v="0"/>
    <n v="3547.59"/>
    <s v="Pending"/>
    <s v="Adjusted"/>
    <s v="Jeenue"/>
    <x v="0"/>
    <s v="Rawan"/>
    <m/>
    <s v="Pending"/>
    <x v="1"/>
    <s v="Case submitted/ Waiting Insurance feedback"/>
    <m/>
    <n v="2231.25"/>
    <n v="0"/>
    <n v="2231.25"/>
    <n v="1"/>
    <s v="Waiting Feedback"/>
    <m/>
  </r>
  <r>
    <x v="19"/>
    <s v="S7"/>
    <s v="Nov"/>
    <x v="1"/>
    <n v="29"/>
    <s v="2501094EXY"/>
    <s v="XI"/>
    <s v="PZU-Bond area"/>
    <s v="LE0001"/>
    <s v="LENTIL TAT 20KG"/>
    <m/>
    <n v="33"/>
    <n v="9"/>
    <m/>
    <n v="89"/>
    <n v="33"/>
    <n v="8"/>
    <n v="25"/>
    <s v="20KG BAGS"/>
    <s v="Import Container Damage/Short"/>
    <s v="Marine Insuranse"/>
    <x v="0"/>
    <s v="33 torn bag during descharge BL: 2501094EXY, As email from Jeenu torn bag not cover under insurance."/>
    <s v="CIS report"/>
    <n v="16.52"/>
    <n v="148.68"/>
    <n v="58606.186800000003"/>
    <n v="527455.68119999999"/>
    <n v="42710.4732"/>
    <n v="384394.25880000001"/>
    <n v="0"/>
    <n v="3547.59"/>
    <s v="Loss"/>
    <s v="N/A"/>
    <s v="Jeenue"/>
    <x v="0"/>
    <s v="Rawan"/>
    <m/>
    <s v="Reject"/>
    <x v="0"/>
    <s v="Not include under insurance covarge"/>
    <m/>
    <n v="148.68"/>
    <n v="0"/>
    <n v="148.68"/>
    <n v="1"/>
    <s v="Not include under insurance covarge"/>
    <m/>
  </r>
  <r>
    <x v="19"/>
    <m/>
    <s v="Nov"/>
    <x v="1"/>
    <n v="30"/>
    <s v="2501095EXY"/>
    <s v="XI"/>
    <s v="PZU-Bond area"/>
    <s v="LE0001"/>
    <s v="LENTIL TAT 20KG"/>
    <m/>
    <n v="71"/>
    <n v="16"/>
    <m/>
    <n v="90"/>
    <n v="71"/>
    <n v="14"/>
    <n v="57"/>
    <s v="20KG BAGS"/>
    <s v="Import Container Damage/Short"/>
    <s v="Marine Insuranse"/>
    <x v="0"/>
    <s v="71 torn bags during descharge BL: 2501095EXY, As email from Jeenu torn bag not cover under insurance."/>
    <s v="CIS report"/>
    <n v="16.52"/>
    <n v="264.32"/>
    <n v="58606.186800000003"/>
    <n v="937698.98880000005"/>
    <n v="42710.4732"/>
    <n v="683367.57120000001"/>
    <n v="0"/>
    <n v="3547.59"/>
    <s v="Loss"/>
    <s v="N/A"/>
    <s v="Jeenue"/>
    <x v="0"/>
    <s v="Rawan"/>
    <m/>
    <s v="Reject"/>
    <x v="0"/>
    <s v="Not include under insurance covarge"/>
    <m/>
    <n v="264.32"/>
    <n v="0"/>
    <n v="264.32"/>
    <n v="1"/>
    <s v="Not include under insurance covarge"/>
    <m/>
  </r>
  <r>
    <x v="20"/>
    <s v="S7"/>
    <s v="Nov"/>
    <x v="1"/>
    <n v="31"/>
    <n v="259338012"/>
    <s v="XI"/>
    <s v="PZU-Bond area"/>
    <s v="LE0001"/>
    <s v="LENTIL TAT 20KG"/>
    <m/>
    <n v="44"/>
    <n v="5"/>
    <m/>
    <n v="95"/>
    <n v="44"/>
    <n v="5"/>
    <n v="39"/>
    <s v="20KG BAGS"/>
    <s v="Import Container Damage/Short"/>
    <s v="Marine Insuranse"/>
    <x v="0"/>
    <s v="44 torn bag during descharge BL: 259338012 ,As email from Jeenu torn bag not cover under insurance.."/>
    <s v="CIS report"/>
    <n v="17.43"/>
    <n v="87.15"/>
    <n v="61834.493699999999"/>
    <n v="309172.46850000002"/>
    <n v="42710.4732"/>
    <n v="213552.36600000001"/>
    <n v="0"/>
    <n v="3547.59"/>
    <s v="Loss"/>
    <s v="N/A"/>
    <s v="Jeenue"/>
    <x v="0"/>
    <s v="Rawan"/>
    <m/>
    <s v="Reject"/>
    <x v="0"/>
    <s v="Not include under insurance covarge"/>
    <m/>
    <n v="87.15"/>
    <n v="0"/>
    <n v="87.15"/>
    <n v="1"/>
    <s v="Not include under insurance covarge"/>
    <m/>
  </r>
  <r>
    <x v="20"/>
    <m/>
    <s v="Nov"/>
    <x v="1"/>
    <n v="32"/>
    <n v="259649778"/>
    <s v="XI"/>
    <s v="PZU-Bond area"/>
    <s v="LE0001"/>
    <s v="LENTIL TAT 20KG"/>
    <m/>
    <n v="23"/>
    <n v="7"/>
    <m/>
    <n v="96"/>
    <n v="23"/>
    <n v="7"/>
    <n v="16"/>
    <s v="20KG BAGS"/>
    <s v="Import Container Damage/Short"/>
    <s v="Marine Insuranse"/>
    <x v="0"/>
    <s v="23 torn bags during descharge BL: 259649778 ,As email from Jeenu torn bag not cover under insurance."/>
    <s v="CIS report"/>
    <n v="17.43"/>
    <n v="122.00999999999999"/>
    <n v="61834.493699999999"/>
    <n v="432841.4559"/>
    <n v="42710.4732"/>
    <n v="298973.3124"/>
    <n v="0"/>
    <n v="3547.59"/>
    <s v="Loss"/>
    <s v="N/A"/>
    <s v="Jeenue"/>
    <x v="0"/>
    <s v="Rawan"/>
    <m/>
    <s v="Reject"/>
    <x v="0"/>
    <s v="Not include under insurance covarge"/>
    <m/>
    <n v="122.00999999999999"/>
    <n v="0"/>
    <n v="122.00999999999999"/>
    <n v="1"/>
    <s v="Not include under insurance covarge"/>
    <m/>
  </r>
  <r>
    <x v="21"/>
    <s v="S7"/>
    <s v="Nov"/>
    <x v="1"/>
    <n v="33"/>
    <s v="2501096EXY"/>
    <s v="XI"/>
    <s v="PZU-Bond area"/>
    <s v="LE0001"/>
    <s v="LENTIL TAT 20KG"/>
    <m/>
    <n v="84"/>
    <n v="19"/>
    <m/>
    <n v="100"/>
    <n v="84"/>
    <n v="19"/>
    <n v="65"/>
    <s v="20KG BAGS"/>
    <s v="Import Container Damage/Short"/>
    <s v="Marine Insuranse"/>
    <x v="0"/>
    <s v="84 torn bag  BL:2501096EXY, As email from Jeenu torn bag not cover under insurance."/>
    <s v="CIS report"/>
    <n v="16.52"/>
    <n v="313.88"/>
    <n v="58606.186800000003"/>
    <n v="1113517.5492"/>
    <n v="42710.4732"/>
    <n v="811498.99080000003"/>
    <n v="0"/>
    <n v="3547.59"/>
    <s v="Loss"/>
    <s v="N/A"/>
    <s v="Jeenue"/>
    <x v="0"/>
    <s v="Rawan"/>
    <m/>
    <s v="Reject"/>
    <x v="0"/>
    <s v="Not include under insurance covarge"/>
    <m/>
    <n v="313.88"/>
    <n v="0"/>
    <n v="313.88"/>
    <n v="1"/>
    <s v="Not include under insurance covarge"/>
    <m/>
  </r>
  <r>
    <x v="22"/>
    <s v="S7"/>
    <s v="Nov"/>
    <x v="1"/>
    <n v="34"/>
    <s v="CAEMER25549700"/>
    <s v="XI"/>
    <s v="PZU-Bond area"/>
    <s v="LE0001"/>
    <s v="LENTIL TAT 20KG"/>
    <m/>
    <n v="57"/>
    <n v="8"/>
    <m/>
    <n v="101"/>
    <n v="57"/>
    <n v="8"/>
    <n v="49"/>
    <s v="20KG BAGS"/>
    <s v="Import Container Damage/Short"/>
    <s v="Marine Insuranse"/>
    <x v="0"/>
    <s v="57 torn bag  BL:CAEMER25549700.As feedback from Jeenu torn bag not cover under insurance."/>
    <s v="CIS report"/>
    <n v="16.52"/>
    <n v="132.16"/>
    <n v="58606.186800000003"/>
    <n v="468849.49440000003"/>
    <n v="42711.4732"/>
    <n v="341691.7856"/>
    <n v="0"/>
    <n v="3547.59"/>
    <s v="Loss"/>
    <s v="N/A"/>
    <s v="Jeenue"/>
    <x v="0"/>
    <s v="Rawan"/>
    <m/>
    <s v="Reject"/>
    <x v="0"/>
    <s v="Not include under insurance covarge"/>
    <m/>
    <n v="132.16"/>
    <n v="0"/>
    <n v="132.16"/>
    <n v="1"/>
    <s v="Not include under insurance covarge"/>
    <m/>
  </r>
  <r>
    <x v="23"/>
    <s v="S7"/>
    <s v="Dec"/>
    <x v="1"/>
    <n v="35"/>
    <n v="257625599"/>
    <s v="XI"/>
    <s v="PZU-Bond area"/>
    <s v="LE0001"/>
    <s v="LENTIL TAT 20KG"/>
    <m/>
    <n v="35"/>
    <n v="9"/>
    <m/>
    <s v="76-Comment"/>
    <n v="35"/>
    <n v="9"/>
    <n v="26"/>
    <s v="20KG BAGS"/>
    <s v="Import Container Damage/Short"/>
    <s v="Marine Insuranse"/>
    <x v="0"/>
    <s v="35 torn bag  BL:257625599.Torn bags are not covered under insurance"/>
    <s v="CIS report"/>
    <n v="17.744"/>
    <n v="159.696"/>
    <n v="63437.993919999994"/>
    <n v="570941.94527999999"/>
    <n v="23264.08728"/>
    <n v="209376.78552"/>
    <n v="0"/>
    <n v="3575.18"/>
    <s v="Loss"/>
    <s v="N/A"/>
    <s v="Jeenue"/>
    <x v="0"/>
    <s v="Rawan"/>
    <m/>
    <s v="Reject"/>
    <x v="0"/>
    <s v="Not include under insurance covarge"/>
    <m/>
    <n v="159.696"/>
    <n v="0"/>
    <n v="159.696"/>
    <n v="1"/>
    <s v="Not include under insurance covarge"/>
    <m/>
  </r>
  <r>
    <x v="23"/>
    <m/>
    <s v="Dec"/>
    <x v="1"/>
    <n v="36"/>
    <n v="257625490"/>
    <s v="XI"/>
    <s v="PZU-Bond area"/>
    <s v="LE0001"/>
    <s v="LENTIL TAT 20KG"/>
    <m/>
    <n v="37"/>
    <n v="17"/>
    <m/>
    <s v="82&amp;99-Comment"/>
    <n v="37"/>
    <n v="13"/>
    <n v="24"/>
    <s v="20KG BAGS"/>
    <s v="Import Container Damage/Short"/>
    <s v="Marine Insuranse"/>
    <x v="0"/>
    <s v="37 torn bag  BL:257625490.Torn bags are not covered under insurance"/>
    <s v="CIS report"/>
    <n v="17.744"/>
    <n v="301.64800000000002"/>
    <n v="63437.993919999994"/>
    <n v="1078445.8966399999"/>
    <n v="23264.08728"/>
    <n v="395489.48375999997"/>
    <n v="0"/>
    <n v="3575.18"/>
    <s v="Loss"/>
    <s v="N/A"/>
    <s v="Jeenue"/>
    <x v="0"/>
    <s v="Rawan"/>
    <m/>
    <s v="Reject"/>
    <x v="0"/>
    <s v="Not include under insurance covarge"/>
    <m/>
    <n v="301.64800000000002"/>
    <n v="0"/>
    <n v="301.64800000000002"/>
    <n v="1"/>
    <s v="Not include under insurance covarge"/>
    <m/>
  </r>
  <r>
    <x v="23"/>
    <m/>
    <s v="Dec"/>
    <x v="1"/>
    <n v="37"/>
    <n v="257906213"/>
    <s v="XI"/>
    <s v="PZU-Bond area"/>
    <s v="LE0001"/>
    <s v="LENTIL TAT 20KG"/>
    <m/>
    <n v="52"/>
    <n v="6"/>
    <m/>
    <s v="80&amp;98-Comment"/>
    <n v="28"/>
    <n v="6"/>
    <n v="22"/>
    <s v="20KG BAGS"/>
    <s v="Import Container Damage/Short"/>
    <s v="Marine Insuranse"/>
    <x v="0"/>
    <s v="28 torn bag/ 24 Hight Polish bag BL:257906213.Torn bags are not covered under insurance. The high polished 24 bags, less than tolirance 0.5%."/>
    <s v="CIS report"/>
    <n v="17.744"/>
    <n v="106.464"/>
    <n v="63437.993919999994"/>
    <n v="380627.96351999999"/>
    <n v="23264.08728"/>
    <n v="139584.52367999998"/>
    <n v="0"/>
    <n v="3575.18"/>
    <s v="Loss"/>
    <s v="N/A"/>
    <s v="Jeenue"/>
    <x v="0"/>
    <s v="Rawan"/>
    <m/>
    <s v="Reject"/>
    <x v="0"/>
    <s v="Not include under insurance covarge/Less than deductable"/>
    <m/>
    <n v="106.464"/>
    <n v="0"/>
    <n v="106.464"/>
    <n v="1"/>
    <s v="Not include under insurance covarge/Less than deductable (0.5%)"/>
    <m/>
  </r>
  <r>
    <x v="24"/>
    <s v="S7"/>
    <s v="Dec"/>
    <x v="1"/>
    <n v="38"/>
    <s v="CAEMER25645400"/>
    <s v="XI"/>
    <s v="PZU-Bond area"/>
    <s v="LE0001"/>
    <s v="LENTIL TAT 20KG"/>
    <m/>
    <n v="55"/>
    <n v="8"/>
    <m/>
    <n v="102"/>
    <n v="55"/>
    <n v="8"/>
    <n v="47"/>
    <s v="20KG BAGS"/>
    <s v="Import Container Damage/Short"/>
    <s v="Marine Insuranse"/>
    <x v="0"/>
    <s v="55 torn bag  BL:CAEMER25645400.Torn bags are not covered under insurance. After repacking there is loss 8 bags"/>
    <s v="CIS report"/>
    <n v="16.2087"/>
    <n v="129.6696"/>
    <n v="57949.020065999997"/>
    <n v="463592.16052799998"/>
    <n v="42710.736519999999"/>
    <n v="341685.89215999999"/>
    <n v="0"/>
    <n v="3575.18"/>
    <s v="Loss"/>
    <s v="N/A"/>
    <s v="Jeenue"/>
    <x v="0"/>
    <s v="Rawan"/>
    <m/>
    <s v="Reject"/>
    <x v="0"/>
    <s v="Not include under insurance covarge"/>
    <m/>
    <n v="129.6696"/>
    <n v="0"/>
    <n v="129.6696"/>
    <n v="1"/>
    <s v="Not include under insurance covarge"/>
    <m/>
  </r>
  <r>
    <x v="24"/>
    <m/>
    <s v="Dec"/>
    <x v="1"/>
    <n v="39"/>
    <s v="CAEMER25645401"/>
    <s v="XI"/>
    <s v="PZU-Bond area"/>
    <s v="LE0001"/>
    <s v="LENTIL TAT 20KG"/>
    <m/>
    <n v="92"/>
    <n v="27"/>
    <m/>
    <s v="103-Comment"/>
    <n v="76"/>
    <n v="14"/>
    <n v="62"/>
    <s v="20KG BAGS"/>
    <s v="Import Container Damage/Short"/>
    <s v="Marine Insuranse"/>
    <x v="0"/>
    <s v="76 torn bag/ 16 wet bag BL:CAEMER25645401. Torn bags are not covered under insurance, for wet bag less than deductable .05%."/>
    <s v="CIS report/LOP for wet bag"/>
    <n v="16.2087"/>
    <n v="437.63490000000002"/>
    <n v="57949.020065999997"/>
    <n v="1564623.5417819999"/>
    <n v="42710.736519999999"/>
    <n v="1153189.88604"/>
    <n v="0"/>
    <n v="3575.18"/>
    <s v="Loss"/>
    <s v="N/A"/>
    <s v="Jeenue"/>
    <x v="0"/>
    <s v="Rawan"/>
    <m/>
    <s v="Reject"/>
    <x v="0"/>
    <s v="Not include under insurance covarge/Less than deductable"/>
    <m/>
    <n v="437.63490000000002"/>
    <n v="0"/>
    <n v="437.63490000000002"/>
    <n v="1"/>
    <s v="Not include under insurance covarge/Less than deductable (0.5%)"/>
    <m/>
  </r>
  <r>
    <x v="25"/>
    <s v="S7"/>
    <s v="Dec"/>
    <x v="1"/>
    <n v="40"/>
    <s v="KIN/PZU/1025/11179"/>
    <s v="XI"/>
    <s v="PZU-Bond area"/>
    <s v="RC0004"/>
    <s v="RICE LONG ELNGM 20K"/>
    <m/>
    <n v="77"/>
    <n v="23"/>
    <m/>
    <n v="105"/>
    <n v="67"/>
    <n v="13"/>
    <n v="54"/>
    <s v="20KG BAGS"/>
    <s v="Import Container Damage/Short"/>
    <s v="Marine Insuranse"/>
    <x v="0"/>
    <s v="67 torn bag/ 5 wet bag/5 Short bag BL:KIN/PZU/1025/11179. With regard to the shortage of 5 bags &amp; Wet 5 bags. Torn bags are not covered under insurance, for wet and short bag less than deductable .05%."/>
    <s v="CIS report"/>
    <n v="8.4628999999999994"/>
    <n v="194.64669999999998"/>
    <n v="30256.390821999998"/>
    <n v="695896.98890599993"/>
    <n v="23264.08728"/>
    <n v="535074.00743999996"/>
    <n v="0"/>
    <n v="3575.18"/>
    <s v="Loss"/>
    <s v="Adjusted"/>
    <s v="Jeenue"/>
    <x v="0"/>
    <s v="Rawan"/>
    <m/>
    <s v="Accept"/>
    <x v="0"/>
    <s v="Not include under insurance covarge/Less than deductable"/>
    <m/>
    <n v="194.64669999999998"/>
    <n v="0"/>
    <n v="194.64669999999998"/>
    <n v="1"/>
    <s v="Not include under insurance covarge/Less than deductable (0.5%)"/>
    <m/>
  </r>
  <r>
    <x v="26"/>
    <n v="2026"/>
    <s v="Jan"/>
    <x v="2"/>
    <n v="41"/>
    <s v="CAEMER25645301"/>
    <s v="XI"/>
    <s v="PZU-Bond area"/>
    <s v="LE0001"/>
    <s v="LENTIL TAT 20KG"/>
    <m/>
    <n v="5"/>
    <n v="4"/>
    <m/>
    <n v="109"/>
    <n v="3"/>
    <n v="2"/>
    <n v="1"/>
    <s v="20KG BAGS"/>
    <s v="Import Container Damage/Short"/>
    <s v="Marine Insuranse"/>
    <x v="0"/>
    <s v="3 torn bag/ 2 wet bag BL:CAEMER25645301.Torn bags are not covered under insurance. Only for 2 wet bags insurance claim can’t be requested"/>
    <s v="CIS report"/>
    <n v="16.2087"/>
    <n v="64.834800000000001"/>
    <n v="58351.32"/>
    <n v="233405.28"/>
    <n v="62040.82"/>
    <n v="248163.28"/>
    <n v="0"/>
    <n v="3600"/>
    <s v="Loss"/>
    <s v="N/A"/>
    <s v="Jeenue"/>
    <x v="0"/>
    <s v="Rawan"/>
    <m/>
    <s v="Reject"/>
    <x v="0"/>
    <s v="Not include under insurance covarge/Less than deductable"/>
    <m/>
    <n v="64.834800000000001"/>
    <n v="0"/>
    <n v="64.834800000000001"/>
    <n v="1"/>
    <s v="Not include under insurance covarge/Less than deductable (0.5%)"/>
    <m/>
  </r>
  <r>
    <x v="26"/>
    <m/>
    <s v="Jan"/>
    <x v="2"/>
    <n v="42"/>
    <s v="CAEMER25645300"/>
    <s v="XI"/>
    <s v="PZU-Bond area"/>
    <s v="LE0001"/>
    <s v="LENTIL TAT 20KG"/>
    <m/>
    <n v="70"/>
    <n v="55"/>
    <m/>
    <n v="108"/>
    <n v="24"/>
    <n v="9"/>
    <n v="15"/>
    <s v="20KG BAGS"/>
    <s v="Import Container Damage/Short"/>
    <s v="Marine Insuranse"/>
    <x v="0"/>
    <s v="24 torn bag/ 46 wet bag BL:CAEMER25645300. Torn bags are not covered under insurance,for wet bags is less than deductable 0.5%.."/>
    <s v="CIS report/LOP for wet bag"/>
    <n v="16.2087"/>
    <n v="891.47850000000005"/>
    <n v="58351.32"/>
    <n v="3209322.6"/>
    <n v="62040.82"/>
    <n v="3412245.1"/>
    <n v="0"/>
    <n v="3600"/>
    <s v="Loss"/>
    <s v="N/A"/>
    <s v="Jeenue"/>
    <x v="0"/>
    <s v="Rawan"/>
    <m/>
    <s v="Reject"/>
    <x v="0"/>
    <s v="Not include under insurance covarge/Less than deductable"/>
    <m/>
    <n v="891.47850000000005"/>
    <n v="0"/>
    <n v="891.47850000000005"/>
    <n v="1"/>
    <s v="Not include under insurance covarge/Less than deductable (0.5%)"/>
    <m/>
  </r>
  <r>
    <x v="27"/>
    <s v="S7"/>
    <s v="May"/>
    <x v="1"/>
    <n v="43"/>
    <s v="1,2,3,4, 5 ,6 ,7"/>
    <s v="XI"/>
    <s v="PZU-Bond area"/>
    <s v="IF0001"/>
    <s v="WHEAT FLOUR IMPORT ELNGM 25KG"/>
    <m/>
    <n v="415"/>
    <n v="415"/>
    <m/>
    <s v="Vessel"/>
    <n v="0"/>
    <n v="0"/>
    <n v="0"/>
    <s v="25KG BAGS"/>
    <s v="Vessel Damage/Short"/>
    <s v="Marine Insuranse"/>
    <x v="0"/>
    <s v="(364 bags) shortage &amp; (51 bags)reject by SSMO of Elnagm flour at MV Cecellia, claim that has been issued against MV/Master and-or MV/ Owner and will not compensate by MV/Master and-or MV/ Owne."/>
    <s v="CIS report/Claim"/>
    <n v="9.31"/>
    <n v="3863.65"/>
    <n v="24457.370000000003"/>
    <n v="10149808.550000001"/>
    <n v="31301.811430000002"/>
    <n v="12990251.743450001"/>
    <n v="0"/>
    <n v="2627"/>
    <s v="Pending"/>
    <s v="Adjusted"/>
    <s v="Ajay/Limitz"/>
    <x v="0"/>
    <s v="Rawan"/>
    <m/>
    <s v="Pending"/>
    <x v="1"/>
    <s v="Case submitted/ Waiting Insurance feedback"/>
    <m/>
    <n v="3863.65"/>
    <n v="0"/>
    <n v="3863.65"/>
    <n v="1"/>
    <s v="Waiting Feedback"/>
    <m/>
  </r>
  <r>
    <x v="27"/>
    <s v="S7"/>
    <s v="May"/>
    <x v="1"/>
    <n v="44"/>
    <s v="1,2,3 4 ,5"/>
    <s v="XI"/>
    <s v="PZU-Bond area"/>
    <s v="WS0005"/>
    <s v="KSA WHAITE SUGAR 50 KG FG"/>
    <m/>
    <n v="88"/>
    <n v="88"/>
    <m/>
    <s v="Vessel"/>
    <n v="0"/>
    <n v="0"/>
    <n v="0"/>
    <s v="50KG BAGS"/>
    <s v="Vessel Damage/Short"/>
    <s v="Marine Insuranse"/>
    <x v="0"/>
    <s v="(88 bags) shortage of KSA white sugar at MV IMA Glory, claim that has been issued against MV/Master and-or MV/ Owner and will not compensate by MV/Master and-or MV/ Owne."/>
    <s v="CIS report/Claim"/>
    <n v="29.6"/>
    <n v="2604.8000000000002"/>
    <n v="77759.199999999997"/>
    <n v="6842809.5999999996"/>
    <n v="96566.186310000005"/>
    <n v="8497824.3952799998"/>
    <n v="0"/>
    <n v="2627"/>
    <s v="Pending"/>
    <s v="Adjusted"/>
    <s v="Ajay/Limitz"/>
    <x v="0"/>
    <s v="Rawan"/>
    <m/>
    <s v="Pending"/>
    <x v="1"/>
    <s v="Case submitted/ Waiting Insurance feedback"/>
    <m/>
    <n v="2604.8000000000002"/>
    <n v="0"/>
    <n v="2604.8000000000002"/>
    <n v="1"/>
    <s v="Waiting Feedback"/>
    <m/>
  </r>
  <r>
    <x v="28"/>
    <s v="S7"/>
    <s v="May"/>
    <x v="1"/>
    <n v="45"/>
    <s v="1,2,3,4,5,6"/>
    <s v="XI"/>
    <s v="PZU-Bond area"/>
    <s v="IF0001"/>
    <s v="WHEAT FLOUR IMPORT ELNGM 25KG"/>
    <m/>
    <n v="95"/>
    <n v="95"/>
    <m/>
    <s v="Vessel"/>
    <n v="0"/>
    <n v="0"/>
    <n v="0"/>
    <s v="25KG BAGS"/>
    <s v="Vessel Damage/Short"/>
    <s v="Marine Insuranse"/>
    <x v="0"/>
    <s v="(58 bags) shortage and (37) Reject by SSMO of Elnagm flour at MV Cecellia, claim that has been issued against MV/Master and-or MV/ Owner compensate the reject quantity and will not compensate short quantity. As feed back from Dubai team(Ajay) as email on 26-Feb-2026 amount settelt at Sayga."/>
    <s v="CIS report/Claim"/>
    <n v="9.6"/>
    <n v="912"/>
    <n v="25219.200000000001"/>
    <n v="2395824"/>
    <n v="31301.811430000002"/>
    <n v="2973672.0858500004"/>
    <n v="388.8"/>
    <n v="2627"/>
    <s v="Compensated"/>
    <s v="Adjusted"/>
    <s v="Ajay/Limitz"/>
    <x v="0"/>
    <s v="Rawan"/>
    <m/>
    <s v="Accept"/>
    <x v="0"/>
    <s v="Shiping line compensation"/>
    <m/>
    <n v="912"/>
    <n v="388.8"/>
    <n v="523.20000000000005"/>
    <n v="0.5736842105263158"/>
    <s v="Amount Settelet at Sayga for reject QTY."/>
    <m/>
  </r>
  <r>
    <x v="29"/>
    <n v="2026"/>
    <s v="Jan"/>
    <x v="2"/>
    <n v="46"/>
    <s v="CAEMER25688002"/>
    <s v="XI"/>
    <s v="PZU-Bond area"/>
    <s v="LE0001"/>
    <s v="LENTIL TAT 20KG"/>
    <m/>
    <n v="45"/>
    <n v="15"/>
    <m/>
    <n v="114"/>
    <n v="45"/>
    <n v="15"/>
    <n v="30"/>
    <s v="20KG BAGS"/>
    <s v="Import Container Damage/Short"/>
    <s v="Marine Insuranse"/>
    <x v="0"/>
    <s v="45 torn bag  BL:CAEMER25688002, there is ecxess 39 bags. Torn bags are not covered under insurance"/>
    <s v="CIS report"/>
    <n v="15.79"/>
    <n v="236.85"/>
    <n v="56844"/>
    <n v="852660"/>
    <n v="62040.82"/>
    <n v="930612.3"/>
    <n v="0"/>
    <n v="3600"/>
    <s v="Loss"/>
    <s v="N/A"/>
    <s v="Jeenue"/>
    <x v="0"/>
    <s v="Rawan"/>
    <m/>
    <s v="Reject"/>
    <x v="0"/>
    <s v="Not include under insurance covarge"/>
    <m/>
    <n v="236.85"/>
    <n v="0"/>
    <n v="236.85"/>
    <n v="1"/>
    <s v="Not include under insurance covarge"/>
    <m/>
  </r>
  <r>
    <x v="29"/>
    <m/>
    <s v="Jan"/>
    <x v="2"/>
    <n v="47"/>
    <s v="CAEMER25688000"/>
    <s v="XI"/>
    <s v="PZU-Bond area"/>
    <s v="LE0001"/>
    <s v="LENTIL TAT 20KG"/>
    <m/>
    <n v="42"/>
    <n v="8"/>
    <m/>
    <s v="113-Comment"/>
    <n v="42"/>
    <n v="8"/>
    <n v="34"/>
    <s v="20KG BAGS"/>
    <s v="Import Container Damage/Short"/>
    <s v="Marine Insuranse"/>
    <x v="0"/>
    <s v="42 torn bag  BL:CAEMER25688000, there is excess 80 bags. Torn bags are not covered under insurance"/>
    <s v="CIS report"/>
    <n v="15.66"/>
    <n v="125.28"/>
    <n v="56376"/>
    <n v="451008"/>
    <n v="62040.82"/>
    <n v="496326.56"/>
    <n v="0"/>
    <n v="3600"/>
    <s v="Loss"/>
    <s v="N/A"/>
    <s v="Jeenue"/>
    <x v="0"/>
    <s v="Rawan"/>
    <m/>
    <s v="Reject"/>
    <x v="0"/>
    <s v="Not include under insurance covarge"/>
    <m/>
    <n v="125.28"/>
    <n v="0"/>
    <n v="125.28"/>
    <n v="1"/>
    <s v="Not include under insurance covarge"/>
    <m/>
  </r>
  <r>
    <x v="29"/>
    <m/>
    <s v="Jan"/>
    <x v="2"/>
    <n v="48"/>
    <s v="CAEMER25688001"/>
    <s v="XI"/>
    <s v="PZU-Bond area"/>
    <s v="LE0001"/>
    <s v="LENTIL TAT 20KG"/>
    <m/>
    <n v="23"/>
    <n v="5"/>
    <m/>
    <s v="112-Comment"/>
    <n v="23"/>
    <n v="5"/>
    <n v="18"/>
    <s v="20KG BAGS"/>
    <s v="Import Container Damage/Short"/>
    <s v="Marine Insuranse"/>
    <x v="0"/>
    <s v="23 torn bag  BL:CAEMER25688001, there is excess 61 bags. Torn bags are not covered under insurance"/>
    <s v="CIS report"/>
    <n v="15.79"/>
    <n v="78.949999999999989"/>
    <n v="56844"/>
    <n v="284220"/>
    <n v="62040.82"/>
    <n v="310204.09999999998"/>
    <n v="0"/>
    <n v="3600"/>
    <s v="Loss"/>
    <s v="N/A"/>
    <s v="Jeenue"/>
    <x v="0"/>
    <s v="Rawan"/>
    <m/>
    <s v="Reject"/>
    <x v="0"/>
    <s v="Not include under insurance covarge"/>
    <m/>
    <n v="78.949999999999989"/>
    <n v="0"/>
    <n v="78.949999999999989"/>
    <n v="1"/>
    <s v="Not include under insurance covarge"/>
    <m/>
  </r>
  <r>
    <x v="30"/>
    <m/>
    <s v="Feb"/>
    <x v="2"/>
    <n v="49"/>
    <s v="CAEMER25688601"/>
    <s v="TX01"/>
    <s v="PZU-Alnasseg WH"/>
    <n v="4000000058"/>
    <s v="LENTIL TAT 20KG"/>
    <m/>
    <n v="36"/>
    <n v="18"/>
    <m/>
    <n v="116"/>
    <n v="23"/>
    <n v="5"/>
    <n v="18"/>
    <s v="20KG BAGS"/>
    <s v="Import Container Damage/Short"/>
    <s v="Marine Insuranse"/>
    <x v="0"/>
    <s v="13 wet bags 23 torn bag  BL:CAEMER25688601, there is ecxess 1 bags, torn bags are not covered under insurance, for wet bags is less than deductable 0.5%."/>
    <s v="CIS report"/>
    <n v="15.79"/>
    <n v="284.21999999999997"/>
    <n v="55265"/>
    <n v="994770"/>
    <n v="59621.440000000002"/>
    <n v="1073185.92"/>
    <n v="0"/>
    <n v="3500"/>
    <s v="Loss"/>
    <s v="Adjusted"/>
    <s v="Jeenue"/>
    <x v="0"/>
    <s v="Rawan"/>
    <m/>
    <s v="Accept"/>
    <x v="0"/>
    <s v="Less than deductible"/>
    <m/>
    <n v="284.21999999999997"/>
    <n v="0"/>
    <n v="284.21999999999997"/>
    <n v="1"/>
    <s v="Less than deductable (0.5%)"/>
    <m/>
  </r>
  <r>
    <x v="30"/>
    <m/>
    <s v="Feb"/>
    <x v="2"/>
    <n v="50"/>
    <s v="CAEMER25688602"/>
    <s v="TX01"/>
    <s v="PZU-Alnasseg WH"/>
    <n v="4000000058"/>
    <s v="LENTIL TAT 20KG"/>
    <m/>
    <n v="29"/>
    <n v="10"/>
    <m/>
    <n v="117"/>
    <n v="28"/>
    <n v="9"/>
    <n v="28"/>
    <s v="20KG BAGS"/>
    <s v="Import Container Damage/Short"/>
    <s v="Marine Insuranse"/>
    <x v="0"/>
    <s v="1 wet bags 28 torn bag  BL:CAEMER25688602, there is ecxess 40 bags, torn bags are not covered under insurance, for wet bags is less than deductable 0.5%."/>
    <s v="CIS report"/>
    <n v="15.79"/>
    <n v="157.89999999999998"/>
    <n v="55265"/>
    <n v="552650"/>
    <n v="59621.440000000002"/>
    <n v="596214.4"/>
    <n v="0"/>
    <n v="3500"/>
    <s v="Loss"/>
    <s v="Adjusted"/>
    <s v="Jeenue"/>
    <x v="0"/>
    <s v="Rawan"/>
    <m/>
    <s v="Accept"/>
    <x v="0"/>
    <s v="Less than deductible"/>
    <m/>
    <n v="157.89999999999998"/>
    <n v="0"/>
    <n v="157.89999999999998"/>
    <n v="1"/>
    <s v="Less than deductable (0.5%)"/>
    <m/>
  </r>
  <r>
    <x v="30"/>
    <m/>
    <s v="Feb"/>
    <x v="2"/>
    <n v="51"/>
    <s v="CAEMER25688603"/>
    <s v="TX01"/>
    <s v="PZU-Alnasseg WH"/>
    <n v="4000000058"/>
    <s v="LENTIL TAT 20KG"/>
    <m/>
    <n v="45"/>
    <n v="13"/>
    <m/>
    <n v="118"/>
    <n v="44"/>
    <n v="12"/>
    <n v="32"/>
    <s v="20KG BAGS"/>
    <s v="Import Container Damage/Short"/>
    <s v="Marine Insuranse"/>
    <x v="0"/>
    <s v="1 wet bags 44 torn bag  BL:CAEMER25688603, there is ecxess 36 bags, torn bags are not covered under insurance, for wet bags is less than deductable 0.5%."/>
    <s v="CIS report"/>
    <n v="15.79"/>
    <n v="205.26999999999998"/>
    <n v="55265"/>
    <n v="718445"/>
    <n v="59621.440000000002"/>
    <n v="775078.72"/>
    <n v="0"/>
    <n v="3500"/>
    <s v="Loss"/>
    <s v="Adjusted"/>
    <s v="Jeenue"/>
    <x v="0"/>
    <s v="Rawan"/>
    <m/>
    <s v="Accept"/>
    <x v="0"/>
    <s v="Less than deductible"/>
    <m/>
    <n v="205.26999999999998"/>
    <n v="0"/>
    <n v="205.26999999999998"/>
    <n v="1"/>
    <s v="Less than deductable (0.5%)"/>
    <m/>
  </r>
  <r>
    <x v="31"/>
    <s v="S7"/>
    <s v="Mar"/>
    <x v="2"/>
    <n v="52"/>
    <s v="CAEMER25688600"/>
    <s v="TX01"/>
    <s v="PZU-Alnasseg WH"/>
    <n v="4000000058"/>
    <s v="LENTIL TAT 20KG"/>
    <m/>
    <n v="37"/>
    <n v="20"/>
    <m/>
    <n v="115"/>
    <n v="26"/>
    <n v="9"/>
    <n v="17"/>
    <s v="20KG BAGS"/>
    <s v="Import Container Damage/Short"/>
    <s v="Marine Insuranse"/>
    <x v="0"/>
    <s v="26 torn bag/11 wet bag  BL:CAEMER25688600, there is ecxess 42bags"/>
    <s v="CIS report"/>
    <n v="15.79"/>
    <n v="315.79999999999995"/>
    <n v="55422.899999999994"/>
    <n v="1108458"/>
    <n v="59621.440000000002"/>
    <n v="1192428.8"/>
    <n v="0"/>
    <n v="3510"/>
    <s v="Pending"/>
    <s v="Adjusted"/>
    <s v="Jeenue"/>
    <x v="0"/>
    <s v="Rawan"/>
    <m/>
    <s v="Pending"/>
    <x v="1"/>
    <s v="Case submitted/ Waiting Insurance feedback"/>
    <m/>
    <n v="315.79999999999995"/>
    <n v="0"/>
    <n v="315.79999999999995"/>
    <n v="1"/>
    <s v="Waiting Feedback"/>
    <m/>
  </r>
  <r>
    <x v="31"/>
    <n v="2026"/>
    <s v="Mar"/>
    <x v="2"/>
    <n v="53"/>
    <s v="RJIZNSAPZU25004"/>
    <s v="BN01"/>
    <s v="PZU-Bond Area WH"/>
    <n v="4000000088"/>
    <s v="RICE LONG ELNGM 20K"/>
    <m/>
    <n v="71"/>
    <n v="28"/>
    <m/>
    <s v="121-Comment"/>
    <n v="56"/>
    <n v="13"/>
    <n v="43"/>
    <s v="20KG BAGS"/>
    <s v="Import Container Damage/Short"/>
    <s v="Marine Insuranse"/>
    <x v="0"/>
    <s v="56 torn bag/ 15 wet bag BL:RJIZNSAPZU25004.Torn bags are not covered under insurance, for wet bag less than deductable .05%."/>
    <s v="CIS report/LOP for wet bag"/>
    <n v="7.7991549295774645"/>
    <n v="218.37633802816902"/>
    <n v="27375.033802816899"/>
    <n v="766500.94647887314"/>
    <n v="28977.5"/>
    <n v="811370"/>
    <n v="0"/>
    <n v="3510"/>
    <s v="Loss"/>
    <s v="Adjusted"/>
    <s v="Jeenue"/>
    <x v="0"/>
    <s v="Rawan"/>
    <m/>
    <s v="Accept"/>
    <x v="0"/>
    <s v="Not include under insurance covarge/Less than deductable"/>
    <m/>
    <n v="218.37633802816902"/>
    <n v="0"/>
    <n v="218.37633802816902"/>
    <n v="1"/>
    <s v="Not include under insurance covarge/Less than deductable (0.5%)"/>
    <m/>
  </r>
  <r>
    <x v="31"/>
    <m/>
    <s v="Mar"/>
    <x v="2"/>
    <n v="54"/>
    <s v="RJIZNSAPZU25005."/>
    <s v="BN01"/>
    <s v="PZU-Bond Area WH"/>
    <n v="4000000088"/>
    <s v="RICE LONG ELNGM 20K"/>
    <m/>
    <n v="221"/>
    <n v="143"/>
    <m/>
    <n v="122"/>
    <n v="97"/>
    <n v="19"/>
    <n v="78"/>
    <s v="20KG BAGS"/>
    <s v="Import Container Damage/Short"/>
    <s v="Marine Insuranse"/>
    <x v="0"/>
    <s v="97 torn bag/ 117 short bags/7 wet bag BL:RJIZNSAPZU25005.Torn bag not cover under insurance, forshort &amp; wet bags less than deductable .05%."/>
    <s v="CIS report/LOP for wet and short bags"/>
    <n v="7.7991549295774645"/>
    <n v="1115.2791549295773"/>
    <n v="27375.033802816899"/>
    <n v="3914629.8338028165"/>
    <n v="28977.5"/>
    <n v="4143782.5"/>
    <n v="0"/>
    <n v="3510"/>
    <s v="Loss"/>
    <s v="Adjusted"/>
    <s v="Jeenue"/>
    <x v="0"/>
    <s v="Rawan"/>
    <m/>
    <s v="Accept"/>
    <x v="0"/>
    <s v="Not include under insurance covarge/Less than deductable"/>
    <m/>
    <n v="1115.2791549295773"/>
    <n v="0"/>
    <n v="1115.2791549295773"/>
    <n v="1"/>
    <s v="Not include under insurance covarge/Less than deductable (0.5%)"/>
    <m/>
  </r>
  <r>
    <x v="32"/>
    <m/>
    <s v="Apr"/>
    <x v="2"/>
    <n v="55"/>
    <s v="FOLKINBOM006857"/>
    <s v="BN01"/>
    <s v="PZU-Bond Area WH"/>
    <n v="4000000088"/>
    <s v="RICE LONG ELNGM 20K"/>
    <m/>
    <n v="98"/>
    <n v="31"/>
    <m/>
    <n v="124"/>
    <n v="85"/>
    <n v="18"/>
    <n v="67"/>
    <s v="20KG BAGS"/>
    <s v="Import Container Damage/Short"/>
    <s v="Marine Insuranse"/>
    <x v="0"/>
    <s v="85 torn bag/13 short bag BL:FOLKINBOM006857.Torn bags are not covered under insurance, for wet bag less than deductable .05%."/>
    <s v="CIS report/LOP for wet bag"/>
    <n v="7.7991549295774645"/>
    <n v="241.77380281690139"/>
    <n v="27570.012676056336"/>
    <n v="854670.3929577464"/>
    <n v="34287.78"/>
    <n v="1062921.18"/>
    <n v="0"/>
    <n v="3535"/>
    <s v="Loss"/>
    <s v="Adjusted"/>
    <s v="Jeenue"/>
    <x v="0"/>
    <s v="Rawan"/>
    <m/>
    <s v="Accept"/>
    <x v="0"/>
    <s v="Not include under insurance covarge/Less than deductable"/>
    <m/>
    <n v="241.77380281690139"/>
    <n v="0"/>
    <n v="241.77380281690139"/>
    <n v="1"/>
    <s v="Not include under insurance covarge/Less than deductable (0.5%)"/>
    <m/>
  </r>
  <r>
    <x v="33"/>
    <m/>
    <s v="Apr"/>
    <x v="2"/>
    <n v="56"/>
    <s v="CAEMER25848900"/>
    <s v="BN01"/>
    <s v="PZU-Bond Area WH"/>
    <n v="4000000058"/>
    <s v="LENTIL TAT 20KG"/>
    <m/>
    <n v="179"/>
    <n v="153"/>
    <m/>
    <n v="132"/>
    <n v="39"/>
    <n v="13"/>
    <n v="26"/>
    <s v="20KG BAGS"/>
    <s v="Import Container Damage/Short"/>
    <s v="Marine Insuranse"/>
    <x v="0"/>
    <s v="39 torn bag/45 short bag/ 95 wet bag BL:CAEMER25848900.the 95 wet bags sold the unit price is 20,000 SDG, total value 1,900,000 SDG."/>
    <s v="CIS report/LOP for wet bag/ short bag"/>
    <n v="18.093071895424835"/>
    <n v="2768.24"/>
    <n v="63959.00915032679"/>
    <n v="9785728.3999999985"/>
    <n v="63416"/>
    <n v="9702648"/>
    <n v="537.48231966053743"/>
    <n v="3535"/>
    <s v="Pending"/>
    <s v="Adjusted"/>
    <s v="Jeenue"/>
    <x v="0"/>
    <s v="Rawan"/>
    <m/>
    <s v="Accept"/>
    <x v="1"/>
    <s v="Local sale compensation"/>
    <m/>
    <n v="2313.0673218597876"/>
    <n v="0"/>
    <n v="2313.0673218597876"/>
    <n v="1"/>
    <s v="Waiting Feedback/ Local sale compensation."/>
    <m/>
  </r>
  <r>
    <x v="33"/>
    <m/>
    <s v="Apr"/>
    <x v="2"/>
    <n v="57"/>
    <s v="CAEMER25848901"/>
    <s v="TX01"/>
    <s v="PZU-Alnasseg WH"/>
    <n v="4000000058"/>
    <s v="LENTIL TAT 20KG"/>
    <m/>
    <n v="37"/>
    <n v="18"/>
    <m/>
    <n v="129"/>
    <n v="36"/>
    <n v="17"/>
    <n v="19"/>
    <s v="20KG BAGS"/>
    <s v="Import Container Damage/Short"/>
    <s v="Marine Insuranse"/>
    <x v="0"/>
    <s v="36 torn bag/1 wet bag BL:CAEMER25848901.Torn bags are not covered under insurance for wet bag less than deductable .05%"/>
    <s v="CIS report"/>
    <n v="15.465027932960894"/>
    <n v="278.37050279329605"/>
    <n v="54668.87374301676"/>
    <n v="984039.72737430164"/>
    <n v="63416"/>
    <n v="1141488"/>
    <n v="0"/>
    <n v="3535"/>
    <s v="Loss"/>
    <s v="N/A"/>
    <s v="Jeenue"/>
    <x v="0"/>
    <s v="Rawan"/>
    <m/>
    <s v="Accept"/>
    <x v="0"/>
    <s v="Not include under insurance covarge/Less than deductable"/>
    <m/>
    <n v="278.37050279329605"/>
    <n v="0"/>
    <n v="278.37050279329605"/>
    <n v="1"/>
    <s v="Not include under insurance covarge/Less than deductable (0.5%)"/>
    <m/>
  </r>
  <r>
    <x v="33"/>
    <m/>
    <s v="Apr"/>
    <x v="2"/>
    <n v="58"/>
    <s v="CAEMER25848902"/>
    <s v="BN01"/>
    <s v="PZU-Bond Area WH"/>
    <n v="4000000058"/>
    <s v="LENTIL TAT 20KG"/>
    <m/>
    <n v="72"/>
    <n v="56"/>
    <m/>
    <n v="135"/>
    <n v="22"/>
    <n v="6"/>
    <n v="16"/>
    <s v="20KG BAGS"/>
    <s v="Import Container Damage/Short"/>
    <s v="Marine Insuranse"/>
    <x v="0"/>
    <s v="22 torn bag/43 short bag/ 7 wet bag BL:CAEMER25848902. torn bags are not covered under insurance, for wet &amp; short bags is less than deductable 0.5%."/>
    <s v="CIS report/LOP for wet bag/ short bag"/>
    <n v="15.465027932960894"/>
    <n v="866.04156424581004"/>
    <n v="54668.87374301676"/>
    <n v="3061456.9296089387"/>
    <n v="63416"/>
    <n v="3551296"/>
    <n v="0"/>
    <n v="3535"/>
    <s v="Loss"/>
    <s v="Adjusted"/>
    <s v="Jeenue"/>
    <x v="0"/>
    <s v="Rawan"/>
    <m/>
    <s v="Accept"/>
    <x v="0"/>
    <s v="Not include under insurance covarge/Less than deductable"/>
    <m/>
    <n v="866.04156424581004"/>
    <n v="0"/>
    <n v="866.04156424581004"/>
    <n v="1"/>
    <s v="Not include under insurance covarge/Less than deductable (0.5%)"/>
    <m/>
  </r>
  <r>
    <x v="34"/>
    <m/>
    <s v="Apr"/>
    <x v="2"/>
    <n v="59"/>
    <s v="CAEMER25848800"/>
    <s v="BN01"/>
    <s v="PZU-Bond Area WH"/>
    <n v="4000000058"/>
    <s v="LENTIL TAT 20KG"/>
    <m/>
    <n v="206"/>
    <n v="16"/>
    <m/>
    <n v="126"/>
    <n v="49"/>
    <n v="13"/>
    <n v="36"/>
    <s v="20KG BAGS"/>
    <s v="Import Container Damage/Short"/>
    <s v="Marine Insuranse"/>
    <x v="0"/>
    <s v="49 torn bag/ 157 wet bag BL:CAEMER25848800, there is 20 bags excess. torn bags are not covered under insurance.With regards to the wet bags, damage comes within the internationally accepted tolerance limit of .5% , which is a prerequisite for  the insurance company to consider / accept the claim."/>
    <s v="CIS report/LOP for wet bag"/>
    <n v="15.465"/>
    <n v="247.44"/>
    <n v="54668.775000000001"/>
    <n v="874700.4"/>
    <n v="63416"/>
    <n v="1014656"/>
    <n v="0"/>
    <n v="3535"/>
    <s v="Loss"/>
    <s v="N/A"/>
    <s v="Liminz"/>
    <x v="0"/>
    <s v="Rawan"/>
    <m/>
    <s v="Accept"/>
    <x v="0"/>
    <s v="Not include under insurance covarge/Less than deductable"/>
    <m/>
    <n v="3185.79"/>
    <n v="0"/>
    <n v="3185.79"/>
    <n v="1"/>
    <s v="Not include under insurance covarge/Less than deductable (0.5%)"/>
    <m/>
  </r>
  <r>
    <x v="34"/>
    <m/>
    <s v="Apr"/>
    <x v="2"/>
    <n v="60"/>
    <s v="CAEMER25848801"/>
    <s v="BN01"/>
    <s v="PZU-Bond Area WH"/>
    <n v="4000000058"/>
    <s v="LENTIL TAT 20KG"/>
    <m/>
    <n v="66"/>
    <n v="17"/>
    <m/>
    <n v="127"/>
    <n v="66"/>
    <n v="17"/>
    <n v="49"/>
    <s v="20KG BAGS"/>
    <s v="Import Container Damage/Short"/>
    <s v="Marine Insuranse"/>
    <x v="0"/>
    <s v="66 torn bag BL:CAEMER25848801, there is excess 36 bags. Torn bags are not covered under insurance."/>
    <s v="CIS report"/>
    <n v="15.465"/>
    <n v="262.90499999999997"/>
    <n v="54668.775000000001"/>
    <n v="929369.17500000005"/>
    <n v="63416"/>
    <n v="1078072"/>
    <n v="0"/>
    <n v="3535"/>
    <s v="Loss"/>
    <s v="N/A"/>
    <s v="Liminz"/>
    <x v="0"/>
    <s v="Rawan"/>
    <m/>
    <s v="Accept"/>
    <x v="0"/>
    <s v="Not include under insurance covarge"/>
    <m/>
    <n v="1020.6899999999999"/>
    <n v="0"/>
    <n v="1020.6899999999999"/>
    <n v="1"/>
    <s v="Not include under insurance covarge"/>
    <m/>
  </r>
  <r>
    <x v="34"/>
    <m/>
    <s v="Apr"/>
    <x v="2"/>
    <n v="61"/>
    <s v="NSM/SE/175,"/>
    <s v="BN01"/>
    <s v="PZU-Bond Area WH"/>
    <n v="4000000088"/>
    <s v="RICE LONG ELNGM 20K"/>
    <m/>
    <n v="149"/>
    <n v="116"/>
    <m/>
    <n v="130"/>
    <n v="48"/>
    <n v="0"/>
    <n v="48"/>
    <s v="20KG BAGS"/>
    <s v="Import Container Damage/Short"/>
    <s v="Marine Insuranse"/>
    <x v="0"/>
    <s v="48 torn bag/ 101 short bag BL:NSM/SE/175, torn bags are not covered under insurance. Short bag less than deductable 0.5%"/>
    <s v="CIS report/LOP for short bag"/>
    <n v="7.9624832214765107"/>
    <n v="923.64805369127521"/>
    <n v="28147.378187919465"/>
    <n v="3265095.869798658"/>
    <n v="34287.78"/>
    <n v="3977382.48"/>
    <n v="0"/>
    <n v="3535"/>
    <s v="Loss"/>
    <s v="Pending"/>
    <s v="Jeenue"/>
    <x v="0"/>
    <s v="Rawan"/>
    <m/>
    <s v="Accept"/>
    <x v="0"/>
    <s v="Not include under insurance covarge/Less than deductable"/>
    <m/>
    <n v="1186.4100000000001"/>
    <n v="0"/>
    <n v="1186.4100000000001"/>
    <n v="1"/>
    <s v="Not include under insurance covarge/Less than deductable (0.5%)"/>
    <m/>
  </r>
  <r>
    <x v="35"/>
    <m/>
    <s v="May"/>
    <x v="2"/>
    <n v="62"/>
    <s v="CAEMER26120701"/>
    <s v="TX01"/>
    <s v="PZU-Alnasseg WH"/>
    <n v="4000000058"/>
    <s v="LENTIL TAT 20KG"/>
    <m/>
    <n v="122"/>
    <n v="57"/>
    <m/>
    <n v="139"/>
    <n v="77"/>
    <n v="0"/>
    <n v="77"/>
    <s v="20KG BAGS"/>
    <s v="Import Container Damage/Short"/>
    <s v="Marine Insuranse"/>
    <x v="0"/>
    <s v="77 torn bag/41 Rejected bag/ 4 wet bag BL:CAEMER26120701.Torn bags are not covered under insurance, for wet &amp; reject bag less than deductable .05%."/>
    <s v="CIS report/LOP"/>
    <n v="15.47"/>
    <n v="881.79000000000008"/>
    <n v="62808.200000000004"/>
    <n v="3580067.4000000004"/>
    <n v="69278"/>
    <n v="3948846"/>
    <n v="0"/>
    <n v="4060"/>
    <s v="Loss"/>
    <s v="N/A"/>
    <s v="Jeenue"/>
    <x v="0"/>
    <s v="Rawan"/>
    <m/>
    <s v="Accept"/>
    <x v="0"/>
    <s v="Not include under insurance covarge/Less than deductable"/>
    <m/>
    <n v="881.79000000000008"/>
    <n v="0"/>
    <n v="881.79000000000008"/>
    <n v="1"/>
    <s v="Not include under insurance covarge/Less than deductable (0.5%)"/>
    <m/>
  </r>
  <r>
    <x v="35"/>
    <m/>
    <s v="May"/>
    <x v="2"/>
    <n v="63"/>
    <s v="CAEMER26120700"/>
    <s v="TX01"/>
    <s v="PZU-Alnasseg WH"/>
    <n v="4000000058"/>
    <s v="LENTIL TAT 20KG"/>
    <m/>
    <n v="94"/>
    <n v="66"/>
    <m/>
    <s v="138-Comment"/>
    <n v="39"/>
    <n v="0"/>
    <n v="39"/>
    <s v="20KG BAGS"/>
    <s v="Import Container Damage/Short"/>
    <s v="Marine Insuranse"/>
    <x v="0"/>
    <s v="39 torn bag/35 Rejected bag/ 20 wet bag BL:CAEMER26120700.Torn bags are not covered under insurance for reject and wet bag less than deductable .05%"/>
    <s v="CIS report/LOP"/>
    <n v="15.47"/>
    <n v="1021.0200000000001"/>
    <n v="62808.200000000004"/>
    <n v="4145341.2"/>
    <n v="69278"/>
    <n v="4572348"/>
    <n v="0"/>
    <n v="4060"/>
    <s v="Pending"/>
    <s v="N/A"/>
    <s v="Jeenue"/>
    <x v="0"/>
    <s v="Rawan"/>
    <m/>
    <s v="Accept"/>
    <x v="0"/>
    <s v="Not include under insurance covarge/Less than deductable"/>
    <m/>
    <n v="1021.0200000000001"/>
    <n v="0"/>
    <n v="1021.0200000000001"/>
    <n v="1"/>
    <s v="Not include under insurance covarge/Less than deductable (0.5%)"/>
    <m/>
  </r>
  <r>
    <x v="35"/>
    <m/>
    <s v="May"/>
    <x v="2"/>
    <n v="64"/>
    <s v="CAEMER26120702"/>
    <s v="BN01"/>
    <s v="PZU-Custom WH"/>
    <n v="4000000058"/>
    <s v="LENTIL TAT 20KG"/>
    <m/>
    <n v="182"/>
    <n v="156"/>
    <m/>
    <n v="141"/>
    <n v="39"/>
    <n v="13"/>
    <n v="26"/>
    <s v="20KG BAGS"/>
    <s v="Import Container Damage/Short"/>
    <s v="Marine Insuranse"/>
    <x v="0"/>
    <s v="39 torn bag/65 Rejected bag/ 78 wet bag BL:CAEMER26120702.Torn bags are not covered under insurance for reject and wet bag less than deductable .05%"/>
    <s v="CIS report/LOP"/>
    <n v="15.25"/>
    <n v="2379"/>
    <n v="61915"/>
    <n v="9658740"/>
    <n v="69278"/>
    <n v="10807368"/>
    <n v="0"/>
    <n v="4060"/>
    <s v="Pending"/>
    <s v="N/A"/>
    <s v="Jeenue"/>
    <x v="0"/>
    <s v="Rawan"/>
    <m/>
    <s v="Accept"/>
    <x v="0"/>
    <s v="Not include under insurance covarge/Less than deductable"/>
    <m/>
    <n v="2379"/>
    <n v="0"/>
    <n v="2379"/>
    <n v="1"/>
    <s v="Not include under insurance covarge/Less than deductable (0.5%)"/>
    <m/>
  </r>
  <r>
    <x v="36"/>
    <m/>
    <s v="May"/>
    <x v="2"/>
    <n v="65"/>
    <s v="CAEMER26120704"/>
    <s v="TX01"/>
    <s v="PZU-Alnasseg WH"/>
    <n v="4000000058"/>
    <s v="LENTIL TAT 20KG"/>
    <m/>
    <n v="69"/>
    <n v="50"/>
    <m/>
    <n v="142"/>
    <n v="25"/>
    <n v="7"/>
    <n v="18"/>
    <s v="20KG BAGS"/>
    <s v="Import Container Damage/Short"/>
    <s v="Marine Insuranse"/>
    <x v="0"/>
    <s v="25 torn bag/14 Rejected bag/ 29 wet bag BL:CAEMER26120704."/>
    <s v="CIS report/LOP"/>
    <n v="15.41"/>
    <n v="770.5"/>
    <n v="62564.6"/>
    <n v="3128230"/>
    <n v="69278"/>
    <n v="3463900"/>
    <n v="0"/>
    <n v="4060"/>
    <s v="Pending"/>
    <s v="N/A"/>
    <s v="Jeenue"/>
    <x v="0"/>
    <s v="Rawan"/>
    <m/>
    <s v="Pending"/>
    <x v="1"/>
    <s v="Case submitted/ Waiting Insurance feedback"/>
    <m/>
    <n v="770.5"/>
    <n v="0"/>
    <n v="770.5"/>
    <n v="1"/>
    <s v="Waiting Feedback"/>
    <m/>
  </r>
  <r>
    <x v="37"/>
    <m/>
    <s v="Jun"/>
    <x v="2"/>
    <n v="66"/>
    <s v="SHNSAPZU25110204"/>
    <s v="BN01"/>
    <s v="PZU-Bond Area WH"/>
    <n v="4000000088"/>
    <s v="RICE LONG ELNGM 20K"/>
    <m/>
    <n v="160"/>
    <n v="15"/>
    <m/>
    <n v="123"/>
    <n v="160"/>
    <n v="15"/>
    <n v="145"/>
    <s v="20KG BAGS"/>
    <s v="Import Container Damage/Short"/>
    <s v="Marine Insuranse"/>
    <x v="0"/>
    <s v="160 torn bag BL:SHNSAPZU25110204. Torn bags are not include under insurance coverage"/>
    <s v="CIS report"/>
    <n v="7.7991825613079024"/>
    <n v="116.98773841961854"/>
    <n v="35750.906918256136"/>
    <n v="536263.6037738421"/>
    <n v="69836.240000000005"/>
    <n v="1047543.6000000001"/>
    <n v="0"/>
    <n v="4583.93"/>
    <s v="Loss"/>
    <s v="N/A"/>
    <s v="Jeenue"/>
    <x v="0"/>
    <s v="Rawan"/>
    <m/>
    <s v="Reject"/>
    <x v="0"/>
    <s v="Not include under insurance covarge"/>
    <m/>
    <n v="116.98773841961854"/>
    <n v="0"/>
    <n v="116.98773841961854"/>
    <n v="1"/>
    <s v="Not include under insurance covarge"/>
    <m/>
  </r>
  <r>
    <x v="38"/>
    <m/>
    <s v="Jun"/>
    <x v="2"/>
    <n v="67"/>
    <s v="CAEMER26224201"/>
    <s v="BN01"/>
    <s v="PZU-Bond Area WH"/>
    <n v="4000000058"/>
    <s v="LENTIL TAT 20KG"/>
    <m/>
    <n v="53"/>
    <n v="0"/>
    <m/>
    <n v="160"/>
    <n v="40"/>
    <n v="0"/>
    <n v="40"/>
    <s v="20KG BAGS"/>
    <s v="Import Container Damage/Short"/>
    <s v="Marine Insuranse"/>
    <x v="0"/>
    <s v="40 torn bag/13 wet bags BL:CAEMER26224201."/>
    <s v="CIS report"/>
    <n v="15.25356948228883"/>
    <n v="0"/>
    <n v="69921.294756948235"/>
    <n v="0"/>
    <n v="69836.240000000005"/>
    <n v="0"/>
    <n v="0"/>
    <n v="4583.93"/>
    <s v="Pending"/>
    <s v="N/A"/>
    <s v="Jeenue"/>
    <x v="0"/>
    <s v="Rawan"/>
    <m/>
    <s v="Pending"/>
    <x v="1"/>
    <s v="Case submitted/ Waiting Insurance feedback"/>
    <m/>
    <n v="0"/>
    <n v="0"/>
    <n v="0"/>
    <e v="#DIV/0!"/>
    <s v="Waiting Feedback"/>
    <m/>
  </r>
  <r>
    <x v="38"/>
    <m/>
    <s v="Jun"/>
    <x v="2"/>
    <n v="68"/>
    <s v="CAEMER26224202"/>
    <s v="BN01"/>
    <s v="PZU-Bond Area WH"/>
    <n v="4000000058"/>
    <s v="LENTIL TAT 20KG"/>
    <m/>
    <n v="29"/>
    <n v="0"/>
    <m/>
    <n v="161"/>
    <n v="29"/>
    <n v="0"/>
    <n v="29"/>
    <s v="20KG BAGS"/>
    <s v="Import Container Damage/Short"/>
    <s v="Marine Insuranse"/>
    <x v="0"/>
    <s v="29 torn bag BL:CAEMER26224202."/>
    <s v="CIS report"/>
    <n v="15.25356948228883"/>
    <n v="0"/>
    <n v="69921.294756948235"/>
    <n v="0"/>
    <n v="69836.240000000005"/>
    <n v="0"/>
    <n v="0"/>
    <n v="4583.93"/>
    <s v="Pending"/>
    <s v="N/A"/>
    <s v="Jeenue"/>
    <x v="0"/>
    <s v="Rawan"/>
    <m/>
    <s v="Pending"/>
    <x v="1"/>
    <s v="Case submitted/ Waiting Insurance feedback"/>
    <m/>
    <n v="0"/>
    <n v="0"/>
    <n v="0"/>
    <e v="#DIV/0!"/>
    <s v="Waiting Feedback"/>
    <m/>
  </r>
  <r>
    <x v="38"/>
    <m/>
    <s v="Jun"/>
    <x v="2"/>
    <n v="69"/>
    <s v="CAEMER26224203"/>
    <s v="BN01"/>
    <s v="PZU-Bond Area WH"/>
    <n v="4000000058"/>
    <s v="LENTIL TAT 20KG"/>
    <m/>
    <n v="92"/>
    <n v="2"/>
    <m/>
    <n v="162"/>
    <n v="90"/>
    <n v="0"/>
    <n v="90"/>
    <s v="20KG BAGS"/>
    <s v="Import Container Damage/Short"/>
    <s v="Marine Insuranse"/>
    <x v="0"/>
    <s v="90 torn bag/2 wet bags BL:CAEMER26224203."/>
    <s v="CIS report"/>
    <n v="15.25356948228883"/>
    <n v="30.50713896457766"/>
    <n v="69921.294756948235"/>
    <n v="139842.58951389647"/>
    <n v="69836.240000000005"/>
    <n v="139672.48000000001"/>
    <n v="0"/>
    <n v="4583.93"/>
    <s v="Pending"/>
    <s v="N/A"/>
    <s v="Jeenue"/>
    <x v="0"/>
    <s v="Rawan"/>
    <m/>
    <s v="Pending"/>
    <x v="1"/>
    <s v="Case submitted/ Waiting Insurance feedback"/>
    <m/>
    <n v="30.50713896457766"/>
    <n v="0"/>
    <n v="30.50713896457766"/>
    <n v="1"/>
    <s v="Waiting Feedback"/>
    <m/>
  </r>
  <r>
    <x v="38"/>
    <m/>
    <s v="Jun"/>
    <x v="2"/>
    <n v="70"/>
    <s v="CAEMER26224204"/>
    <s v="BN01"/>
    <s v="PZU-Bond Area WH"/>
    <n v="4000000058"/>
    <s v="LENTIL TAT 20KG"/>
    <m/>
    <n v="118"/>
    <n v="39"/>
    <m/>
    <s v="Not found"/>
    <n v="79"/>
    <n v="0"/>
    <n v="79"/>
    <s v="20KG BAGS"/>
    <s v="Import Container Damage/Short"/>
    <s v="Marine Insuranse"/>
    <x v="0"/>
    <s v="79 torn bag/39 wet bags BL:CAEMER26224204."/>
    <s v="CIS report"/>
    <n v="15.25356948228883"/>
    <n v="594.88920980926434"/>
    <n v="69921.294756948235"/>
    <n v="2726930.495520981"/>
    <n v="69836.240000000005"/>
    <n v="2723613.3600000003"/>
    <n v="0"/>
    <n v="4583.93"/>
    <s v="Pending"/>
    <s v="N/A"/>
    <s v="Jeenue"/>
    <x v="0"/>
    <s v="Rawan"/>
    <m/>
    <s v="Pending"/>
    <x v="1"/>
    <s v="Case submitted/ Waiting Insurance feedback"/>
    <m/>
    <n v="594.88920980926434"/>
    <n v="0"/>
    <n v="594.88920980926434"/>
    <n v="1"/>
    <s v="Waiting Feedback"/>
    <m/>
  </r>
  <r>
    <x v="39"/>
    <m/>
    <s v="Jul"/>
    <x v="2"/>
    <n v="71"/>
    <s v="CAEMER26294102"/>
    <s v="BN01"/>
    <s v="PZU-Bond Area WH"/>
    <n v="4000000058"/>
    <s v="LENTIL TAT 20KG"/>
    <m/>
    <n v="32"/>
    <n v="1"/>
    <m/>
    <m/>
    <m/>
    <m/>
    <n v="0"/>
    <s v="20KG BAGS"/>
    <s v="Import Container Damage/Short"/>
    <s v="Marine Insuranse"/>
    <x v="0"/>
    <s v="31 torn bag/1 wet bags BL:CAEMER26294102.Torn bags are not covered under insurance for wet bag less than deductable .05%"/>
    <s v="CIS report/LOP"/>
    <n v="15.75"/>
    <n v="15.75"/>
    <n v="88578"/>
    <n v="88578"/>
    <n v="84257.98"/>
    <n v="84257.98"/>
    <n v="0"/>
    <n v="5624"/>
    <s v="Loss"/>
    <s v="N/A"/>
    <s v="Liminz"/>
    <x v="0"/>
    <s v="Rawan"/>
    <m/>
    <s v="Accept"/>
    <x v="0"/>
    <s v="Not include under insurance covarge/Less than deductable"/>
    <m/>
    <n v="15.75"/>
    <n v="0"/>
    <n v="15.75"/>
    <n v="1"/>
    <s v="Not include under insurance covarge/Less than deductable (0.5%)"/>
    <m/>
  </r>
  <r>
    <x v="39"/>
    <m/>
    <s v="Jul"/>
    <x v="2"/>
    <n v="72"/>
    <s v="CAEMER26294103"/>
    <s v="BN01"/>
    <s v="PZU-Bond Area WH"/>
    <n v="4000000058"/>
    <s v="LENTIL TAT 20KG"/>
    <m/>
    <n v="25"/>
    <n v="0"/>
    <m/>
    <m/>
    <m/>
    <m/>
    <n v="0"/>
    <s v="20KG BAGS"/>
    <s v="Import Container Damage/Short"/>
    <s v="Marine Insuranse"/>
    <x v="0"/>
    <s v="25 torn bag BL:CAEMER26294103.Torn bags are not covered under insurance"/>
    <s v="CIS report/LOP"/>
    <n v="15.75"/>
    <n v="0"/>
    <n v="88578"/>
    <n v="0"/>
    <n v="84257.98"/>
    <n v="0"/>
    <n v="0"/>
    <n v="5624"/>
    <s v="Loss"/>
    <s v="N/A"/>
    <s v="Liminz"/>
    <x v="0"/>
    <s v="Rawan"/>
    <m/>
    <s v="Accept"/>
    <x v="0"/>
    <s v="Not include under insurance covarge"/>
    <m/>
    <n v="0"/>
    <n v="0"/>
    <n v="0"/>
    <e v="#DIV/0!"/>
    <s v="Not include under insurance covarge"/>
    <m/>
  </r>
  <r>
    <x v="40"/>
    <m/>
    <s v="Jul"/>
    <x v="2"/>
    <n v="73"/>
    <s v="VCLMERPZU5248326"/>
    <s v="TX01"/>
    <s v="PZU-Alnasseg WH"/>
    <n v="4000000058"/>
    <s v="LENTIL TAT 20KG"/>
    <m/>
    <n v="79"/>
    <n v="0"/>
    <m/>
    <m/>
    <m/>
    <m/>
    <n v="0"/>
    <s v="20KG BAGS"/>
    <s v="Import Container Damage/Short"/>
    <s v="Marine Insuranse"/>
    <x v="0"/>
    <s v="23 torn bag &amp; 56 Hight polisg BL:VCLMERPZU5248326.Twill update by final loss after repacking of torn and hight polish."/>
    <s v="CIS report/LOP"/>
    <n v="15.260108991825614"/>
    <n v="0"/>
    <n v="85822.852970027248"/>
    <n v="0"/>
    <n v="84257.98"/>
    <n v="0"/>
    <n v="0"/>
    <n v="5624"/>
    <s v="Pending"/>
    <s v="N/A"/>
    <s v="Jeenue"/>
    <x v="0"/>
    <s v="Rawan"/>
    <m/>
    <s v="Pending"/>
    <x v="1"/>
    <s v="Not include under insurance covarge/Less than deductable"/>
    <m/>
    <n v="0"/>
    <n v="0"/>
    <n v="0"/>
    <e v="#DIV/0!"/>
    <s v="Waiting Feedback"/>
    <m/>
  </r>
  <r>
    <x v="41"/>
    <m/>
    <s v="Aug"/>
    <x v="2"/>
    <n v="74"/>
    <s v="CAEMER26338900"/>
    <s v="BN01"/>
    <s v="PZU-Bond Area WH"/>
    <n v="4000000058"/>
    <s v="LENTIL TAT 20KG"/>
    <m/>
    <n v="18"/>
    <n v="0"/>
    <m/>
    <m/>
    <m/>
    <m/>
    <n v="0"/>
    <s v="20KG BAGS"/>
    <s v="Import Container Damage/Short"/>
    <s v="Marine Insuranse"/>
    <x v="0"/>
    <s v="18 torn bag BL:CAEMER26338900."/>
    <s v="CIS report/LOP"/>
    <n v="16.020871934604905"/>
    <n v="0"/>
    <n v="94587.227901907361"/>
    <n v="0"/>
    <n v="90450.49"/>
    <n v="0"/>
    <m/>
    <n v="5904"/>
    <s v="Pending"/>
    <s v="N/A"/>
    <s v="Jeenue"/>
    <x v="0"/>
    <s v="Rawan"/>
    <m/>
    <s v="Pending"/>
    <x v="1"/>
    <s v="Not include under insurance covarge/Less than deductable"/>
    <m/>
    <n v="0"/>
    <n v="0"/>
    <n v="0"/>
    <e v="#DIV/0!"/>
    <s v="Waiting Feedback"/>
    <m/>
  </r>
  <r>
    <x v="41"/>
    <m/>
    <s v="Aug"/>
    <x v="2"/>
    <n v="75"/>
    <s v="VCLMERPZU5268326"/>
    <s v="BN01"/>
    <s v="PZU-Bond Area WH"/>
    <n v="4000000058"/>
    <s v="LENTIL TAT 20KG"/>
    <m/>
    <n v="28"/>
    <n v="0"/>
    <m/>
    <m/>
    <m/>
    <m/>
    <n v="0"/>
    <s v="20KG BAGS"/>
    <s v="Import Container Damage/Short"/>
    <s v="Marine Insuranse"/>
    <x v="0"/>
    <s v="28 torn bag BL:VCLMERPZU5268326."/>
    <s v="CIS report/LOP"/>
    <n v="16.020871934604905"/>
    <n v="0"/>
    <n v="94587.227901907361"/>
    <n v="0"/>
    <n v="90450.49"/>
    <n v="0"/>
    <m/>
    <n v="5904"/>
    <s v="Pending"/>
    <s v="N/A"/>
    <s v="Jeenue"/>
    <x v="0"/>
    <s v="Rawan"/>
    <m/>
    <s v="Pending"/>
    <x v="1"/>
    <s v="Not include under insurance covarge/Less than deductable"/>
    <m/>
    <n v="0"/>
    <n v="0"/>
    <n v="0"/>
    <e v="#DIV/0!"/>
    <s v="Waiting Feedback"/>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FA6A2-519C-4659-9685-031037F21680}"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D7" firstHeaderRow="0" firstDataRow="1" firstDataCol="1"/>
  <pivotFields count="50">
    <pivotField numFmtId="167" showAll="0">
      <items count="43">
        <item x="0"/>
        <item x="1"/>
        <item x="2"/>
        <item x="3"/>
        <item x="4"/>
        <item x="5"/>
        <item x="6"/>
        <item x="7"/>
        <item x="8"/>
        <item x="9"/>
        <item x="10"/>
        <item x="27"/>
        <item x="28"/>
        <item x="11"/>
        <item x="12"/>
        <item x="13"/>
        <item x="16"/>
        <item x="14"/>
        <item x="15"/>
        <item x="17"/>
        <item x="18"/>
        <item x="19"/>
        <item x="20"/>
        <item x="21"/>
        <item x="22"/>
        <item x="23"/>
        <item x="24"/>
        <item x="25"/>
        <item x="26"/>
        <item x="29"/>
        <item x="30"/>
        <item x="31"/>
        <item x="32"/>
        <item x="33"/>
        <item x="34"/>
        <item x="35"/>
        <item x="36"/>
        <item x="37"/>
        <item x="38"/>
        <item x="39"/>
        <item x="40"/>
        <item x="41"/>
        <item t="default"/>
      </items>
    </pivotField>
    <pivotField showAll="0"/>
    <pivotField showAll="0"/>
    <pivotField axis="axisRow" numFmtId="1" showAll="0">
      <items count="9">
        <item m="1" x="3"/>
        <item m="1" x="4"/>
        <item m="1" x="5"/>
        <item m="1" x="6"/>
        <item m="1" x="7"/>
        <item x="0"/>
        <item x="1"/>
        <item x="2"/>
        <item t="default"/>
      </items>
    </pivotField>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3">
        <item m="1" x="1"/>
        <item x="0"/>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items count="3">
        <item x="0"/>
        <item m="1" x="1"/>
        <item t="default"/>
      </items>
    </pivotField>
    <pivotField showAll="0"/>
    <pivotField showAll="0"/>
    <pivotField showAll="0"/>
    <pivotField showAll="0">
      <items count="3">
        <item x="0"/>
        <item x="1"/>
        <item t="default"/>
      </items>
    </pivotField>
    <pivotField showAll="0"/>
    <pivotField showAll="0"/>
    <pivotField dataField="1" showAll="0"/>
    <pivotField dataField="1" showAll="0"/>
    <pivotField numFmtId="44" showAll="0"/>
    <pivotField showAll="0"/>
    <pivotField showAll="0"/>
    <pivotField showAll="0"/>
    <pivotField dragToRow="0" dragToCol="0" dragToPage="0" showAll="0" defaultSubtotal="0"/>
    <pivotField dataField="1" dragToRow="0" dragToCol="0" dragToPage="0" showAll="0" defaultSubtotal="0"/>
  </pivotFields>
  <rowFields count="1">
    <field x="3"/>
  </rowFields>
  <rowItems count="4">
    <i>
      <x v="5"/>
    </i>
    <i>
      <x v="6"/>
    </i>
    <i>
      <x v="7"/>
    </i>
    <i t="grand">
      <x/>
    </i>
  </rowItems>
  <colFields count="1">
    <field x="-2"/>
  </colFields>
  <colItems count="3">
    <i>
      <x/>
    </i>
    <i i="1">
      <x v="1"/>
    </i>
    <i i="2">
      <x v="2"/>
    </i>
  </colItems>
  <dataFields count="3">
    <dataField name="Sum of Compensation Value USD" fld="43" baseField="0" baseItem="0"/>
    <dataField name="Sum of Claim Value USD" fld="42" baseField="0" baseItem="0"/>
    <dataField name="Sum of % Compansation" fld="49" baseField="0" baseItem="0"/>
  </dataFields>
  <formats count="3">
    <format dxfId="156">
      <pivotArea outline="0" collapsedLevelsAreSubtotals="1" fieldPosition="0"/>
    </format>
    <format dxfId="155">
      <pivotArea collapsedLevelsAreSubtotals="1" fieldPosition="0">
        <references count="2">
          <reference field="4294967294" count="1" selected="0">
            <x v="2"/>
          </reference>
          <reference field="3" count="0"/>
        </references>
      </pivotArea>
    </format>
    <format dxfId="154">
      <pivotArea field="3"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AE0E7-AE63-4BAE-AB90-6640FF829D86}" name="PivotTable4" cacheId="1" applyNumberFormats="0" applyBorderFormats="0" applyFontFormats="0" applyPatternFormats="0" applyAlignmentFormats="0" applyWidthHeightFormats="1" dataCaption="Values" tag="1f00f809-bf83-4aee-a0ec-73949220484f" updatedVersion="8" minRefreshableVersion="5" useAutoFormatting="1" subtotalHiddenItems="1" itemPrintTitles="1" createdVersion="8" indent="0" outline="1" outlineData="1" multipleFieldFilters="0" chartFormat="7" rowHeaderCaption="Year">
  <location ref="A8:E12" firstHeaderRow="0"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name=" Count of Case Number " fld="1" subtotal="count" baseField="0" baseItem="2">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name="% Compensated" fld="4" subtotal="count" baseField="0" baseItem="0" numFmtId="9"/>
  </dataFields>
  <formats count="14">
    <format dxfId="102">
      <pivotArea outline="0" collapsedLevelsAreSubtotals="1" fieldPosition="0">
        <references count="1">
          <reference field="4294967294" count="2" selected="0">
            <x v="1"/>
            <x v="2"/>
          </reference>
        </references>
      </pivotArea>
    </format>
    <format dxfId="101">
      <pivotArea outline="0" collapsedLevelsAreSubtotals="1" fieldPosition="0">
        <references count="1">
          <reference field="4294967294" count="1" selected="0">
            <x v="3"/>
          </reference>
        </references>
      </pivotArea>
    </format>
    <format dxfId="100">
      <pivotArea field="0" type="button" dataOnly="0" labelOnly="1" outline="0" axis="axisRow" fieldPosition="0"/>
    </format>
    <format dxfId="99">
      <pivotArea dataOnly="0" labelOnly="1" outline="0" fieldPosition="0">
        <references count="1">
          <reference field="4294967294" count="4">
            <x v="0"/>
            <x v="1"/>
            <x v="2"/>
            <x v="3"/>
          </reference>
        </references>
      </pivotArea>
    </format>
    <format dxfId="98">
      <pivotArea field="0" type="button" dataOnly="0" labelOnly="1" outline="0" axis="axisRow" fieldPosition="0"/>
    </format>
    <format dxfId="97">
      <pivotArea dataOnly="0" labelOnly="1" outline="0" fieldPosition="0">
        <references count="1">
          <reference field="4294967294" count="4">
            <x v="0"/>
            <x v="1"/>
            <x v="2"/>
            <x v="3"/>
          </reference>
        </references>
      </pivotArea>
    </format>
    <format dxfId="96">
      <pivotArea grandRow="1" outline="0" collapsedLevelsAreSubtotals="1" fieldPosition="0"/>
    </format>
    <format dxfId="95">
      <pivotArea dataOnly="0" labelOnly="1" grandRow="1" outline="0" fieldPosition="0"/>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dataOnly="0" labelOnly="1" outline="0" fieldPosition="0">
        <references count="1">
          <reference field="4294967294" count="4">
            <x v="0"/>
            <x v="1"/>
            <x v="2"/>
            <x v="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D9101-E606-4643-A939-170330E2FF43}" name="PivotTable10" cacheId="6" applyNumberFormats="0" applyBorderFormats="0" applyFontFormats="0" applyPatternFormats="0" applyAlignmentFormats="0" applyWidthHeightFormats="1" dataCaption="Values" tag="e8b91512-558c-4fdb-b218-24ab4f2a3e8b" updatedVersion="8" minRefreshableVersion="5" useAutoFormatting="1" subtotalHiddenItems="1" itemPrintTitles="1" createdVersion="8" indent="0" outline="1" outlineData="1" multipleFieldFilters="0" chartFormat="2" rowHeaderCaption="Year">
  <location ref="C76:G80" firstHeaderRow="0"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name=" Count of Case Number " fld="1" subtotal="count" baseField="0" baseItem="0">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fld="4" subtotal="count" baseField="0" baseItem="0" numFmtId="9"/>
  </dataFields>
  <formats count="48">
    <format dxfId="88">
      <pivotArea outline="0" collapsedLevelsAreSubtotals="1" fieldPosition="0">
        <references count="1">
          <reference field="4294967294" count="2" selected="0">
            <x v="1"/>
            <x v="2"/>
          </reference>
        </references>
      </pivotArea>
    </format>
    <format dxfId="87">
      <pivotArea outline="0" collapsedLevelsAreSubtotals="1" fieldPosition="0">
        <references count="1">
          <reference field="4294967294" count="1" selected="0">
            <x v="3"/>
          </reference>
        </references>
      </pivotArea>
    </format>
    <format dxfId="86">
      <pivotArea field="0" type="button" dataOnly="0" labelOnly="1" outline="0" axis="axisRow" fieldPosition="0"/>
    </format>
    <format dxfId="85">
      <pivotArea dataOnly="0" labelOnly="1" grandRow="1" outline="0" fieldPosition="0"/>
    </format>
    <format dxfId="84">
      <pivotArea dataOnly="0" labelOnly="1" grandRow="1" outline="0" fieldPosition="0"/>
    </format>
    <format dxfId="83">
      <pivotArea field="0" grandRow="1" outline="0" collapsedLevelsAreSubtotals="1" axis="axisRow" fieldPosition="0">
        <references count="1">
          <reference field="4294967294" count="1" selected="0">
            <x v="3"/>
          </reference>
        </references>
      </pivotArea>
    </format>
    <format dxfId="82">
      <pivotArea type="all" dataOnly="0" outline="0" fieldPosition="0"/>
    </format>
    <format dxfId="81">
      <pivotArea outline="0" collapsedLevelsAreSubtotals="1" fieldPosition="0"/>
    </format>
    <format dxfId="80">
      <pivotArea dataOnly="0" labelOnly="1" fieldPosition="0">
        <references count="1">
          <reference field="0" count="0"/>
        </references>
      </pivotArea>
    </format>
    <format dxfId="79">
      <pivotArea field="0" type="button" dataOnly="0" labelOnly="1" outline="0" axis="axisRow" fieldPosition="0"/>
    </format>
    <format dxfId="78">
      <pivotArea dataOnly="0" labelOnly="1" outline="0" fieldPosition="0">
        <references count="1">
          <reference field="4294967294" count="4">
            <x v="0"/>
            <x v="1"/>
            <x v="2"/>
            <x v="3"/>
          </reference>
        </references>
      </pivotArea>
    </format>
    <format dxfId="77">
      <pivotArea grandRow="1" outline="0" collapsedLevelsAreSubtotals="1" fieldPosition="0"/>
    </format>
    <format dxfId="76">
      <pivotArea dataOnly="0" labelOnly="1" grandRow="1" outline="0"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fieldPosition="0">
        <references count="1">
          <reference field="4294967294" count="4">
            <x v="0"/>
            <x v="1"/>
            <x v="2"/>
            <x v="3"/>
          </reference>
        </references>
      </pivotArea>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fieldPosition="0">
        <references count="1">
          <reference field="4294967294" count="4">
            <x v="0"/>
            <x v="1"/>
            <x v="2"/>
            <x v="3"/>
          </reference>
        </references>
      </pivotArea>
    </format>
    <format dxfId="63">
      <pivotArea dataOnly="0" labelOnly="1" outline="0" fieldPosition="0">
        <references count="1">
          <reference field="4294967294" count="4">
            <x v="0"/>
            <x v="1"/>
            <x v="2"/>
            <x v="3"/>
          </reference>
        </references>
      </pivotArea>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fieldPosition="0">
        <references count="1">
          <reference field="4294967294" count="4">
            <x v="0"/>
            <x v="1"/>
            <x v="2"/>
            <x v="3"/>
          </reference>
        </references>
      </pivotArea>
    </format>
    <format dxfId="56">
      <pivotArea grandRow="1" outline="0" collapsedLevelsAreSubtotals="1" fieldPosition="0"/>
    </format>
    <format dxfId="55">
      <pivotArea dataOnly="0" labelOnly="1" grandRow="1" outline="0" fieldPosition="0"/>
    </format>
    <format dxfId="54">
      <pivotArea field="0" type="button" dataOnly="0" labelOnly="1" outline="0" axis="axisRow" fieldPosition="0"/>
    </format>
    <format dxfId="53">
      <pivotArea dataOnly="0" labelOnly="1" outline="0" fieldPosition="0">
        <references count="1">
          <reference field="4294967294" count="4">
            <x v="0"/>
            <x v="1"/>
            <x v="2"/>
            <x v="3"/>
          </reference>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fieldPosition="0">
        <references count="1">
          <reference field="4294967294" count="4">
            <x v="0"/>
            <x v="1"/>
            <x v="2"/>
            <x v="3"/>
          </reference>
        </references>
      </pivotArea>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fieldPosition="0">
        <references count="1">
          <reference field="4294967294" count="4">
            <x v="0"/>
            <x v="1"/>
            <x v="2"/>
            <x v="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AC8A5A-A890-4344-9FDF-F942DF98332D}" name="PivotTable5" cacheId="0" applyNumberFormats="0" applyBorderFormats="0" applyFontFormats="0" applyPatternFormats="0" applyAlignmentFormats="0" applyWidthHeightFormats="1" dataCaption="Values" tag="1f66f80c-3314-4b0c-875b-209e8c125af3" updatedVersion="8" minRefreshableVersion="5" useAutoFormatting="1" subtotalHiddenItems="1" itemPrintTitles="1" createdVersion="8" indent="0" outline="1" outlineData="1" multipleFieldFilters="0" chartFormat="16">
  <location ref="A7:B15" firstHeaderRow="1" firstDataRow="1" firstDataCol="1" rowPageCount="1"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pageFields count="1">
    <pageField fld="0" hier="38" name="[Range].[Claim Status].&amp;[Accept]" cap="Accept"/>
  </pageFields>
  <dataFields count="1">
    <dataField name="Sum of Compensation Value USD" fld="2" baseField="0" baseItem="0" numFmtId="43"/>
  </dataFields>
  <formats count="1">
    <format dxfId="34">
      <pivotArea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3"/>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6"/>
          </reference>
        </references>
      </pivotArea>
    </chartFormat>
    <chartFormat chart="2" format="5">
      <pivotArea type="data" outline="0" fieldPosition="0">
        <references count="2">
          <reference field="4294967294" count="1" selected="0">
            <x v="0"/>
          </reference>
          <reference field="1" count="1" selected="0">
            <x v="6"/>
          </reference>
        </references>
      </pivotArea>
    </chartFormat>
    <chartFormat chart="13" format="14">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13" format="17">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5"/>
          </reference>
        </references>
      </pivotArea>
    </chartFormat>
    <chartFormat chart="13" format="19">
      <pivotArea type="data" outline="0" fieldPosition="0">
        <references count="2">
          <reference field="4294967294" count="1" selected="0">
            <x v="0"/>
          </reference>
          <reference field="1" count="1" selected="0">
            <x v="1"/>
          </reference>
        </references>
      </pivotArea>
    </chartFormat>
    <chartFormat chart="13" format="20">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2"/>
          </reference>
        </references>
      </pivotArea>
    </chartFormat>
    <chartFormat chart="2" format="20">
      <pivotArea type="data" outline="0" fieldPosition="0">
        <references count="2">
          <reference field="4294967294" count="1" selected="0">
            <x v="0"/>
          </reference>
          <reference field="1" count="1" selected="0">
            <x v="4"/>
          </reference>
        </references>
      </pivotArea>
    </chartFormat>
    <chartFormat chart="2" format="21">
      <pivotArea type="data" outline="0" fieldPosition="0">
        <references count="2">
          <reference field="4294967294" count="1" selected="0">
            <x v="0"/>
          </reference>
          <reference field="1" count="1" selected="0">
            <x v="5"/>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Range].[Claim Status].&amp;[Accep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F98A5B-CBD8-4883-B6BA-A6CFB3DEC8EF}" name="PivotTable8" cacheId="4" applyNumberFormats="0" applyBorderFormats="0" applyFontFormats="0" applyPatternFormats="0" applyAlignmentFormats="0" applyWidthHeightFormats="1" dataCaption="Values" tag="c7decb1a-c696-4f3c-814c-679ff422c116" updatedVersion="8" minRefreshableVersion="5" useAutoFormatting="1" subtotalHiddenItems="1" itemPrintTitles="1" createdVersion="8" indent="0" outline="1" outlineData="1" multipleFieldFilters="0" chartFormat="21">
  <location ref="Z5:AA9"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aim Value USD" fld="1" baseField="0" baseItem="0" numFmtId="164"/>
  </dataFields>
  <formats count="1">
    <format dxfId="35">
      <pivotArea outline="0" collapsedLevelsAreSubtotals="1" fieldPosition="0"/>
    </format>
  </format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2"/>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0" count="1" selected="0">
            <x v="0"/>
          </reference>
        </references>
      </pivotArea>
    </chartFormat>
    <chartFormat chart="20" format="11">
      <pivotArea type="data" outline="0" fieldPosition="0">
        <references count="2">
          <reference field="4294967294" count="1" selected="0">
            <x v="0"/>
          </reference>
          <reference field="0" count="1" selected="0">
            <x v="1"/>
          </reference>
        </references>
      </pivotArea>
    </chartFormat>
    <chartFormat chart="20" format="12">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ase 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EBECF0-09E2-4292-8CA2-1A4158FFDD7D}" name="PivotTable7" cacheId="3" applyNumberFormats="0" applyBorderFormats="0" applyFontFormats="0" applyPatternFormats="0" applyAlignmentFormats="0" applyWidthHeightFormats="1" dataCaption="Values" tag="2ee8ad2a-a72d-42bd-8652-b5193763a777" updatedVersion="8" minRefreshableVersion="5" useAutoFormatting="1" subtotalHiddenItems="1" itemPrintTitles="1" createdVersion="8" indent="0" outline="1" outlineData="1" multipleFieldFilters="0" chartFormat="17">
  <location ref="U5:V8" firstHeaderRow="1" firstDataRow="1" firstDataCol="1"/>
  <pivotFields count="4">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Case Number" fld="1" subtotal="count" baseField="0" baseItem="0">
      <extLst>
        <ext xmlns:x15="http://schemas.microsoft.com/office/spreadsheetml/2010/11/main" uri="{FABC7310-3BB5-11E1-824E-6D434824019B}">
          <x15:dataField isCountDistinct="1"/>
        </ext>
      </extLst>
    </dataField>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ase Numb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1CAAA-807B-4869-95E1-76A31EB65182}" name="PivotTable6" cacheId="2" applyNumberFormats="0" applyBorderFormats="0" applyFontFormats="0" applyPatternFormats="0" applyAlignmentFormats="0" applyWidthHeightFormats="1" dataCaption="Values" tag="d4579fdf-531c-44ce-8e2f-1ecf0326f46f" updatedVersion="8" minRefreshableVersion="5" useAutoFormatting="1" subtotalHiddenItems="1" itemPrintTitles="1" createdVersion="8" indent="0" outline="1" outlineData="1" multipleFieldFilters="0" chartFormat="19" rowHeaderCaption="Year">
  <location ref="N5:Q9"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 Claim Value USD" fld="1" baseField="0" baseItem="0" numFmtId="164"/>
    <dataField name="Compensation Value USD" fld="2" baseField="0" baseItem="0" numFmtId="164"/>
    <dataField fld="3" subtotal="count" baseField="0" baseItem="0" numFmtId="9"/>
  </dataFields>
  <formats count="3">
    <format dxfId="38">
      <pivotArea outline="0" collapsedLevelsAreSubtotals="1" fieldPosition="0">
        <references count="1">
          <reference field="4294967294" count="2" selected="0">
            <x v="0"/>
            <x v="1"/>
          </reference>
        </references>
      </pivotArea>
    </format>
    <format dxfId="37">
      <pivotArea outline="0" collapsedLevelsAreSubtotals="1" fieldPosition="0">
        <references count="1">
          <reference field="4294967294" count="1" selected="0">
            <x v="2"/>
          </reference>
        </references>
      </pivotArea>
    </format>
    <format dxfId="36">
      <pivotArea dataOnly="0" labelOnly="1" outline="0" fieldPosition="0">
        <references count="1">
          <reference field="4294967294" count="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3B7BFC-1874-4471-B591-E7E85DE86B8B}" name="% compensated" cacheId="5" applyNumberFormats="0" applyBorderFormats="0" applyFontFormats="0" applyPatternFormats="0" applyAlignmentFormats="0" applyWidthHeightFormats="1" dataCaption="Values" tag="dd99d8be-62ac-47ce-8ecc-4b0ebf97c219" updatedVersion="8" minRefreshableVersion="5" useAutoFormatting="1" subtotalHiddenItems="1" itemPrintTitles="1" createdVersion="8" indent="0" outline="1" outlineData="1" multipleFieldFilters="0" chartFormat="2" rowHeaderCaption="Year">
  <location ref="F5:J9"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name=" Count of Case Number " fld="1" subtotal="count" baseField="0" baseItem="0">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fld="4" subtotal="count" baseField="0" baseItem="0" numFmtId="9"/>
  </dataFields>
  <formats count="2">
    <format dxfId="40">
      <pivotArea outline="0" collapsedLevelsAreSubtotals="1" fieldPosition="0">
        <references count="1">
          <reference field="4294967294" count="2" selected="0">
            <x v="1"/>
            <x v="2"/>
          </reference>
        </references>
      </pivotArea>
    </format>
    <format dxfId="39">
      <pivotArea outline="0" collapsedLevelsAreSubtotals="1" fieldPosition="0">
        <references count="1">
          <reference field="4294967294" count="1" selected="0">
            <x v="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8C000A-2E3E-4F44-931A-DB9D864DBDF9}" name="PivotTable14" cacheId="7" applyNumberFormats="0" applyBorderFormats="0" applyFontFormats="0" applyPatternFormats="0" applyAlignmentFormats="0" applyWidthHeightFormats="1" dataCaption="Values" updatedVersion="8" minRefreshableVersion="5" showDrill="0" useAutoFormatting="1" itemPrintTitles="1" createdVersion="8" indent="0" compact="0" compactData="0" gridDropZones="1" multipleFieldFilters="0" chartFormat="34">
  <location ref="C44:G49" firstHeaderRow="1" firstDataRow="2" firstDataCol="1"/>
  <pivotFields count="50">
    <pivotField compact="0" showAll="0" insertBlankRow="1" defaultSubtotal="0">
      <items count="42">
        <item x="0"/>
        <item x="1"/>
        <item x="2"/>
        <item x="3"/>
        <item x="4"/>
        <item x="5"/>
        <item x="6"/>
        <item x="7"/>
        <item x="8"/>
        <item x="9"/>
        <item x="10"/>
        <item x="27"/>
        <item x="28"/>
        <item x="11"/>
        <item x="12"/>
        <item x="13"/>
        <item x="16"/>
        <item x="14"/>
        <item x="15"/>
        <item x="17"/>
        <item x="18"/>
        <item x="19"/>
        <item x="20"/>
        <item x="21"/>
        <item x="22"/>
        <item x="23"/>
        <item x="24"/>
        <item x="25"/>
        <item x="26"/>
        <item x="29"/>
        <item x="30"/>
        <item x="31"/>
        <item x="32"/>
        <item x="33"/>
        <item x="34"/>
        <item x="35"/>
        <item x="36"/>
        <item x="37"/>
        <item x="38"/>
        <item x="39"/>
        <item x="40"/>
        <item x="41"/>
      </items>
      <extLst>
        <ext xmlns:x14="http://schemas.microsoft.com/office/spreadsheetml/2009/9/main" uri="{2946ED86-A175-432a-8AC1-64E0C546D7DE}">
          <x14:pivotField fillDownLabels="1"/>
        </ext>
      </extLst>
    </pivotField>
    <pivotField compact="0" outline="0" showAll="0"/>
    <pivotField compact="0" outline="0" showAll="0"/>
    <pivotField axis="axisRow" compact="0" outline="0" showAll="0">
      <items count="9">
        <item m="1" x="3"/>
        <item m="1" x="4"/>
        <item m="1" x="5"/>
        <item m="1" x="6"/>
        <item m="1" x="7"/>
        <item x="0"/>
        <item x="1"/>
        <item x="2"/>
        <item t="default"/>
      </items>
    </pivotField>
    <pivotField dataField="1" compact="0" outline="0" showAll="0" insertBlankRow="1" defaultSubtotal="0">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defaultSubtotal="0">
      <items count="2">
        <item m="1" x="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items count="3">
        <item x="0"/>
        <item m="1" x="1"/>
        <item t="default"/>
      </items>
    </pivotField>
    <pivotField compact="0" outline="0" multipleItemSelectionAllowed="1" showAll="0"/>
    <pivotField compact="0" outline="0" showAll="0"/>
    <pivotField compact="0" outline="0" showAll="0"/>
    <pivotField compact="0" outline="0" multipleItemSelectionAllowed="1" showAll="0" defaultSubtotal="0">
      <items count="2">
        <item x="0"/>
        <item x="1"/>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insertBlankRow="1" defaultSubtotal="0">
      <extLst>
        <ext xmlns:x14="http://schemas.microsoft.com/office/spreadsheetml/2009/9/main" uri="{2946ED86-A175-432a-8AC1-64E0C546D7DE}">
          <x14:pivotField fillDownLabels="1"/>
        </ext>
      </extLst>
    </pivotField>
    <pivotField compact="0" outline="0" showAll="0"/>
    <pivotField compact="0" outline="0" dragToRow="0" dragToCol="0" dragToPage="0" showAll="0" defaultSubtotal="0"/>
    <pivotField dataField="1" compact="0" outline="0" dragToRow="0" dragToCol="0" dragToPage="0" showAll="0" defaultSubtotal="0"/>
  </pivotFields>
  <rowFields count="1">
    <field x="3"/>
  </rowFields>
  <rowItems count="4">
    <i>
      <x v="5"/>
    </i>
    <i>
      <x v="6"/>
    </i>
    <i>
      <x v="7"/>
    </i>
    <i t="grand">
      <x/>
    </i>
  </rowItems>
  <colFields count="1">
    <field x="-2"/>
  </colFields>
  <colItems count="4">
    <i>
      <x/>
    </i>
    <i i="1">
      <x v="1"/>
    </i>
    <i i="2">
      <x v="2"/>
    </i>
    <i i="3">
      <x v="3"/>
    </i>
  </colItems>
  <dataFields count="4">
    <dataField name="Count of Case Number" fld="4" subtotal="count" baseField="3" baseItem="0"/>
    <dataField name="Claim Value USD " fld="42" baseField="0" baseItem="0" numFmtId="168"/>
    <dataField name="Compensation Value USD " fld="43" baseField="0" baseItem="0" numFmtId="168"/>
    <dataField name=" % Compensation " fld="49" baseField="0" baseItem="0" numFmtId="9"/>
  </dataFields>
  <formats count="31">
    <format dxfId="33">
      <pivotArea field="3" grandRow="1" outline="0" axis="axisRow" fieldPosition="0">
        <references count="1">
          <reference field="4294967294" count="2" selected="0">
            <x v="1"/>
            <x v="2"/>
          </reference>
        </references>
      </pivotArea>
    </format>
    <format dxfId="32">
      <pivotArea outline="0" fieldPosition="0">
        <references count="1">
          <reference field="4294967294" count="1" selected="0">
            <x v="3"/>
          </reference>
        </references>
      </pivotArea>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2" type="button" dataOnly="0" labelOnly="1" outline="0" axis="axisCol" fieldPosition="0"/>
    </format>
    <format dxfId="27">
      <pivotArea type="topRight" dataOnly="0" labelOnly="1" outline="0" fieldPosition="0"/>
    </format>
    <format dxfId="26">
      <pivotArea field="3" type="button" dataOnly="0" labelOnly="1" outline="0" axis="axisRow" fieldPosition="0"/>
    </format>
    <format dxfId="25">
      <pivotArea dataOnly="0" labelOnly="1" outline="0" fieldPosition="0">
        <references count="1">
          <reference field="3" count="0"/>
        </references>
      </pivotArea>
    </format>
    <format dxfId="24">
      <pivotArea dataOnly="0" labelOnly="1" grandRow="1" outline="0" fieldPosition="0"/>
    </format>
    <format dxfId="23">
      <pivotArea dataOnly="0" labelOnly="1" outline="0" fieldPosition="0">
        <references count="1">
          <reference field="4294967294" count="4">
            <x v="0"/>
            <x v="1"/>
            <x v="2"/>
            <x v="3"/>
          </reference>
        </references>
      </pivotArea>
    </format>
    <format dxfId="22">
      <pivotArea outline="0" fieldPosition="0">
        <references count="1">
          <reference field="4294967294" count="1" selected="0">
            <x v="2"/>
          </reference>
        </references>
      </pivotArea>
    </format>
    <format dxfId="21">
      <pivotArea outline="0" fieldPosition="0">
        <references count="1">
          <reference field="4294967294" count="1" selected="0">
            <x v="1"/>
          </reference>
        </references>
      </pivotArea>
    </format>
    <format dxfId="20">
      <pivotArea field="3" type="button" dataOnly="0" labelOnly="1" outline="0" axis="axisRow" fieldPosition="0"/>
    </format>
    <format dxfId="19">
      <pivotArea dataOnly="0" labelOnly="1" outline="0" fieldPosition="0">
        <references count="1">
          <reference field="4294967294" count="4">
            <x v="0"/>
            <x v="1"/>
            <x v="2"/>
            <x v="3"/>
          </reference>
        </references>
      </pivotArea>
    </format>
    <format dxfId="18">
      <pivotArea field="3" type="button" dataOnly="0" labelOnly="1" outline="0" axis="axisRow" fieldPosition="0"/>
    </format>
    <format dxfId="17">
      <pivotArea dataOnly="0" labelOnly="1" outline="0" fieldPosition="0">
        <references count="1">
          <reference field="4294967294" count="4">
            <x v="0"/>
            <x v="1"/>
            <x v="2"/>
            <x v="3"/>
          </reference>
        </references>
      </pivotArea>
    </format>
    <format dxfId="16">
      <pivotArea outline="0" fieldPosition="0">
        <references count="1">
          <reference field="3" count="0" selected="0"/>
        </references>
      </pivotArea>
    </format>
    <format dxfId="15">
      <pivotArea dataOnly="0" labelOnly="1" outline="0" fieldPosition="0">
        <references count="1">
          <reference field="3" count="0"/>
        </references>
      </pivotArea>
    </format>
    <format dxfId="14">
      <pivotArea outline="0" collapsedLevelsAreSubtotals="1" fieldPosition="0"/>
    </format>
    <format dxfId="13">
      <pivotArea field="3" type="button" dataOnly="0" labelOnly="1" outline="0" axis="axisRow" fieldPosition="0"/>
    </format>
    <format dxfId="12">
      <pivotArea dataOnly="0" labelOnly="1" outline="0" fieldPosition="0">
        <references count="1">
          <reference field="3" count="0"/>
        </references>
      </pivotArea>
    </format>
    <format dxfId="11">
      <pivotArea dataOnly="0" labelOnly="1" grandRow="1" outline="0" fieldPosition="0"/>
    </format>
    <format dxfId="10">
      <pivotArea dataOnly="0" labelOnly="1" outline="0" fieldPosition="0">
        <references count="1">
          <reference field="4294967294" count="4">
            <x v="0"/>
            <x v="1"/>
            <x v="2"/>
            <x v="3"/>
          </reference>
        </references>
      </pivotArea>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 dxfId="5">
      <pivotArea outline="0" collapsedLevelsAreSubtotals="1" fieldPosition="0"/>
    </format>
    <format dxfId="4">
      <pivotArea dataOnly="0" labelOnly="1" outline="0" fieldPosition="0">
        <references count="1">
          <reference field="3" count="0"/>
        </references>
      </pivotArea>
    </format>
    <format dxfId="3">
      <pivotArea dataOnly="0" labelOnly="1" grandRow="1" outline="0" fieldPosition="0"/>
    </format>
  </formats>
  <chartFormats count="4">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CCA1EA-DB66-48EE-8212-339C2D188611}" sourceName="Type">
  <pivotTables>
    <pivotTable tabId="7" name="PivotTable2"/>
    <pivotTable tabId="11" name="PivotTable14"/>
  </pivotTables>
  <data>
    <tabular pivotCacheId="2035467345">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5B993ED-5B8F-4FCD-9FEB-CBA48F62BA80}" sourceName="Status">
  <pivotTables>
    <pivotTable tabId="7" name="PivotTable2"/>
    <pivotTable tabId="11" name="PivotTable14"/>
  </pivotTables>
  <data>
    <tabular pivotCacheId="20354673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Type" xr10:uid="{46AA3466-0A8F-4F2C-A083-4C2C9E57152A}" sourceName="Period Type">
  <pivotTables>
    <pivotTable tabId="7" name="PivotTable2"/>
    <pivotTable tabId="11" name="PivotTable14"/>
  </pivotTables>
  <data>
    <tabular pivotCacheId="2035467345">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Type1" xr10:uid="{D4429BAC-B80D-4E9E-85F5-E0CA5C28EE6E}" sourceName="[Range].[Period Type]">
  <pivotTables>
    <pivotTable tabId="15" name="PivotTable5"/>
    <pivotTable tabId="17" name="PivotTable10"/>
    <pivotTable tabId="3" name="PivotTable4"/>
    <pivotTable tabId="15" name="PivotTable6"/>
    <pivotTable tabId="15" name="PivotTable7"/>
    <pivotTable tabId="15" name="PivotTable8"/>
  </pivotTables>
  <data>
    <olap pivotCacheId="920562368">
      <levels count="2">
        <level uniqueName="[Range].[Period Type].[(All)]" sourceCaption="(All)" count="0"/>
        <level uniqueName="[Range].[Period Type].[Period Type]" sourceCaption="Period Type" count="1">
          <ranges>
            <range startItem="0">
              <i n="[Range].[Period Type].&amp;[Post-War]" c="Post-War"/>
            </range>
          </ranges>
        </level>
      </levels>
      <selections count="1">
        <selection n="[Range].[Period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D45A0CF2-1449-48D3-BBEF-FCFA9B0E6566}" sourceName="[Range].[Type]">
  <pivotTables>
    <pivotTable tabId="3" name="PivotTable4"/>
    <pivotTable tabId="15" name="% compensated"/>
    <pivotTable tabId="15" name="PivotTable5"/>
    <pivotTable tabId="15" name="PivotTable6"/>
    <pivotTable tabId="15" name="PivotTable7"/>
    <pivotTable tabId="15" name="PivotTable8"/>
    <pivotTable tabId="17" name="PivotTable10"/>
  </pivotTables>
  <data>
    <olap pivotCacheId="920562368">
      <levels count="2">
        <level uniqueName="[Range].[Type].[(All)]" sourceCaption="(All)" count="0"/>
        <level uniqueName="[Range].[Type].[Type]" sourceCaption="Type" count="1">
          <ranges>
            <range startItem="0">
              <i n="[Range].[Type].&amp;[Import]" c="Import"/>
            </range>
          </ranges>
        </level>
      </levels>
      <selections count="1">
        <selection n="[Range].[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ABF43A85-1A54-42D9-BA48-B22BBE3EDD83}" sourceName="[Range].[Status]">
  <pivotTables>
    <pivotTable tabId="3" name="PivotTable4"/>
    <pivotTable tabId="15" name="% compensated"/>
    <pivotTable tabId="15" name="PivotTable5"/>
    <pivotTable tabId="15" name="PivotTable6"/>
    <pivotTable tabId="15" name="PivotTable7"/>
    <pivotTable tabId="15" name="PivotTable8"/>
    <pivotTable tabId="17" name="PivotTable10"/>
  </pivotTables>
  <data>
    <olap pivotCacheId="920562368">
      <levels count="2">
        <level uniqueName="[Range].[Status].[(All)]" sourceCaption="(All)" count="0"/>
        <level uniqueName="[Range].[Status].[Status]" sourceCaption="Status" count="2">
          <ranges>
            <range startItem="0">
              <i n="[Range].[Status].&amp;[Close]" c="Close"/>
              <i n="[Range].[Status].&amp;[Pending]" c="Pending"/>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5" xr10:uid="{FD07DCBC-50E8-452A-A179-1FF82815CF3A}" cache="Slicer_Period_Type1" caption="Period Type" columnCount="2" level="1" style="SlicerStyleDark6" rowHeight="234950"/>
  <slicer name="Type 5" xr10:uid="{B1D171CF-DD5B-42C8-B7EE-73AA33838677}" cache="Slicer_Type1" caption="Type" columnCount="2" level="1" style="SlicerStyleDark6" rowHeight="234950"/>
  <slicer name="Status 5" xr10:uid="{4516BBDE-583D-41A1-9AC8-073360BAF941}" cache="Slicer_Status1" caption="Status" columnCount="2"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1" xr10:uid="{70EDC895-8032-4483-BFEA-533A2E121A67}" cache="Slicer_Period_Type1" caption="Period Type" columnCount="2" level="1" style="Slicer Style 1" rowHeight="822960"/>
  <slicer name="Type 1" xr10:uid="{1036F210-A20B-42BA-B33F-04F928094B0B}" cache="Slicer_Type1" caption="Type" columnCount="2" level="1" style="Slicer Style 1" rowHeight="731520"/>
  <slicer name="Status 1" xr10:uid="{669A6ED0-5374-479D-8337-82ED677AA144}" cache="Slicer_Status1" caption="Status" columnCount="2" level="1" style="Slicer Style 1" rowHeight="7315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xr10:uid="{39569B88-EBCE-4F03-BA5E-15B7335985D6}" cache="Slicer_Period_Type1" caption="Period Type" columnCount="2" level="1" rowHeight="234950"/>
  <slicer name="Type" xr10:uid="{712FFB9B-7A1F-4EC1-ABE5-A930360D062F}" cache="Slicer_Type1" caption="Type" columnCount="2" level="1" rowHeight="234950"/>
  <slicer name="Status" xr10:uid="{78C9C163-AA74-47BE-8157-D9F30B4254D2}" cache="Slicer_Status1" caption="Status" columnCount="2"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4" xr10:uid="{790CE48A-0525-4762-AAEE-852CE4F29940}" cache="Slicer_Type" caption="Type" columnCount="2" style="SlicerStyleDark6" rowHeight="548640"/>
  <slicer name="Status 4" xr10:uid="{4B0EC1C5-EA04-41FE-B482-79AB2E904332}" cache="Slicer_Status" caption="Status" columnCount="2" style="SlicerStyleDark6" rowHeight="548640"/>
  <slicer name="Period Type 4" xr10:uid="{DD65F9AA-1409-4AB6-BC19-180EDEB43648}" cache="Slicer_Period_Type" caption="Period Type" columnCount="2" style="SlicerStyleDark6"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BC113-9057-457D-9B0F-D54E4E7BE073}" name="Table1" displayName="Table1" ref="A1:AV77" totalsRowShown="0" headerRowDxfId="153" dataDxfId="152" tableBorderDxfId="151">
  <autoFilter ref="A1:AV77" xr:uid="{28DBC113-9057-457D-9B0F-D54E4E7BE073}"/>
  <tableColumns count="48">
    <tableColumn id="1" xr3:uid="{3D721C48-21E6-4BC8-90EB-010DE3F9E497}" name="Date" dataDxfId="150"/>
    <tableColumn id="2" xr3:uid="{20C8841E-1FBD-4C0D-AFA0-3AEF899A63D4}" name="Season" dataDxfId="149"/>
    <tableColumn id="3" xr3:uid="{DEE7880E-D927-41F1-8ECC-1BEF0E9256FD}" name="Month" dataDxfId="148">
      <calculatedColumnFormula>TEXT(A2,"MMM")</calculatedColumnFormula>
    </tableColumn>
    <tableColumn id="4" xr3:uid="{6BBEAF00-88D5-48C9-9ED7-2F875DC71161}" name="Year" dataDxfId="147">
      <calculatedColumnFormula>YEAR(A2)</calculatedColumnFormula>
    </tableColumn>
    <tableColumn id="5" xr3:uid="{A35FD6D8-0D10-4744-8886-82887FC2CFA3}" name="Case Number" dataDxfId="146"/>
    <tableColumn id="43" xr3:uid="{C1C0B58F-8C4D-4579-8437-01872109FFF9}" name="BL NO." dataDxfId="145"/>
    <tableColumn id="6" xr3:uid="{84CD0FAB-DF39-45F1-A49C-162C005875C8}" name="WH" dataDxfId="144"/>
    <tableColumn id="7" xr3:uid="{FD5D210B-D3C3-4DD0-B1BA-DDADE373ABC4}" name="Location" dataDxfId="143"/>
    <tableColumn id="8" xr3:uid="{83506CFA-95AF-4361-8902-2B178F4A03BA}" name="Product" dataDxfId="142"/>
    <tableColumn id="9" xr3:uid="{4F137811-6370-4695-AF18-35A14A737D0E}" name="Product Description" dataDxfId="141"/>
    <tableColumn id="10" xr3:uid="{0D270D00-3209-4B8D-936C-9650EB2DB706}" name="Owner" dataDxfId="140"/>
    <tableColumn id="44" xr3:uid="{2FCB3C19-4554-4E41-B368-8B9D452657D3}" name="Initial Quantity" dataDxfId="139"/>
    <tableColumn id="11" xr3:uid="{288D6065-AED4-4D85-A7AA-B2AD44597ECB}" name="Claim Quantity" dataDxfId="138">
      <calculatedColumnFormula>VLOOKUP(Table1[[#This Row],[BL NO.]],'BL NCs'!$E$3:$K$78,7,0)</calculatedColumnFormula>
    </tableColumn>
    <tableColumn id="12" xr3:uid="{657500AA-4F65-48B6-A86F-06E296A6D650}" name="Adjusted Quantity " dataDxfId="137"/>
    <tableColumn id="48" xr3:uid="{06603DDD-72A6-4B66-8647-C4F018FEC772}" name="NC number" dataDxfId="136"/>
    <tableColumn id="46" xr3:uid="{44C2A7FF-5288-4ED6-A131-46268DF348BC}" name="Torn QTY" dataDxfId="135"/>
    <tableColumn id="45" xr3:uid="{0491CFB1-F719-4C0F-93C6-B4144C410EF8}" name="loss" dataDxfId="134"/>
    <tableColumn id="47" xr3:uid="{580B0027-E936-45F6-82DC-F45D730E0F8A}" name="Sound from Torn QTY" dataDxfId="133">
      <calculatedColumnFormula>Table1[[#This Row],[Torn QTY]]-Table1[[#This Row],[loss]]</calculatedColumnFormula>
    </tableColumn>
    <tableColumn id="13" xr3:uid="{0F75CDF5-F902-424A-91E1-53878186B1D4}" name="Unit" dataDxfId="132"/>
    <tableColumn id="14" xr3:uid="{22323CD5-125D-4B99-825F-5AF1876A4DF4}" name="Cause of Loss" dataDxfId="131"/>
    <tableColumn id="15" xr3:uid="{1AEA49CC-BEC5-4ADE-8AF0-B1726EF906B4}" name="Insurance Type" dataDxfId="130"/>
    <tableColumn id="16" xr3:uid="{E4036D66-BAFF-4700-B06A-DD5839FB8E95}" name="Type" dataDxfId="129"/>
    <tableColumn id="17" xr3:uid="{22D573C9-A892-4465-BD7D-20758F91BF27}" name="Detailed Description" dataDxfId="128"/>
    <tableColumn id="18" xr3:uid="{6F610747-FE51-4565-B8B9-ECFEDF21B564}" name="Available documents " dataDxfId="127" dataCellStyle="Currency"/>
    <tableColumn id="19" xr3:uid="{CFDDF73B-6CE2-4E2E-9024-DABEC0905A63}" name="Unit Cost USD" dataDxfId="126" dataCellStyle="Currency"/>
    <tableColumn id="20" xr3:uid="{7128E48B-3B11-4F2C-97F7-D3AFAA70C11B}" name="Total Value USD" dataDxfId="125" dataCellStyle="Currency"/>
    <tableColumn id="21" xr3:uid="{C10687B2-D4C3-4DE7-B5D3-588F3DBF9F69}" name="Unit Cost - SDG" dataDxfId="124" dataCellStyle="Currency">
      <calculatedColumnFormula>Y2*AF2</calculatedColumnFormula>
    </tableColumn>
    <tableColumn id="22" xr3:uid="{2A93E7EB-E69B-4181-93F4-94D82ACF1DF5}" name="Total Value SDG" dataDxfId="123" dataCellStyle="Currency">
      <calculatedColumnFormula>AA2*M2</calculatedColumnFormula>
    </tableColumn>
    <tableColumn id="23" xr3:uid="{267D2777-380C-40D4-8ED9-C73E1B8EFB70}" name="STD Cost-SDG" dataDxfId="122" dataCellStyle="Currency"/>
    <tableColumn id="24" xr3:uid="{A6F6A79C-EA9A-4990-8613-0DD9AFB52F40}" name="STD Value-SDG" dataDxfId="121" dataCellStyle="Currency">
      <calculatedColumnFormula>AC2*M2</calculatedColumnFormula>
    </tableColumn>
    <tableColumn id="25" xr3:uid="{12CFDADD-9D18-4235-A75A-5968FF9BCEDB}" name="Compensation Value" dataDxfId="120" dataCellStyle="Currency"/>
    <tableColumn id="26" xr3:uid="{332D7A2F-2981-4C4D-A6B4-3CCCA98ADE31}" name="Exchange Rate" dataDxfId="119"/>
    <tableColumn id="27" xr3:uid="{75A12315-142B-45DE-AAD1-B57851399012}" name="Compensation Status" dataDxfId="118"/>
    <tableColumn id="28" xr3:uid="{C7C1F0CE-15AD-4881-9EBC-1D5BE4C5CBB7}" name="System Status" dataDxfId="117"/>
    <tableColumn id="29" xr3:uid="{1AA19748-F5CA-45C1-8982-B090BBC01526}" name="Follow Up Person" dataDxfId="116"/>
    <tableColumn id="30" xr3:uid="{36B70911-6C71-4AF9-9E28-E9C255988A05}" name="Period Type" dataDxfId="115"/>
    <tableColumn id="31" xr3:uid="{C11B2A86-376A-42CE-91F9-E857315A9879}" name="Report by" dataDxfId="114"/>
    <tableColumn id="32" xr3:uid="{5023EA6B-6812-4742-9BF6-8B3515D8248A}" name="Remark" dataDxfId="113"/>
    <tableColumn id="33" xr3:uid="{51B01C35-D501-4987-A6B0-6C64B4EA95F3}" name="Claim Status" dataDxfId="112"/>
    <tableColumn id="34" xr3:uid="{FBCC1B17-3355-4ABE-B726-C6B77DFE59D5}" name="Status" dataDxfId="111" dataCellStyle="Currency"/>
    <tableColumn id="35" xr3:uid="{14C50DBD-EDA0-4D57-A805-BC2BD80D1949}" name="Status Update" dataDxfId="110"/>
    <tableColumn id="36" xr3:uid="{0AFCBB66-2272-4E8B-8B25-F2A138FFC83D}" name="Claim Value SDG" dataDxfId="109" dataCellStyle="Currency"/>
    <tableColumn id="37" xr3:uid="{F2702A61-6302-43E0-84CF-F69660B91968}" name="Claim Value USD" dataDxfId="108" dataCellStyle="Currency">
      <calculatedColumnFormula>Z2</calculatedColumnFormula>
    </tableColumn>
    <tableColumn id="38" xr3:uid="{948AA47B-8A2F-461D-BD4C-B8CE00E9F22B}" name="Compensation Value USD" dataDxfId="107" dataCellStyle="Currency"/>
    <tableColumn id="39" xr3:uid="{4EC66D82-C40E-4225-9A0F-81ADEB923BC8}" name="Different" dataDxfId="106" dataCellStyle="Currency 2">
      <calculatedColumnFormula>AQ2-AR2</calculatedColumnFormula>
    </tableColumn>
    <tableColumn id="40" xr3:uid="{F13D38EC-5AFB-481E-BCA7-A3CC76A611AF}" name="% of different" dataDxfId="105" dataCellStyle="Percent">
      <calculatedColumnFormula>(AR2/AQ2-1)*-1</calculatedColumnFormula>
    </tableColumn>
    <tableColumn id="41" xr3:uid="{2E7374E4-8AF7-4491-A448-C11A51352516}" name="Remark of different " dataDxfId="104"/>
    <tableColumn id="42" xr3:uid="{B7EE17C7-644B-4B30-BA85-BC060E8A87E5}" name="Remark " dataDxfId="1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7A821D-EED2-45AA-B09E-E84FDCA2BD7B}" sourceName="Date">
  <pivotTables>
    <pivotTable tabId="7" name="PivotTable2"/>
    <pivotTable tabId="11" name="PivotTable14"/>
  </pivotTables>
  <state minimalRefreshVersion="6" lastRefreshVersion="6" pivotCacheId="2035467345" filterType="unknown">
    <bounds startDate="2024-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0D1978F-C336-417C-A0D0-CB0463BE9F5A}" sourceName="[Range].[Date]">
  <pivotTables>
    <pivotTable tabId="15" name="% compensated"/>
    <pivotTable tabId="3" name="PivotTable4"/>
    <pivotTable tabId="15" name="PivotTable5"/>
    <pivotTable tabId="15" name="PivotTable6"/>
    <pivotTable tabId="15" name="PivotTable7"/>
    <pivotTable tabId="15" name="PivotTable8"/>
    <pivotTable tabId="17" name="PivotTable10"/>
  </pivotTables>
  <state minimalRefreshVersion="6" lastRefreshVersion="6" pivotCacheId="1619867715"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F68E064-BB36-40F6-8357-8BDBFB612865}" cache="Timeline_Date" caption="Date" level="0" selectionLevel="0" scrollPosition="2024-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EC2707-133B-434D-9FA2-64395BD89C83}" cache="Timeline_Date" caption="Date" level="0" selectionLevel="0" scrollPosition="202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46CC6B4-770E-4A71-BADE-5469B2200B26}" cache="NativeTimeline_Date" caption="Date" showSelectionLabel="0" level="0" selectionLevel="0" scrollPosition="2024-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6.xml"/><Relationship Id="rId7" Type="http://schemas.microsoft.com/office/2007/relationships/slicer" Target="../slicers/slicer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5.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9.xml"/><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5B68F-CE93-454C-8765-8E3A32EF8CB9}">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11AB-C419-4FCD-9919-E2751390E9F5}">
  <dimension ref="A7:A21"/>
  <sheetViews>
    <sheetView workbookViewId="0">
      <selection activeCell="F3" sqref="F3"/>
    </sheetView>
  </sheetViews>
  <sheetFormatPr defaultRowHeight="15" x14ac:dyDescent="0.25"/>
  <sheetData>
    <row r="7" spans="1:1" x14ac:dyDescent="0.25">
      <c r="A7" t="s">
        <v>170</v>
      </c>
    </row>
    <row r="8" spans="1:1" x14ac:dyDescent="0.25">
      <c r="A8" t="s">
        <v>171</v>
      </c>
    </row>
    <row r="21" spans="1:1" x14ac:dyDescent="0.25">
      <c r="A21" t="s">
        <v>172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CEEE-63F4-4B1E-8EC0-6C9CBD3ECF4A}">
  <dimension ref="A3:D141"/>
  <sheetViews>
    <sheetView workbookViewId="0">
      <selection activeCell="D4" sqref="D4"/>
    </sheetView>
  </sheetViews>
  <sheetFormatPr defaultRowHeight="15" x14ac:dyDescent="0.25"/>
  <cols>
    <col min="1" max="1" width="12.5703125" bestFit="1" customWidth="1"/>
    <col min="2" max="2" width="29.28515625" style="45" bestFit="1" customWidth="1"/>
    <col min="3" max="3" width="21.7109375" bestFit="1" customWidth="1"/>
    <col min="4" max="5" width="21.85546875" bestFit="1" customWidth="1"/>
    <col min="6" max="6" width="12" bestFit="1" customWidth="1"/>
    <col min="7" max="7" width="11.42578125" bestFit="1" customWidth="1"/>
    <col min="8" max="11" width="8.85546875" bestFit="1" customWidth="1"/>
    <col min="12" max="12" width="12" bestFit="1" customWidth="1"/>
    <col min="13" max="15" width="8.85546875" bestFit="1" customWidth="1"/>
    <col min="16" max="17" width="12" bestFit="1" customWidth="1"/>
    <col min="18" max="18" width="8.85546875" bestFit="1" customWidth="1"/>
    <col min="19" max="19" width="10.42578125" bestFit="1" customWidth="1"/>
    <col min="20" max="20" width="12" bestFit="1" customWidth="1"/>
    <col min="21" max="23" width="10.42578125" bestFit="1" customWidth="1"/>
    <col min="24" max="24" width="12" bestFit="1" customWidth="1"/>
    <col min="25" max="25" width="10.42578125" bestFit="1" customWidth="1"/>
    <col min="26" max="26" width="12" bestFit="1" customWidth="1"/>
    <col min="27" max="33" width="10.42578125" bestFit="1" customWidth="1"/>
    <col min="34" max="34" width="12" bestFit="1" customWidth="1"/>
    <col min="35" max="36" width="10.42578125" bestFit="1" customWidth="1"/>
    <col min="37" max="38" width="11.42578125" bestFit="1" customWidth="1"/>
    <col min="39" max="40" width="12" bestFit="1" customWidth="1"/>
    <col min="41" max="41" width="11.42578125" bestFit="1" customWidth="1"/>
    <col min="42" max="42" width="12" bestFit="1" customWidth="1"/>
    <col min="43" max="43" width="11.42578125" bestFit="1" customWidth="1"/>
    <col min="44" max="44" width="12" bestFit="1" customWidth="1"/>
    <col min="45" max="45" width="11.42578125" bestFit="1" customWidth="1"/>
    <col min="46" max="47" width="12" bestFit="1" customWidth="1"/>
    <col min="48" max="48" width="11.42578125" bestFit="1" customWidth="1"/>
    <col min="49" max="49" width="10.42578125" bestFit="1" customWidth="1"/>
    <col min="50" max="51" width="11.42578125" bestFit="1" customWidth="1"/>
    <col min="52" max="52" width="12" bestFit="1" customWidth="1"/>
    <col min="53" max="53" width="11.42578125" bestFit="1" customWidth="1"/>
    <col min="54" max="54" width="12" bestFit="1" customWidth="1"/>
    <col min="55" max="56" width="12.42578125" bestFit="1" customWidth="1"/>
    <col min="57" max="57" width="11.42578125" bestFit="1" customWidth="1"/>
    <col min="58" max="58" width="14.140625" bestFit="1" customWidth="1"/>
    <col min="59" max="59" width="7" bestFit="1" customWidth="1"/>
    <col min="60" max="60" width="12" bestFit="1" customWidth="1"/>
    <col min="61" max="61" width="5" bestFit="1" customWidth="1"/>
    <col min="62" max="62" width="7" bestFit="1" customWidth="1"/>
    <col min="63" max="65" width="8" bestFit="1" customWidth="1"/>
    <col min="66" max="68" width="6" bestFit="1" customWidth="1"/>
    <col min="69" max="69" width="12" bestFit="1" customWidth="1"/>
    <col min="70" max="70" width="6.7109375" bestFit="1" customWidth="1"/>
    <col min="71" max="71" width="14" bestFit="1" customWidth="1"/>
    <col min="72" max="72" width="21.5703125" bestFit="1" customWidth="1"/>
    <col min="73" max="73" width="14" bestFit="1" customWidth="1"/>
    <col min="74" max="74" width="21.5703125" bestFit="1" customWidth="1"/>
    <col min="75" max="75" width="8" bestFit="1" customWidth="1"/>
    <col min="76" max="76" width="10.28515625" bestFit="1" customWidth="1"/>
    <col min="77" max="77" width="14" bestFit="1" customWidth="1"/>
    <col min="78" max="78" width="21.5703125" bestFit="1" customWidth="1"/>
    <col min="79" max="79" width="9" bestFit="1" customWidth="1"/>
    <col min="80" max="80" width="8.7109375" bestFit="1" customWidth="1"/>
    <col min="81" max="81" width="8" bestFit="1" customWidth="1"/>
    <col min="82" max="82" width="10.28515625" bestFit="1" customWidth="1"/>
    <col min="83" max="83" width="12" bestFit="1" customWidth="1"/>
    <col min="84" max="84" width="10.28515625" bestFit="1" customWidth="1"/>
    <col min="85" max="85" width="9" bestFit="1" customWidth="1"/>
    <col min="86" max="86" width="11.28515625" bestFit="1" customWidth="1"/>
    <col min="87" max="87" width="9" bestFit="1" customWidth="1"/>
    <col min="88" max="88" width="11.28515625" bestFit="1" customWidth="1"/>
    <col min="89" max="89" width="14" bestFit="1" customWidth="1"/>
    <col min="90" max="90" width="21.5703125" bestFit="1" customWidth="1"/>
    <col min="91" max="91" width="6" bestFit="1" customWidth="1"/>
    <col min="92" max="92" width="8.7109375" bestFit="1" customWidth="1"/>
    <col min="93" max="93" width="6" bestFit="1" customWidth="1"/>
    <col min="94" max="94" width="8.7109375" bestFit="1" customWidth="1"/>
    <col min="95" max="95" width="9" bestFit="1" customWidth="1"/>
    <col min="96" max="96" width="11.28515625" bestFit="1" customWidth="1"/>
    <col min="97" max="97" width="14" bestFit="1" customWidth="1"/>
    <col min="98" max="98" width="21.5703125" bestFit="1" customWidth="1"/>
    <col min="99" max="99" width="14" bestFit="1" customWidth="1"/>
    <col min="100" max="100" width="21.5703125" bestFit="1" customWidth="1"/>
    <col min="101" max="101" width="12" bestFit="1" customWidth="1"/>
    <col min="102" max="102" width="11.28515625" bestFit="1" customWidth="1"/>
    <col min="103" max="103" width="10" bestFit="1" customWidth="1"/>
    <col min="104" max="104" width="12.28515625" bestFit="1" customWidth="1"/>
    <col min="105" max="105" width="14" bestFit="1" customWidth="1"/>
    <col min="106" max="106" width="21.5703125" bestFit="1" customWidth="1"/>
    <col min="107" max="107" width="9" bestFit="1" customWidth="1"/>
    <col min="108" max="108" width="11.28515625" bestFit="1" customWidth="1"/>
    <col min="109" max="109" width="10" bestFit="1" customWidth="1"/>
    <col min="110" max="110" width="12.28515625" bestFit="1" customWidth="1"/>
    <col min="111" max="111" width="7" bestFit="1" customWidth="1"/>
    <col min="112" max="112" width="9.7109375" bestFit="1" customWidth="1"/>
    <col min="113" max="113" width="14" bestFit="1" customWidth="1"/>
    <col min="114" max="114" width="21.5703125" bestFit="1" customWidth="1"/>
    <col min="115" max="115" width="10" bestFit="1" customWidth="1"/>
    <col min="116" max="116" width="12.28515625" bestFit="1" customWidth="1"/>
    <col min="117" max="117" width="14" bestFit="1" customWidth="1"/>
    <col min="118" max="118" width="21.5703125" bestFit="1" customWidth="1"/>
    <col min="119" max="119" width="12" bestFit="1" customWidth="1"/>
    <col min="120" max="120" width="12.28515625" bestFit="1" customWidth="1"/>
    <col min="121" max="121" width="12" bestFit="1" customWidth="1"/>
    <col min="122" max="122" width="9.7109375" bestFit="1" customWidth="1"/>
    <col min="123" max="123" width="10" bestFit="1" customWidth="1"/>
    <col min="124" max="124" width="12.28515625" bestFit="1" customWidth="1"/>
    <col min="125" max="125" width="10" bestFit="1" customWidth="1"/>
    <col min="126" max="126" width="12.28515625" bestFit="1" customWidth="1"/>
    <col min="127" max="127" width="10" bestFit="1" customWidth="1"/>
    <col min="128" max="128" width="12.28515625" bestFit="1" customWidth="1"/>
    <col min="129" max="129" width="10" bestFit="1" customWidth="1"/>
    <col min="130" max="130" width="12.28515625" bestFit="1" customWidth="1"/>
    <col min="131" max="131" width="10" bestFit="1" customWidth="1"/>
    <col min="132" max="132" width="12.28515625" bestFit="1" customWidth="1"/>
    <col min="133" max="133" width="14" bestFit="1" customWidth="1"/>
    <col min="134" max="134" width="20.42578125" bestFit="1" customWidth="1"/>
    <col min="135" max="135" width="7" bestFit="1" customWidth="1"/>
    <col min="136" max="136" width="9.7109375" bestFit="1" customWidth="1"/>
    <col min="137" max="137" width="12" bestFit="1" customWidth="1"/>
    <col min="138" max="138" width="11.28515625" bestFit="1" customWidth="1"/>
    <col min="139" max="139" width="7" bestFit="1" customWidth="1"/>
    <col min="140" max="140" width="9.7109375" bestFit="1" customWidth="1"/>
    <col min="141" max="141" width="12" bestFit="1" customWidth="1"/>
    <col min="142" max="142" width="10.7109375" bestFit="1" customWidth="1"/>
    <col min="143" max="143" width="14" bestFit="1" customWidth="1"/>
    <col min="144" max="144" width="21.5703125" bestFit="1" customWidth="1"/>
    <col min="145" max="145" width="14" bestFit="1" customWidth="1"/>
    <col min="146" max="146" width="21.5703125" bestFit="1" customWidth="1"/>
    <col min="147" max="147" width="12" bestFit="1" customWidth="1"/>
    <col min="148" max="148" width="10.7109375" bestFit="1" customWidth="1"/>
    <col min="149" max="149" width="14" bestFit="1" customWidth="1"/>
    <col min="150" max="150" width="21.5703125" bestFit="1" customWidth="1"/>
    <col min="151" max="151" width="12" bestFit="1" customWidth="1"/>
    <col min="152" max="152" width="10.7109375" bestFit="1" customWidth="1"/>
    <col min="153" max="153" width="14" bestFit="1" customWidth="1"/>
    <col min="154" max="154" width="21.5703125" bestFit="1" customWidth="1"/>
    <col min="155" max="155" width="11" bestFit="1" customWidth="1"/>
    <col min="156" max="156" width="21.5703125" bestFit="1" customWidth="1"/>
    <col min="157" max="157" width="14" bestFit="1" customWidth="1"/>
    <col min="158" max="158" width="21.5703125" bestFit="1" customWidth="1"/>
    <col min="159" max="159" width="14" bestFit="1" customWidth="1"/>
    <col min="160" max="160" width="21.5703125" bestFit="1" customWidth="1"/>
    <col min="161" max="161" width="12" bestFit="1" customWidth="1"/>
    <col min="162" max="162" width="12.28515625" bestFit="1" customWidth="1"/>
    <col min="163" max="163" width="12" bestFit="1" customWidth="1"/>
    <col min="164" max="164" width="10.7109375" bestFit="1" customWidth="1"/>
    <col min="165" max="165" width="8" bestFit="1" customWidth="1"/>
    <col min="166" max="166" width="10.7109375" bestFit="1" customWidth="1"/>
    <col min="167" max="167" width="10" bestFit="1" customWidth="1"/>
    <col min="168" max="168" width="12.28515625" bestFit="1" customWidth="1"/>
    <col min="169" max="169" width="14" bestFit="1" customWidth="1"/>
    <col min="170" max="170" width="21.5703125" bestFit="1" customWidth="1"/>
    <col min="171" max="171" width="8" bestFit="1" customWidth="1"/>
    <col min="172" max="172" width="10.7109375" bestFit="1" customWidth="1"/>
    <col min="173" max="173" width="14" bestFit="1" customWidth="1"/>
    <col min="174" max="174" width="21.5703125" bestFit="1" customWidth="1"/>
    <col min="175" max="175" width="14" bestFit="1" customWidth="1"/>
    <col min="176" max="176" width="21.5703125" bestFit="1" customWidth="1"/>
    <col min="177" max="177" width="14" bestFit="1" customWidth="1"/>
    <col min="178" max="178" width="21.5703125" bestFit="1" customWidth="1"/>
    <col min="179" max="179" width="9" bestFit="1" customWidth="1"/>
    <col min="180" max="182" width="12" bestFit="1" customWidth="1"/>
    <col min="183" max="183" width="7" bestFit="1" customWidth="1"/>
    <col min="184" max="184" width="6" bestFit="1" customWidth="1"/>
    <col min="185" max="186" width="12" bestFit="1" customWidth="1"/>
    <col min="187" max="187" width="8" bestFit="1" customWidth="1"/>
    <col min="188" max="190" width="12" bestFit="1" customWidth="1"/>
    <col min="191" max="191" width="7" bestFit="1" customWidth="1"/>
    <col min="192" max="192" width="5" bestFit="1" customWidth="1"/>
    <col min="193" max="193" width="9" bestFit="1" customWidth="1"/>
    <col min="194" max="194" width="8" bestFit="1" customWidth="1"/>
    <col min="195" max="195" width="11.7109375" bestFit="1" customWidth="1"/>
    <col min="196" max="196" width="10.7109375" bestFit="1" customWidth="1"/>
  </cols>
  <sheetData>
    <row r="3" spans="1:4" x14ac:dyDescent="0.25">
      <c r="A3" s="37" t="s">
        <v>156</v>
      </c>
      <c r="B3" t="s">
        <v>159</v>
      </c>
      <c r="C3" t="s">
        <v>158</v>
      </c>
      <c r="D3" t="s">
        <v>178</v>
      </c>
    </row>
    <row r="4" spans="1:4" x14ac:dyDescent="0.25">
      <c r="A4" s="47">
        <v>2024</v>
      </c>
      <c r="B4" s="46">
        <v>1682.28</v>
      </c>
      <c r="C4" s="46">
        <v>3263.479042553191</v>
      </c>
      <c r="D4" s="43">
        <v>0.51548668707976875</v>
      </c>
    </row>
    <row r="5" spans="1:4" x14ac:dyDescent="0.25">
      <c r="A5" s="47">
        <v>2025</v>
      </c>
      <c r="B5" s="46">
        <v>6554.36</v>
      </c>
      <c r="C5" s="46">
        <v>26749.059484923237</v>
      </c>
      <c r="D5" s="43">
        <v>0.24503141890630886</v>
      </c>
    </row>
    <row r="6" spans="1:4" x14ac:dyDescent="0.25">
      <c r="A6" s="47">
        <v>2026</v>
      </c>
      <c r="B6" s="46">
        <v>0</v>
      </c>
      <c r="C6" s="46">
        <v>18596.826071867003</v>
      </c>
      <c r="D6" s="43">
        <v>0</v>
      </c>
    </row>
    <row r="7" spans="1:4" x14ac:dyDescent="0.25">
      <c r="A7" s="47" t="s">
        <v>157</v>
      </c>
      <c r="B7" s="46">
        <v>8236.64</v>
      </c>
      <c r="C7" s="46">
        <v>48609.364599343433</v>
      </c>
      <c r="D7" s="43">
        <v>0.16944553930892672</v>
      </c>
    </row>
    <row r="8" spans="1:4" x14ac:dyDescent="0.25">
      <c r="B8"/>
    </row>
    <row r="9" spans="1:4" x14ac:dyDescent="0.25">
      <c r="B9"/>
    </row>
    <row r="10" spans="1:4" x14ac:dyDescent="0.25">
      <c r="B10"/>
    </row>
    <row r="11" spans="1:4" x14ac:dyDescent="0.25">
      <c r="B11"/>
    </row>
    <row r="12" spans="1:4" x14ac:dyDescent="0.25">
      <c r="B12"/>
    </row>
    <row r="13" spans="1:4" x14ac:dyDescent="0.25">
      <c r="B13"/>
    </row>
    <row r="14" spans="1:4" x14ac:dyDescent="0.25">
      <c r="B14"/>
    </row>
    <row r="15" spans="1:4" x14ac:dyDescent="0.25">
      <c r="B15"/>
    </row>
    <row r="16" spans="1:4"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C837-379C-4492-8B5A-4D583404669B}">
  <dimension ref="A1:AX77"/>
  <sheetViews>
    <sheetView tabSelected="1" zoomScaleNormal="100" workbookViewId="0">
      <pane ySplit="1" topLeftCell="A2" activePane="bottomLeft" state="frozen"/>
      <selection activeCell="Z1" sqref="Z1"/>
      <selection pane="bottomLeft" activeCell="A2" sqref="A2"/>
    </sheetView>
  </sheetViews>
  <sheetFormatPr defaultRowHeight="15" x14ac:dyDescent="0.25"/>
  <cols>
    <col min="1" max="1" width="13.140625" style="178" bestFit="1" customWidth="1"/>
    <col min="2" max="2" width="9.28515625" style="31" hidden="1" customWidth="1"/>
    <col min="3" max="3" width="9.28515625" style="31" customWidth="1"/>
    <col min="4" max="4" width="12.42578125" style="40" customWidth="1"/>
    <col min="5" max="5" width="14.42578125" style="31" bestFit="1" customWidth="1"/>
    <col min="6" max="6" width="19.28515625" style="31" bestFit="1" customWidth="1"/>
    <col min="7" max="7" width="14" style="31" customWidth="1"/>
    <col min="8" max="8" width="26.5703125" customWidth="1"/>
    <col min="9" max="9" width="11" customWidth="1"/>
    <col min="10" max="10" width="32.28515625" customWidth="1"/>
    <col min="11" max="11" width="8.7109375" hidden="1" customWidth="1"/>
    <col min="12" max="12" width="15.28515625" bestFit="1" customWidth="1"/>
    <col min="13" max="13" width="15.7109375" customWidth="1"/>
    <col min="14" max="14" width="19.140625" hidden="1" customWidth="1"/>
    <col min="15" max="15" width="17.42578125" style="134" hidden="1" customWidth="1"/>
    <col min="16" max="18" width="19.140625" hidden="1" customWidth="1"/>
    <col min="19" max="19" width="10.28515625" customWidth="1"/>
    <col min="20" max="20" width="28.5703125" customWidth="1"/>
    <col min="21" max="21" width="26" customWidth="1"/>
    <col min="22" max="22" width="21.85546875" customWidth="1"/>
    <col min="23" max="23" width="195.5703125" customWidth="1"/>
    <col min="24" max="24" width="42.5703125" customWidth="1"/>
    <col min="25" max="25" width="14.85546875" customWidth="1"/>
    <col min="26" max="26" width="18.140625" customWidth="1"/>
    <col min="27" max="27" width="16.42578125" customWidth="1"/>
    <col min="28" max="28" width="20" customWidth="1"/>
    <col min="29" max="30" width="18.7109375" customWidth="1"/>
    <col min="31" max="31" width="21.5703125" style="177" hidden="1" customWidth="1"/>
    <col min="32" max="32" width="15.5703125" customWidth="1"/>
    <col min="33" max="33" width="28.85546875" customWidth="1"/>
    <col min="34" max="34" width="15" bestFit="1" customWidth="1"/>
    <col min="35" max="37" width="18" customWidth="1"/>
    <col min="38" max="38" width="132.5703125" hidden="1" customWidth="1"/>
    <col min="39" max="39" width="16.42578125" customWidth="1"/>
    <col min="40" max="40" width="8.85546875" style="32" bestFit="1" customWidth="1"/>
    <col min="41" max="41" width="61" bestFit="1" customWidth="1"/>
    <col min="42" max="42" width="17.42578125" style="33" hidden="1" customWidth="1"/>
    <col min="43" max="43" width="17.28515625" style="34" customWidth="1"/>
    <col min="44" max="44" width="25.5703125" style="34" customWidth="1"/>
    <col min="45" max="45" width="13.7109375" style="34" bestFit="1" customWidth="1"/>
    <col min="46" max="46" width="14.28515625" style="35" customWidth="1"/>
    <col min="47" max="47" width="111.85546875" style="34" bestFit="1" customWidth="1"/>
    <col min="48" max="48" width="65.7109375" hidden="1" customWidth="1"/>
    <col min="49" max="49" width="10.28515625" hidden="1" customWidth="1"/>
    <col min="50" max="50" width="65.7109375" hidden="1" customWidth="1"/>
  </cols>
  <sheetData>
    <row r="1" spans="1:48" x14ac:dyDescent="0.25">
      <c r="A1" s="88" t="s">
        <v>0</v>
      </c>
      <c r="B1" s="1" t="s">
        <v>1</v>
      </c>
      <c r="C1" s="1" t="s">
        <v>177</v>
      </c>
      <c r="D1" s="38" t="s">
        <v>2</v>
      </c>
      <c r="E1" s="2" t="s">
        <v>3</v>
      </c>
      <c r="F1" s="2" t="s">
        <v>210</v>
      </c>
      <c r="G1" s="1" t="s">
        <v>4</v>
      </c>
      <c r="H1" s="1" t="s">
        <v>5</v>
      </c>
      <c r="I1" s="1" t="s">
        <v>6</v>
      </c>
      <c r="J1" s="1" t="s">
        <v>7</v>
      </c>
      <c r="K1" s="1" t="s">
        <v>8</v>
      </c>
      <c r="L1" s="115" t="s">
        <v>306</v>
      </c>
      <c r="M1" s="1" t="s">
        <v>300</v>
      </c>
      <c r="N1" s="1" t="s">
        <v>9</v>
      </c>
      <c r="O1" s="129" t="s">
        <v>310</v>
      </c>
      <c r="P1" s="1" t="s">
        <v>309</v>
      </c>
      <c r="Q1" s="1" t="s">
        <v>307</v>
      </c>
      <c r="R1" s="1" t="s">
        <v>308</v>
      </c>
      <c r="S1" s="1" t="s">
        <v>10</v>
      </c>
      <c r="T1" s="1" t="s">
        <v>11</v>
      </c>
      <c r="U1" s="2" t="s">
        <v>197</v>
      </c>
      <c r="V1" s="2" t="s">
        <v>12</v>
      </c>
      <c r="W1" s="1" t="s">
        <v>13</v>
      </c>
      <c r="X1" s="1" t="s">
        <v>14</v>
      </c>
      <c r="Y1" s="1" t="s">
        <v>15</v>
      </c>
      <c r="Z1" s="3" t="s">
        <v>16</v>
      </c>
      <c r="AA1" s="1" t="s">
        <v>17</v>
      </c>
      <c r="AB1" s="3" t="s">
        <v>18</v>
      </c>
      <c r="AC1" s="4" t="s">
        <v>19</v>
      </c>
      <c r="AD1" s="4" t="s">
        <v>20</v>
      </c>
      <c r="AE1" s="3" t="s">
        <v>21</v>
      </c>
      <c r="AF1" s="1" t="s">
        <v>22</v>
      </c>
      <c r="AG1" s="1" t="s">
        <v>23</v>
      </c>
      <c r="AH1" s="1" t="s">
        <v>24</v>
      </c>
      <c r="AI1" s="1" t="s">
        <v>25</v>
      </c>
      <c r="AJ1" s="1" t="s">
        <v>175</v>
      </c>
      <c r="AK1" s="1" t="s">
        <v>26</v>
      </c>
      <c r="AL1" s="1" t="s">
        <v>27</v>
      </c>
      <c r="AM1" s="2" t="s">
        <v>28</v>
      </c>
      <c r="AN1" s="1" t="s">
        <v>29</v>
      </c>
      <c r="AO1" s="2" t="s">
        <v>30</v>
      </c>
      <c r="AP1" s="2" t="s">
        <v>31</v>
      </c>
      <c r="AQ1" s="4" t="s">
        <v>32</v>
      </c>
      <c r="AR1" s="4" t="s">
        <v>33</v>
      </c>
      <c r="AS1" s="2" t="s">
        <v>34</v>
      </c>
      <c r="AT1" s="2" t="s">
        <v>35</v>
      </c>
      <c r="AU1" s="2" t="s">
        <v>36</v>
      </c>
      <c r="AV1" s="5" t="s">
        <v>37</v>
      </c>
    </row>
    <row r="2" spans="1:48" x14ac:dyDescent="0.25">
      <c r="A2" s="90">
        <v>45603</v>
      </c>
      <c r="B2" s="6" t="s">
        <v>58</v>
      </c>
      <c r="C2" s="6" t="str">
        <f t="shared" ref="C2:C50" si="0">TEXT(A2,"MMM")</f>
        <v>Nov</v>
      </c>
      <c r="D2" s="39">
        <f t="shared" ref="D2:D50" si="1">YEAR(A2)</f>
        <v>2024</v>
      </c>
      <c r="E2" s="6">
        <v>1</v>
      </c>
      <c r="F2" s="6" t="s">
        <v>211</v>
      </c>
      <c r="G2" s="6" t="s">
        <v>69</v>
      </c>
      <c r="H2" s="21" t="s">
        <v>70</v>
      </c>
      <c r="I2" s="7" t="s">
        <v>52</v>
      </c>
      <c r="J2" s="7" t="s">
        <v>71</v>
      </c>
      <c r="K2" s="7"/>
      <c r="L2" s="8">
        <v>0</v>
      </c>
      <c r="M2" s="8">
        <f>VLOOKUP(Table1[[#This Row],[BL NO.]],'BL NCs'!$E$3:$K$78,7,0)</f>
        <v>0</v>
      </c>
      <c r="N2" s="8">
        <v>0</v>
      </c>
      <c r="O2" s="130" t="s">
        <v>312</v>
      </c>
      <c r="P2" s="9">
        <v>0</v>
      </c>
      <c r="Q2" s="9">
        <v>0</v>
      </c>
      <c r="R2" s="9">
        <f>Table1[[#This Row],[Torn QTY]]-Table1[[#This Row],[loss]]</f>
        <v>0</v>
      </c>
      <c r="S2" s="7" t="s">
        <v>67</v>
      </c>
      <c r="T2" s="7" t="s">
        <v>200</v>
      </c>
      <c r="U2" s="7" t="s">
        <v>418</v>
      </c>
      <c r="V2" s="7" t="s">
        <v>49</v>
      </c>
      <c r="W2" s="10" t="s">
        <v>73</v>
      </c>
      <c r="X2" s="24" t="s">
        <v>74</v>
      </c>
      <c r="Y2" s="11">
        <v>0</v>
      </c>
      <c r="Z2" s="11">
        <f t="shared" ref="Z2:Z13" si="2">Y2*M2</f>
        <v>0</v>
      </c>
      <c r="AA2" s="12">
        <v>0</v>
      </c>
      <c r="AB2" s="12">
        <f t="shared" ref="AB2:AB13" si="3">AA2*M2</f>
        <v>0</v>
      </c>
      <c r="AC2" s="19">
        <v>0</v>
      </c>
      <c r="AD2" s="12">
        <f t="shared" ref="AD2:AD13" si="4">AC2*M2</f>
        <v>0</v>
      </c>
      <c r="AE2" s="11">
        <f t="shared" ref="AE2:AE22" si="5">AR2</f>
        <v>0</v>
      </c>
      <c r="AF2" s="23">
        <v>0</v>
      </c>
      <c r="AG2" s="10" t="s">
        <v>208</v>
      </c>
      <c r="AH2" s="25" t="s">
        <v>45</v>
      </c>
      <c r="AI2" s="27" t="s">
        <v>64</v>
      </c>
      <c r="AJ2" s="10" t="s">
        <v>176</v>
      </c>
      <c r="AK2" s="27" t="s">
        <v>54</v>
      </c>
      <c r="AL2" s="14"/>
      <c r="AM2" s="14" t="s">
        <v>41</v>
      </c>
      <c r="AN2" s="20" t="s">
        <v>42</v>
      </c>
      <c r="AO2" s="14" t="s">
        <v>59</v>
      </c>
      <c r="AP2" s="19"/>
      <c r="AQ2" s="26">
        <f>Z2</f>
        <v>0</v>
      </c>
      <c r="AR2" s="28">
        <v>0</v>
      </c>
      <c r="AS2" s="13">
        <f t="shared" ref="AS2:AS55" si="6">AQ2-AR2</f>
        <v>0</v>
      </c>
      <c r="AT2" s="29" t="e">
        <f t="shared" ref="AT2:AT10" si="7">(AR2/AQ2-1)*-1</f>
        <v>#DIV/0!</v>
      </c>
      <c r="AU2" s="14" t="s">
        <v>59</v>
      </c>
    </row>
    <row r="3" spans="1:48" x14ac:dyDescent="0.25">
      <c r="A3" s="90">
        <v>45603</v>
      </c>
      <c r="B3" s="6" t="s">
        <v>58</v>
      </c>
      <c r="C3" s="6" t="str">
        <f t="shared" si="0"/>
        <v>Nov</v>
      </c>
      <c r="D3" s="39">
        <f t="shared" si="1"/>
        <v>2024</v>
      </c>
      <c r="E3" s="6">
        <v>2</v>
      </c>
      <c r="F3" s="6" t="s">
        <v>212</v>
      </c>
      <c r="G3" s="6" t="s">
        <v>69</v>
      </c>
      <c r="H3" s="21" t="s">
        <v>70</v>
      </c>
      <c r="I3" s="7" t="s">
        <v>75</v>
      </c>
      <c r="J3" s="7" t="s">
        <v>160</v>
      </c>
      <c r="K3" s="17"/>
      <c r="L3" s="8">
        <v>215</v>
      </c>
      <c r="M3" s="8">
        <f>VLOOKUP(Table1[[#This Row],[BL NO.]],'BL NCs'!$E$3:$K$78,7,0)</f>
        <v>215</v>
      </c>
      <c r="N3" s="18">
        <v>0</v>
      </c>
      <c r="O3" s="131" t="s">
        <v>314</v>
      </c>
      <c r="P3" s="9">
        <v>0</v>
      </c>
      <c r="Q3" s="9">
        <v>0</v>
      </c>
      <c r="R3" s="9">
        <f>Table1[[#This Row],[Torn QTY]]-Table1[[#This Row],[loss]]</f>
        <v>0</v>
      </c>
      <c r="S3" s="7" t="s">
        <v>67</v>
      </c>
      <c r="T3" s="7" t="s">
        <v>200</v>
      </c>
      <c r="U3" s="7" t="s">
        <v>418</v>
      </c>
      <c r="V3" s="7" t="s">
        <v>49</v>
      </c>
      <c r="W3" s="10" t="s">
        <v>76</v>
      </c>
      <c r="X3" s="24" t="s">
        <v>77</v>
      </c>
      <c r="Y3" s="11">
        <v>11.609302325581396</v>
      </c>
      <c r="Z3" s="11">
        <f>M3*Y3</f>
        <v>2496</v>
      </c>
      <c r="AA3" s="12">
        <v>34000</v>
      </c>
      <c r="AB3" s="12">
        <f t="shared" si="3"/>
        <v>7310000</v>
      </c>
      <c r="AC3" s="19">
        <v>30750</v>
      </c>
      <c r="AD3" s="12">
        <f t="shared" si="4"/>
        <v>6611250</v>
      </c>
      <c r="AE3" s="11">
        <f t="shared" si="5"/>
        <v>1248</v>
      </c>
      <c r="AF3" s="23">
        <v>2372</v>
      </c>
      <c r="AG3" s="10" t="s">
        <v>39</v>
      </c>
      <c r="AH3" s="25" t="s">
        <v>40</v>
      </c>
      <c r="AI3" s="27" t="s">
        <v>78</v>
      </c>
      <c r="AJ3" s="10" t="s">
        <v>176</v>
      </c>
      <c r="AK3" s="27" t="s">
        <v>54</v>
      </c>
      <c r="AL3" s="14"/>
      <c r="AM3" s="14" t="s">
        <v>41</v>
      </c>
      <c r="AN3" s="20" t="s">
        <v>42</v>
      </c>
      <c r="AO3" s="14" t="s">
        <v>57</v>
      </c>
      <c r="AP3" s="19"/>
      <c r="AQ3" s="26">
        <f>2496</f>
        <v>2496</v>
      </c>
      <c r="AR3" s="28">
        <v>1248</v>
      </c>
      <c r="AS3" s="13">
        <f t="shared" si="6"/>
        <v>1248</v>
      </c>
      <c r="AT3" s="29">
        <f t="shared" si="7"/>
        <v>0.5</v>
      </c>
      <c r="AU3" s="14" t="s">
        <v>79</v>
      </c>
    </row>
    <row r="4" spans="1:48" x14ac:dyDescent="0.25">
      <c r="A4" s="90">
        <v>45630</v>
      </c>
      <c r="B4" s="6" t="s">
        <v>58</v>
      </c>
      <c r="C4" s="6" t="str">
        <f t="shared" si="0"/>
        <v>Dec</v>
      </c>
      <c r="D4" s="39">
        <f t="shared" si="1"/>
        <v>2024</v>
      </c>
      <c r="E4" s="6">
        <v>3</v>
      </c>
      <c r="F4" s="6">
        <v>245672578</v>
      </c>
      <c r="G4" s="6" t="s">
        <v>69</v>
      </c>
      <c r="H4" s="21" t="s">
        <v>70</v>
      </c>
      <c r="I4" s="7" t="s">
        <v>52</v>
      </c>
      <c r="J4" s="7" t="s">
        <v>71</v>
      </c>
      <c r="K4" s="7"/>
      <c r="L4" s="8">
        <v>0</v>
      </c>
      <c r="M4" s="8">
        <f>VLOOKUP(Table1[[#This Row],[BL NO.]],'BL NCs'!$E$3:$K$78,7,0)</f>
        <v>0</v>
      </c>
      <c r="N4" s="8">
        <v>0</v>
      </c>
      <c r="O4" s="130" t="s">
        <v>312</v>
      </c>
      <c r="P4" s="9">
        <v>0</v>
      </c>
      <c r="Q4" s="9">
        <v>0</v>
      </c>
      <c r="R4" s="9">
        <f>Table1[[#This Row],[Torn QTY]]-Table1[[#This Row],[loss]]</f>
        <v>0</v>
      </c>
      <c r="S4" s="7" t="s">
        <v>67</v>
      </c>
      <c r="T4" s="7" t="s">
        <v>200</v>
      </c>
      <c r="U4" s="7" t="s">
        <v>418</v>
      </c>
      <c r="V4" s="7" t="s">
        <v>49</v>
      </c>
      <c r="W4" s="10" t="s">
        <v>80</v>
      </c>
      <c r="X4" s="24" t="s">
        <v>74</v>
      </c>
      <c r="Y4" s="11">
        <v>0</v>
      </c>
      <c r="Z4" s="11">
        <f t="shared" si="2"/>
        <v>0</v>
      </c>
      <c r="AA4" s="12">
        <v>0</v>
      </c>
      <c r="AB4" s="12">
        <f t="shared" si="3"/>
        <v>0</v>
      </c>
      <c r="AC4" s="19">
        <v>0</v>
      </c>
      <c r="AD4" s="12">
        <f t="shared" si="4"/>
        <v>0</v>
      </c>
      <c r="AE4" s="11">
        <f t="shared" si="5"/>
        <v>0</v>
      </c>
      <c r="AF4" s="23">
        <v>0</v>
      </c>
      <c r="AG4" s="10" t="s">
        <v>208</v>
      </c>
      <c r="AH4" s="25" t="s">
        <v>45</v>
      </c>
      <c r="AI4" s="27" t="s">
        <v>64</v>
      </c>
      <c r="AJ4" s="10" t="s">
        <v>176</v>
      </c>
      <c r="AK4" s="27" t="s">
        <v>54</v>
      </c>
      <c r="AL4" s="14"/>
      <c r="AM4" s="14" t="s">
        <v>41</v>
      </c>
      <c r="AN4" s="20" t="s">
        <v>42</v>
      </c>
      <c r="AO4" s="14" t="s">
        <v>59</v>
      </c>
      <c r="AP4" s="19"/>
      <c r="AQ4" s="26">
        <f>Z4</f>
        <v>0</v>
      </c>
      <c r="AR4" s="28">
        <v>0</v>
      </c>
      <c r="AS4" s="13">
        <f t="shared" si="6"/>
        <v>0</v>
      </c>
      <c r="AT4" s="29" t="e">
        <f t="shared" si="7"/>
        <v>#DIV/0!</v>
      </c>
      <c r="AU4" s="14" t="s">
        <v>59</v>
      </c>
    </row>
    <row r="5" spans="1:48" x14ac:dyDescent="0.25">
      <c r="A5" s="90">
        <v>45630</v>
      </c>
      <c r="B5" s="6" t="s">
        <v>58</v>
      </c>
      <c r="C5" s="6" t="str">
        <f t="shared" si="0"/>
        <v>Dec</v>
      </c>
      <c r="D5" s="39">
        <f t="shared" si="1"/>
        <v>2024</v>
      </c>
      <c r="E5" s="6">
        <v>4</v>
      </c>
      <c r="F5" s="6">
        <v>245672856</v>
      </c>
      <c r="G5" s="6" t="s">
        <v>69</v>
      </c>
      <c r="H5" s="21" t="s">
        <v>70</v>
      </c>
      <c r="I5" s="7" t="s">
        <v>52</v>
      </c>
      <c r="J5" s="7" t="s">
        <v>71</v>
      </c>
      <c r="K5" s="7"/>
      <c r="L5" s="8">
        <v>0</v>
      </c>
      <c r="M5" s="8">
        <f>VLOOKUP(Table1[[#This Row],[BL NO.]],'BL NCs'!$E$3:$K$78,7,0)</f>
        <v>0</v>
      </c>
      <c r="N5" s="8">
        <v>0</v>
      </c>
      <c r="O5" s="130" t="s">
        <v>312</v>
      </c>
      <c r="P5" s="9">
        <v>0</v>
      </c>
      <c r="Q5" s="9">
        <v>0</v>
      </c>
      <c r="R5" s="9">
        <f>Table1[[#This Row],[Torn QTY]]-Table1[[#This Row],[loss]]</f>
        <v>0</v>
      </c>
      <c r="S5" s="7" t="s">
        <v>67</v>
      </c>
      <c r="T5" s="7" t="s">
        <v>200</v>
      </c>
      <c r="U5" s="7" t="s">
        <v>418</v>
      </c>
      <c r="V5" s="7" t="s">
        <v>49</v>
      </c>
      <c r="W5" s="10" t="s">
        <v>81</v>
      </c>
      <c r="X5" s="24" t="s">
        <v>74</v>
      </c>
      <c r="Y5" s="11">
        <v>0</v>
      </c>
      <c r="Z5" s="11">
        <f t="shared" si="2"/>
        <v>0</v>
      </c>
      <c r="AA5" s="12">
        <v>0</v>
      </c>
      <c r="AB5" s="12">
        <f t="shared" si="3"/>
        <v>0</v>
      </c>
      <c r="AC5" s="19">
        <v>0</v>
      </c>
      <c r="AD5" s="12">
        <f t="shared" si="4"/>
        <v>0</v>
      </c>
      <c r="AE5" s="11">
        <f t="shared" si="5"/>
        <v>0</v>
      </c>
      <c r="AF5" s="23">
        <v>0</v>
      </c>
      <c r="AG5" s="10" t="s">
        <v>208</v>
      </c>
      <c r="AH5" s="25" t="s">
        <v>45</v>
      </c>
      <c r="AI5" s="27" t="s">
        <v>64</v>
      </c>
      <c r="AJ5" s="10" t="s">
        <v>176</v>
      </c>
      <c r="AK5" s="27" t="s">
        <v>54</v>
      </c>
      <c r="AL5" s="14"/>
      <c r="AM5" s="14" t="s">
        <v>41</v>
      </c>
      <c r="AN5" s="20" t="s">
        <v>42</v>
      </c>
      <c r="AO5" s="14" t="s">
        <v>59</v>
      </c>
      <c r="AP5" s="19"/>
      <c r="AQ5" s="26">
        <f>Z5</f>
        <v>0</v>
      </c>
      <c r="AR5" s="28">
        <v>0</v>
      </c>
      <c r="AS5" s="13">
        <f t="shared" si="6"/>
        <v>0</v>
      </c>
      <c r="AT5" s="29" t="e">
        <f t="shared" si="7"/>
        <v>#DIV/0!</v>
      </c>
      <c r="AU5" s="14" t="s">
        <v>59</v>
      </c>
    </row>
    <row r="6" spans="1:48" x14ac:dyDescent="0.25">
      <c r="A6" s="89">
        <v>45630</v>
      </c>
      <c r="B6" s="6" t="s">
        <v>58</v>
      </c>
      <c r="C6" s="6" t="str">
        <f t="shared" si="0"/>
        <v>Dec</v>
      </c>
      <c r="D6" s="39">
        <f t="shared" si="1"/>
        <v>2024</v>
      </c>
      <c r="E6" s="6">
        <v>4</v>
      </c>
      <c r="F6" s="6">
        <v>245672856</v>
      </c>
      <c r="G6" s="6" t="s">
        <v>69</v>
      </c>
      <c r="H6" s="21" t="s">
        <v>70</v>
      </c>
      <c r="I6" s="7" t="s">
        <v>52</v>
      </c>
      <c r="J6" s="7" t="s">
        <v>71</v>
      </c>
      <c r="K6" s="7"/>
      <c r="L6" s="8">
        <v>21</v>
      </c>
      <c r="M6" s="8">
        <v>21</v>
      </c>
      <c r="N6" s="8">
        <v>0</v>
      </c>
      <c r="O6" s="130" t="s">
        <v>314</v>
      </c>
      <c r="P6" s="9">
        <v>0</v>
      </c>
      <c r="Q6" s="9">
        <v>0</v>
      </c>
      <c r="R6" s="9">
        <f>Table1[[#This Row],[Torn QTY]]-Table1[[#This Row],[loss]]</f>
        <v>0</v>
      </c>
      <c r="S6" s="7" t="s">
        <v>67</v>
      </c>
      <c r="T6" s="7" t="s">
        <v>200</v>
      </c>
      <c r="U6" s="7" t="s">
        <v>418</v>
      </c>
      <c r="V6" s="7" t="s">
        <v>49</v>
      </c>
      <c r="W6" s="10" t="s">
        <v>82</v>
      </c>
      <c r="X6" s="24" t="s">
        <v>83</v>
      </c>
      <c r="Y6" s="11">
        <v>20.68</v>
      </c>
      <c r="Z6" s="11">
        <f t="shared" si="2"/>
        <v>434.28</v>
      </c>
      <c r="AA6" s="12">
        <f>Y6*AF6</f>
        <v>48598</v>
      </c>
      <c r="AB6" s="12">
        <f t="shared" si="3"/>
        <v>1020558</v>
      </c>
      <c r="AC6" s="19">
        <v>47408.368390000003</v>
      </c>
      <c r="AD6" s="12">
        <f t="shared" si="4"/>
        <v>995575.73619000008</v>
      </c>
      <c r="AE6" s="11">
        <f t="shared" si="5"/>
        <v>434.28</v>
      </c>
      <c r="AF6" s="23">
        <v>2350</v>
      </c>
      <c r="AG6" s="10" t="s">
        <v>39</v>
      </c>
      <c r="AH6" s="25" t="s">
        <v>40</v>
      </c>
      <c r="AI6" s="27" t="s">
        <v>64</v>
      </c>
      <c r="AJ6" s="10" t="s">
        <v>176</v>
      </c>
      <c r="AK6" s="27" t="s">
        <v>54</v>
      </c>
      <c r="AL6" s="14"/>
      <c r="AM6" s="14" t="s">
        <v>41</v>
      </c>
      <c r="AN6" s="20" t="s">
        <v>42</v>
      </c>
      <c r="AO6" s="14" t="s">
        <v>57</v>
      </c>
      <c r="AP6" s="19"/>
      <c r="AQ6" s="26">
        <v>434.28</v>
      </c>
      <c r="AR6" s="28">
        <v>434.28</v>
      </c>
      <c r="AS6" s="13">
        <f t="shared" si="6"/>
        <v>0</v>
      </c>
      <c r="AT6" s="29">
        <f t="shared" si="7"/>
        <v>0</v>
      </c>
      <c r="AU6" s="14" t="s">
        <v>173</v>
      </c>
    </row>
    <row r="7" spans="1:48" x14ac:dyDescent="0.25">
      <c r="A7" s="90">
        <v>45636</v>
      </c>
      <c r="B7" s="6" t="s">
        <v>58</v>
      </c>
      <c r="C7" s="6" t="str">
        <f t="shared" si="0"/>
        <v>Dec</v>
      </c>
      <c r="D7" s="39">
        <f t="shared" si="1"/>
        <v>2024</v>
      </c>
      <c r="E7" s="6">
        <v>5</v>
      </c>
      <c r="F7" s="6" t="s">
        <v>213</v>
      </c>
      <c r="G7" s="6" t="s">
        <v>69</v>
      </c>
      <c r="H7" s="21" t="s">
        <v>70</v>
      </c>
      <c r="I7" s="7" t="s">
        <v>75</v>
      </c>
      <c r="J7" s="7" t="s">
        <v>160</v>
      </c>
      <c r="K7" s="21"/>
      <c r="L7" s="8">
        <v>25</v>
      </c>
      <c r="M7" s="8">
        <f>VLOOKUP(Table1[[#This Row],[BL NO.]],'BL NCs'!$E$3:$K$78,7,0)</f>
        <v>25</v>
      </c>
      <c r="N7" s="18">
        <v>0</v>
      </c>
      <c r="O7" s="131" t="s">
        <v>314</v>
      </c>
      <c r="P7" s="9">
        <v>0</v>
      </c>
      <c r="Q7" s="9">
        <v>0</v>
      </c>
      <c r="R7" s="9">
        <f>Table1[[#This Row],[Torn QTY]]-Table1[[#This Row],[loss]]</f>
        <v>0</v>
      </c>
      <c r="S7" s="7" t="s">
        <v>67</v>
      </c>
      <c r="T7" s="7" t="s">
        <v>200</v>
      </c>
      <c r="U7" s="7" t="s">
        <v>418</v>
      </c>
      <c r="V7" s="7" t="s">
        <v>49</v>
      </c>
      <c r="W7" s="10" t="s">
        <v>84</v>
      </c>
      <c r="X7" s="24" t="s">
        <v>83</v>
      </c>
      <c r="Y7" s="11">
        <v>13.327961702127659</v>
      </c>
      <c r="Z7" s="11">
        <f t="shared" si="2"/>
        <v>333.19904255319148</v>
      </c>
      <c r="AA7" s="12">
        <v>31320.71</v>
      </c>
      <c r="AB7" s="12">
        <f t="shared" si="3"/>
        <v>783017.75</v>
      </c>
      <c r="AC7" s="19">
        <v>29520.555400000001</v>
      </c>
      <c r="AD7" s="12">
        <f t="shared" si="4"/>
        <v>738013.88500000001</v>
      </c>
      <c r="AE7" s="11">
        <f t="shared" si="5"/>
        <v>0</v>
      </c>
      <c r="AF7" s="23">
        <v>2350</v>
      </c>
      <c r="AG7" s="10" t="s">
        <v>206</v>
      </c>
      <c r="AH7" s="25" t="s">
        <v>40</v>
      </c>
      <c r="AI7" s="27" t="s">
        <v>78</v>
      </c>
      <c r="AJ7" s="10" t="s">
        <v>176</v>
      </c>
      <c r="AK7" s="27" t="s">
        <v>54</v>
      </c>
      <c r="AL7" s="14"/>
      <c r="AM7" s="14" t="s">
        <v>41</v>
      </c>
      <c r="AN7" s="20" t="s">
        <v>42</v>
      </c>
      <c r="AO7" s="14" t="s">
        <v>419</v>
      </c>
      <c r="AP7" s="19"/>
      <c r="AQ7" s="26">
        <f t="shared" ref="AQ7:AQ44" si="8">Z7</f>
        <v>333.19904255319148</v>
      </c>
      <c r="AR7" s="28">
        <v>0</v>
      </c>
      <c r="AS7" s="13">
        <f t="shared" si="6"/>
        <v>333.19904255319148</v>
      </c>
      <c r="AT7" s="29">
        <f t="shared" si="7"/>
        <v>1</v>
      </c>
      <c r="AU7" s="14" t="s">
        <v>420</v>
      </c>
    </row>
    <row r="8" spans="1:48" x14ac:dyDescent="0.25">
      <c r="A8" s="90">
        <v>45682</v>
      </c>
      <c r="B8" s="6" t="s">
        <v>58</v>
      </c>
      <c r="C8" s="6" t="str">
        <f t="shared" si="0"/>
        <v>Jan</v>
      </c>
      <c r="D8" s="39">
        <f t="shared" si="1"/>
        <v>2025</v>
      </c>
      <c r="E8" s="6">
        <v>6</v>
      </c>
      <c r="F8" s="6">
        <v>247070297</v>
      </c>
      <c r="G8" s="6" t="s">
        <v>69</v>
      </c>
      <c r="H8" s="21" t="s">
        <v>46</v>
      </c>
      <c r="I8" s="7" t="s">
        <v>52</v>
      </c>
      <c r="J8" s="7" t="s">
        <v>71</v>
      </c>
      <c r="K8" s="7"/>
      <c r="L8" s="8">
        <v>45</v>
      </c>
      <c r="M8" s="8">
        <f>VLOOKUP(Table1[[#This Row],[BL NO.]],'BL NCs'!$E$3:$K$78,7,0)</f>
        <v>45</v>
      </c>
      <c r="N8" s="8">
        <v>0</v>
      </c>
      <c r="O8" s="130" t="s">
        <v>301</v>
      </c>
      <c r="P8" s="9">
        <v>0</v>
      </c>
      <c r="Q8" s="9">
        <v>0</v>
      </c>
      <c r="R8" s="9">
        <f>Table1[[#This Row],[Torn QTY]]-Table1[[#This Row],[loss]]</f>
        <v>0</v>
      </c>
      <c r="S8" s="7" t="s">
        <v>67</v>
      </c>
      <c r="T8" s="7" t="s">
        <v>200</v>
      </c>
      <c r="U8" s="7" t="s">
        <v>418</v>
      </c>
      <c r="V8" s="7" t="s">
        <v>49</v>
      </c>
      <c r="W8" s="10" t="s">
        <v>86</v>
      </c>
      <c r="X8" s="24" t="s">
        <v>83</v>
      </c>
      <c r="Y8" s="11">
        <v>20.135917442738485</v>
      </c>
      <c r="Z8" s="11">
        <f t="shared" si="2"/>
        <v>906.11628492323177</v>
      </c>
      <c r="AA8" s="12">
        <v>52000</v>
      </c>
      <c r="AB8" s="12">
        <f t="shared" si="3"/>
        <v>2340000</v>
      </c>
      <c r="AC8" s="19">
        <v>48417.057079999999</v>
      </c>
      <c r="AD8" s="12">
        <f t="shared" si="4"/>
        <v>2178767.5685999999</v>
      </c>
      <c r="AE8" s="11">
        <f t="shared" si="5"/>
        <v>0</v>
      </c>
      <c r="AF8" s="23">
        <v>2582.4499999999998</v>
      </c>
      <c r="AG8" s="10" t="s">
        <v>50</v>
      </c>
      <c r="AH8" s="25" t="s">
        <v>40</v>
      </c>
      <c r="AI8" s="27" t="s">
        <v>64</v>
      </c>
      <c r="AJ8" s="10" t="s">
        <v>176</v>
      </c>
      <c r="AK8" s="27" t="s">
        <v>54</v>
      </c>
      <c r="AL8" s="14"/>
      <c r="AM8" s="14" t="s">
        <v>50</v>
      </c>
      <c r="AN8" s="20" t="s">
        <v>50</v>
      </c>
      <c r="AO8" s="14" t="s">
        <v>207</v>
      </c>
      <c r="AP8" s="19"/>
      <c r="AQ8" s="26">
        <f t="shared" si="8"/>
        <v>906.11628492323177</v>
      </c>
      <c r="AR8" s="28">
        <v>0</v>
      </c>
      <c r="AS8" s="13">
        <f t="shared" si="6"/>
        <v>906.11628492323177</v>
      </c>
      <c r="AT8" s="29">
        <f t="shared" si="7"/>
        <v>1</v>
      </c>
      <c r="AU8" s="14" t="s">
        <v>55</v>
      </c>
    </row>
    <row r="9" spans="1:48" x14ac:dyDescent="0.25">
      <c r="A9" s="90">
        <v>45701</v>
      </c>
      <c r="B9" s="6" t="s">
        <v>58</v>
      </c>
      <c r="C9" s="6" t="str">
        <f t="shared" si="0"/>
        <v>Feb</v>
      </c>
      <c r="D9" s="39">
        <f t="shared" si="1"/>
        <v>2025</v>
      </c>
      <c r="E9" s="6">
        <v>7</v>
      </c>
      <c r="F9" s="6">
        <v>248620904</v>
      </c>
      <c r="G9" s="6" t="s">
        <v>69</v>
      </c>
      <c r="H9" s="21" t="s">
        <v>70</v>
      </c>
      <c r="I9" s="7" t="s">
        <v>52</v>
      </c>
      <c r="J9" s="7" t="s">
        <v>71</v>
      </c>
      <c r="K9" s="7"/>
      <c r="L9" s="8">
        <v>54</v>
      </c>
      <c r="M9" s="8">
        <f>VLOOKUP(Table1[[#This Row],[BL NO.]],'BL NCs'!$E$3:$K$78,7,0)</f>
        <v>54</v>
      </c>
      <c r="N9" s="8">
        <v>0</v>
      </c>
      <c r="O9" s="130" t="s">
        <v>301</v>
      </c>
      <c r="P9" s="9">
        <v>0</v>
      </c>
      <c r="Q9" s="9">
        <v>0</v>
      </c>
      <c r="R9" s="9">
        <f>Table1[[#This Row],[Torn QTY]]-Table1[[#This Row],[loss]]</f>
        <v>0</v>
      </c>
      <c r="S9" s="7" t="s">
        <v>67</v>
      </c>
      <c r="T9" s="7" t="s">
        <v>200</v>
      </c>
      <c r="U9" s="7" t="s">
        <v>418</v>
      </c>
      <c r="V9" s="7" t="s">
        <v>49</v>
      </c>
      <c r="W9" s="10" t="s">
        <v>462</v>
      </c>
      <c r="X9" s="24" t="s">
        <v>83</v>
      </c>
      <c r="Y9" s="11">
        <v>20.02</v>
      </c>
      <c r="Z9" s="11">
        <f t="shared" si="2"/>
        <v>1081.08</v>
      </c>
      <c r="AA9" s="12">
        <v>51700.648999999998</v>
      </c>
      <c r="AB9" s="12">
        <f t="shared" si="3"/>
        <v>2791835.0460000001</v>
      </c>
      <c r="AC9" s="19">
        <v>52451.811829999999</v>
      </c>
      <c r="AD9" s="12">
        <f t="shared" si="4"/>
        <v>2832397.8388199997</v>
      </c>
      <c r="AE9" s="11">
        <f t="shared" si="5"/>
        <v>1081.08</v>
      </c>
      <c r="AF9" s="23">
        <v>2582.4499999999998</v>
      </c>
      <c r="AG9" s="10" t="s">
        <v>39</v>
      </c>
      <c r="AH9" s="25" t="s">
        <v>40</v>
      </c>
      <c r="AI9" s="27" t="s">
        <v>64</v>
      </c>
      <c r="AJ9" s="10" t="s">
        <v>176</v>
      </c>
      <c r="AK9" s="27" t="s">
        <v>54</v>
      </c>
      <c r="AL9" s="14"/>
      <c r="AM9" s="14" t="s">
        <v>41</v>
      </c>
      <c r="AN9" s="20" t="s">
        <v>42</v>
      </c>
      <c r="AO9" s="14" t="s">
        <v>57</v>
      </c>
      <c r="AP9" s="19"/>
      <c r="AQ9" s="26">
        <f t="shared" si="8"/>
        <v>1081.08</v>
      </c>
      <c r="AR9" s="28">
        <v>1081.08</v>
      </c>
      <c r="AS9" s="13">
        <f t="shared" si="6"/>
        <v>0</v>
      </c>
      <c r="AT9" s="29">
        <f t="shared" si="7"/>
        <v>0</v>
      </c>
      <c r="AU9" s="14" t="s">
        <v>173</v>
      </c>
    </row>
    <row r="10" spans="1:48" x14ac:dyDescent="0.25">
      <c r="A10" s="90">
        <v>45703</v>
      </c>
      <c r="B10" s="6" t="s">
        <v>58</v>
      </c>
      <c r="C10" s="6" t="str">
        <f t="shared" si="0"/>
        <v>Feb</v>
      </c>
      <c r="D10" s="39">
        <f t="shared" si="1"/>
        <v>2025</v>
      </c>
      <c r="E10" s="6">
        <v>8</v>
      </c>
      <c r="F10" s="6">
        <v>248619667</v>
      </c>
      <c r="G10" s="6" t="s">
        <v>69</v>
      </c>
      <c r="H10" s="21" t="s">
        <v>70</v>
      </c>
      <c r="I10" s="7" t="s">
        <v>52</v>
      </c>
      <c r="J10" s="7" t="s">
        <v>71</v>
      </c>
      <c r="K10" s="7"/>
      <c r="L10" s="8">
        <v>107</v>
      </c>
      <c r="M10" s="8">
        <f>VLOOKUP(Table1[[#This Row],[BL NO.]],'BL NCs'!$E$3:$K$78,7,0)</f>
        <v>107</v>
      </c>
      <c r="N10" s="8">
        <v>0</v>
      </c>
      <c r="O10" s="130" t="s">
        <v>301</v>
      </c>
      <c r="P10" s="9">
        <v>0</v>
      </c>
      <c r="Q10" s="9">
        <v>0</v>
      </c>
      <c r="R10" s="9">
        <f>Table1[[#This Row],[Torn QTY]]-Table1[[#This Row],[loss]]</f>
        <v>0</v>
      </c>
      <c r="S10" s="7" t="s">
        <v>67</v>
      </c>
      <c r="T10" s="7" t="s">
        <v>200</v>
      </c>
      <c r="U10" s="7" t="s">
        <v>418</v>
      </c>
      <c r="V10" s="7" t="s">
        <v>49</v>
      </c>
      <c r="W10" s="10" t="s">
        <v>461</v>
      </c>
      <c r="X10" s="24" t="s">
        <v>83</v>
      </c>
      <c r="Y10" s="11">
        <v>20.02</v>
      </c>
      <c r="Z10" s="11">
        <f t="shared" si="2"/>
        <v>2142.14</v>
      </c>
      <c r="AA10" s="12">
        <v>51700.648999999998</v>
      </c>
      <c r="AB10" s="12">
        <f t="shared" si="3"/>
        <v>5531969.443</v>
      </c>
      <c r="AC10" s="19">
        <v>52451.811829999999</v>
      </c>
      <c r="AD10" s="12">
        <f t="shared" si="4"/>
        <v>5612343.8658099994</v>
      </c>
      <c r="AE10" s="11">
        <f t="shared" si="5"/>
        <v>2142.14</v>
      </c>
      <c r="AF10" s="23">
        <v>2582.4499999999998</v>
      </c>
      <c r="AG10" s="10" t="s">
        <v>39</v>
      </c>
      <c r="AH10" s="25" t="s">
        <v>40</v>
      </c>
      <c r="AI10" s="27" t="s">
        <v>64</v>
      </c>
      <c r="AJ10" s="10" t="s">
        <v>176</v>
      </c>
      <c r="AK10" s="27" t="s">
        <v>54</v>
      </c>
      <c r="AL10" s="14"/>
      <c r="AM10" s="14" t="s">
        <v>41</v>
      </c>
      <c r="AN10" s="20" t="s">
        <v>42</v>
      </c>
      <c r="AO10" s="14" t="s">
        <v>57</v>
      </c>
      <c r="AP10" s="19"/>
      <c r="AQ10" s="26">
        <f t="shared" si="8"/>
        <v>2142.14</v>
      </c>
      <c r="AR10" s="28">
        <v>2142.14</v>
      </c>
      <c r="AS10" s="13">
        <f t="shared" si="6"/>
        <v>0</v>
      </c>
      <c r="AT10" s="29">
        <f t="shared" si="7"/>
        <v>0</v>
      </c>
      <c r="AU10" s="14" t="s">
        <v>173</v>
      </c>
    </row>
    <row r="11" spans="1:48" x14ac:dyDescent="0.25">
      <c r="A11" s="89">
        <v>45713</v>
      </c>
      <c r="B11" s="6" t="s">
        <v>58</v>
      </c>
      <c r="C11" s="6" t="str">
        <f t="shared" si="0"/>
        <v>Feb</v>
      </c>
      <c r="D11" s="39">
        <f t="shared" si="1"/>
        <v>2025</v>
      </c>
      <c r="E11" s="6">
        <v>9</v>
      </c>
      <c r="F11" s="6">
        <v>248620255</v>
      </c>
      <c r="G11" s="6" t="s">
        <v>69</v>
      </c>
      <c r="H11" s="21" t="s">
        <v>70</v>
      </c>
      <c r="I11" s="7" t="s">
        <v>52</v>
      </c>
      <c r="J11" s="7" t="s">
        <v>71</v>
      </c>
      <c r="K11" s="7"/>
      <c r="L11" s="8">
        <v>55</v>
      </c>
      <c r="M11" s="8">
        <f>VLOOKUP(Table1[[#This Row],[BL NO.]],'BL NCs'!$E$3:$K$78,7,0)</f>
        <v>55</v>
      </c>
      <c r="N11" s="8">
        <v>0</v>
      </c>
      <c r="O11" s="130" t="s">
        <v>301</v>
      </c>
      <c r="P11" s="9">
        <v>0</v>
      </c>
      <c r="Q11" s="9">
        <v>0</v>
      </c>
      <c r="R11" s="9">
        <f>Table1[[#This Row],[Torn QTY]]-Table1[[#This Row],[loss]]</f>
        <v>0</v>
      </c>
      <c r="S11" s="7" t="s">
        <v>67</v>
      </c>
      <c r="T11" s="7" t="s">
        <v>200</v>
      </c>
      <c r="U11" s="7" t="s">
        <v>418</v>
      </c>
      <c r="V11" s="7" t="s">
        <v>49</v>
      </c>
      <c r="W11" s="10" t="s">
        <v>459</v>
      </c>
      <c r="X11" s="24" t="s">
        <v>83</v>
      </c>
      <c r="Y11" s="11">
        <f>Z11/M11</f>
        <v>20.02</v>
      </c>
      <c r="Z11" s="11">
        <v>1101.0999999999999</v>
      </c>
      <c r="AA11" s="12">
        <v>51700.648999999998</v>
      </c>
      <c r="AB11" s="12">
        <f t="shared" si="3"/>
        <v>2843535.6949999998</v>
      </c>
      <c r="AC11" s="19">
        <v>52451.811829999999</v>
      </c>
      <c r="AD11" s="12">
        <f t="shared" si="4"/>
        <v>2884849.6506499997</v>
      </c>
      <c r="AE11" s="11">
        <f t="shared" si="5"/>
        <v>1101.0999999999999</v>
      </c>
      <c r="AF11" s="23">
        <v>2582.4499999999998</v>
      </c>
      <c r="AG11" s="10" t="s">
        <v>39</v>
      </c>
      <c r="AH11" s="25" t="s">
        <v>40</v>
      </c>
      <c r="AI11" s="27" t="s">
        <v>64</v>
      </c>
      <c r="AJ11" s="10" t="s">
        <v>176</v>
      </c>
      <c r="AK11" s="27" t="s">
        <v>54</v>
      </c>
      <c r="AL11" s="14"/>
      <c r="AM11" s="14" t="s">
        <v>41</v>
      </c>
      <c r="AN11" s="20" t="s">
        <v>42</v>
      </c>
      <c r="AO11" s="14" t="s">
        <v>57</v>
      </c>
      <c r="AP11" s="19"/>
      <c r="AQ11" s="26">
        <f t="shared" si="8"/>
        <v>1101.0999999999999</v>
      </c>
      <c r="AR11" s="28">
        <v>1101.0999999999999</v>
      </c>
      <c r="AS11" s="13">
        <f t="shared" si="6"/>
        <v>0</v>
      </c>
      <c r="AT11" s="29">
        <f t="shared" ref="AT11:AT66" si="9">(AR11/AQ11-1)*-1</f>
        <v>0</v>
      </c>
      <c r="AU11" s="14" t="s">
        <v>173</v>
      </c>
    </row>
    <row r="12" spans="1:48" x14ac:dyDescent="0.25">
      <c r="A12" s="89">
        <v>45714</v>
      </c>
      <c r="B12" s="6" t="s">
        <v>58</v>
      </c>
      <c r="C12" s="6" t="str">
        <f t="shared" si="0"/>
        <v>Feb</v>
      </c>
      <c r="D12" s="39">
        <f t="shared" si="1"/>
        <v>2025</v>
      </c>
      <c r="E12" s="6">
        <v>10</v>
      </c>
      <c r="F12" s="6">
        <v>248621429</v>
      </c>
      <c r="G12" s="6" t="s">
        <v>69</v>
      </c>
      <c r="H12" s="21" t="s">
        <v>70</v>
      </c>
      <c r="I12" s="7" t="s">
        <v>52</v>
      </c>
      <c r="J12" s="7" t="s">
        <v>71</v>
      </c>
      <c r="K12" s="7"/>
      <c r="L12" s="8">
        <v>30</v>
      </c>
      <c r="M12" s="8">
        <f>VLOOKUP(Table1[[#This Row],[BL NO.]],'BL NCs'!$E$3:$K$78,7,0)</f>
        <v>30</v>
      </c>
      <c r="N12" s="8">
        <v>0</v>
      </c>
      <c r="O12" s="130" t="s">
        <v>301</v>
      </c>
      <c r="P12" s="9">
        <v>0</v>
      </c>
      <c r="Q12" s="9">
        <v>0</v>
      </c>
      <c r="R12" s="9">
        <f>Table1[[#This Row],[Torn QTY]]-Table1[[#This Row],[loss]]</f>
        <v>0</v>
      </c>
      <c r="S12" s="7" t="s">
        <v>67</v>
      </c>
      <c r="T12" s="7" t="s">
        <v>200</v>
      </c>
      <c r="U12" s="7" t="s">
        <v>418</v>
      </c>
      <c r="V12" s="7" t="s">
        <v>49</v>
      </c>
      <c r="W12" s="10" t="s">
        <v>463</v>
      </c>
      <c r="X12" s="24" t="s">
        <v>83</v>
      </c>
      <c r="Y12" s="11">
        <f>Z12/M12</f>
        <v>20</v>
      </c>
      <c r="Z12" s="11">
        <v>600</v>
      </c>
      <c r="AA12" s="12">
        <f>Y12*AF12</f>
        <v>51649</v>
      </c>
      <c r="AB12" s="12">
        <f>AA12*M12</f>
        <v>1549470</v>
      </c>
      <c r="AC12" s="19">
        <v>52451.811829999999</v>
      </c>
      <c r="AD12" s="12">
        <f>AC12*M12</f>
        <v>1573554.3548999999</v>
      </c>
      <c r="AE12" s="11">
        <f t="shared" si="5"/>
        <v>600</v>
      </c>
      <c r="AF12" s="23">
        <v>2582.4499999999998</v>
      </c>
      <c r="AG12" s="10" t="s">
        <v>39</v>
      </c>
      <c r="AH12" s="25" t="s">
        <v>40</v>
      </c>
      <c r="AI12" s="27" t="s">
        <v>64</v>
      </c>
      <c r="AJ12" s="10" t="s">
        <v>176</v>
      </c>
      <c r="AK12" s="27" t="s">
        <v>54</v>
      </c>
      <c r="AL12" s="14"/>
      <c r="AM12" s="14" t="s">
        <v>41</v>
      </c>
      <c r="AN12" s="20" t="s">
        <v>42</v>
      </c>
      <c r="AO12" s="14" t="s">
        <v>57</v>
      </c>
      <c r="AP12" s="19"/>
      <c r="AQ12" s="26">
        <f t="shared" si="8"/>
        <v>600</v>
      </c>
      <c r="AR12" s="28">
        <v>600</v>
      </c>
      <c r="AS12" s="13">
        <f t="shared" si="6"/>
        <v>0</v>
      </c>
      <c r="AT12" s="29">
        <f t="shared" si="9"/>
        <v>0</v>
      </c>
      <c r="AU12" s="14" t="s">
        <v>173</v>
      </c>
    </row>
    <row r="13" spans="1:48" x14ac:dyDescent="0.25">
      <c r="A13" s="89">
        <v>45722</v>
      </c>
      <c r="B13" s="6" t="s">
        <v>58</v>
      </c>
      <c r="C13" s="6" t="str">
        <f t="shared" si="0"/>
        <v>Mar</v>
      </c>
      <c r="D13" s="39">
        <f t="shared" si="1"/>
        <v>2025</v>
      </c>
      <c r="E13" s="6">
        <v>11</v>
      </c>
      <c r="F13" s="6">
        <v>248622146</v>
      </c>
      <c r="G13" s="6" t="s">
        <v>66</v>
      </c>
      <c r="H13" s="21" t="s">
        <v>46</v>
      </c>
      <c r="I13" s="7" t="s">
        <v>52</v>
      </c>
      <c r="J13" s="7" t="s">
        <v>71</v>
      </c>
      <c r="K13" s="7"/>
      <c r="L13" s="8">
        <v>62</v>
      </c>
      <c r="M13" s="8">
        <f>VLOOKUP(Table1[[#This Row],[BL NO.]],'BL NCs'!$E$3:$K$78,7,0)</f>
        <v>62</v>
      </c>
      <c r="N13" s="9"/>
      <c r="O13" s="132" t="s">
        <v>301</v>
      </c>
      <c r="P13" s="9">
        <v>0</v>
      </c>
      <c r="Q13" s="9">
        <v>0</v>
      </c>
      <c r="R13" s="9">
        <f>Table1[[#This Row],[Torn QTY]]-Table1[[#This Row],[loss]]</f>
        <v>0</v>
      </c>
      <c r="S13" s="7" t="s">
        <v>67</v>
      </c>
      <c r="T13" s="7" t="s">
        <v>200</v>
      </c>
      <c r="U13" s="7" t="s">
        <v>418</v>
      </c>
      <c r="V13" s="7" t="s">
        <v>49</v>
      </c>
      <c r="W13" s="10" t="s">
        <v>460</v>
      </c>
      <c r="X13" s="24" t="s">
        <v>83</v>
      </c>
      <c r="Y13" s="11">
        <v>20.02</v>
      </c>
      <c r="Z13" s="11">
        <f t="shared" si="2"/>
        <v>1241.24</v>
      </c>
      <c r="AA13" s="12">
        <f>Y13*AF13</f>
        <v>51200.949799999995</v>
      </c>
      <c r="AB13" s="12">
        <f t="shared" si="3"/>
        <v>3174458.8875999996</v>
      </c>
      <c r="AC13" s="19">
        <v>50018.234799999998</v>
      </c>
      <c r="AD13" s="12">
        <f t="shared" si="4"/>
        <v>3101130.5575999999</v>
      </c>
      <c r="AE13" s="11">
        <f t="shared" si="5"/>
        <v>1241.24</v>
      </c>
      <c r="AF13" s="23">
        <v>2557.4899999999998</v>
      </c>
      <c r="AG13" s="10" t="s">
        <v>39</v>
      </c>
      <c r="AH13" s="25" t="s">
        <v>40</v>
      </c>
      <c r="AI13" s="27" t="s">
        <v>64</v>
      </c>
      <c r="AJ13" s="10" t="s">
        <v>176</v>
      </c>
      <c r="AK13" s="27" t="s">
        <v>54</v>
      </c>
      <c r="AL13" s="14"/>
      <c r="AM13" s="14" t="s">
        <v>41</v>
      </c>
      <c r="AN13" s="20" t="s">
        <v>42</v>
      </c>
      <c r="AO13" s="14" t="s">
        <v>57</v>
      </c>
      <c r="AP13" s="19"/>
      <c r="AQ13" s="26">
        <f t="shared" si="8"/>
        <v>1241.24</v>
      </c>
      <c r="AR13" s="28">
        <v>1241.24</v>
      </c>
      <c r="AS13" s="13">
        <f t="shared" si="6"/>
        <v>0</v>
      </c>
      <c r="AT13" s="29">
        <f t="shared" si="9"/>
        <v>0</v>
      </c>
      <c r="AU13" s="14" t="s">
        <v>173</v>
      </c>
    </row>
    <row r="14" spans="1:48" x14ac:dyDescent="0.25">
      <c r="A14" s="90">
        <v>45745</v>
      </c>
      <c r="B14" s="6" t="s">
        <v>58</v>
      </c>
      <c r="C14" s="6" t="str">
        <f t="shared" si="0"/>
        <v>Mar</v>
      </c>
      <c r="D14" s="39">
        <f t="shared" si="1"/>
        <v>2025</v>
      </c>
      <c r="E14" s="6">
        <v>12</v>
      </c>
      <c r="F14" s="6">
        <v>248623021</v>
      </c>
      <c r="G14" s="6" t="s">
        <v>66</v>
      </c>
      <c r="H14" s="21" t="s">
        <v>46</v>
      </c>
      <c r="I14" s="7" t="s">
        <v>52</v>
      </c>
      <c r="J14" s="7" t="s">
        <v>71</v>
      </c>
      <c r="K14" s="7"/>
      <c r="L14" s="8">
        <v>54</v>
      </c>
      <c r="M14" s="8">
        <f>VLOOKUP(Table1[[#This Row],[BL NO.]],'BL NCs'!$E$3:$K$78,7,0)</f>
        <v>54</v>
      </c>
      <c r="N14" s="9"/>
      <c r="O14" s="132" t="s">
        <v>301</v>
      </c>
      <c r="P14" s="9">
        <v>0</v>
      </c>
      <c r="Q14" s="9">
        <v>0</v>
      </c>
      <c r="R14" s="9">
        <f>Table1[[#This Row],[Torn QTY]]-Table1[[#This Row],[loss]]</f>
        <v>0</v>
      </c>
      <c r="S14" s="7" t="s">
        <v>67</v>
      </c>
      <c r="T14" s="7" t="s">
        <v>200</v>
      </c>
      <c r="U14" s="7" t="s">
        <v>418</v>
      </c>
      <c r="V14" s="7" t="s">
        <v>49</v>
      </c>
      <c r="W14" s="10" t="s">
        <v>436</v>
      </c>
      <c r="X14" s="24" t="s">
        <v>83</v>
      </c>
      <c r="Y14" s="11">
        <v>20.98</v>
      </c>
      <c r="Z14" s="11">
        <v>1132.92</v>
      </c>
      <c r="AA14" s="12">
        <v>53500</v>
      </c>
      <c r="AB14" s="12">
        <v>2889000</v>
      </c>
      <c r="AC14" s="19">
        <v>50018.234799999998</v>
      </c>
      <c r="AD14" s="12">
        <v>2700984.6792000001</v>
      </c>
      <c r="AE14" s="11">
        <f t="shared" si="5"/>
        <v>0</v>
      </c>
      <c r="AF14" s="23">
        <v>2550</v>
      </c>
      <c r="AG14" s="10" t="s">
        <v>206</v>
      </c>
      <c r="AH14" s="25" t="s">
        <v>40</v>
      </c>
      <c r="AI14" s="27" t="s">
        <v>64</v>
      </c>
      <c r="AJ14" s="10" t="s">
        <v>176</v>
      </c>
      <c r="AK14" s="27" t="s">
        <v>54</v>
      </c>
      <c r="AL14" s="14"/>
      <c r="AM14" s="14" t="s">
        <v>41</v>
      </c>
      <c r="AN14" s="20" t="s">
        <v>42</v>
      </c>
      <c r="AO14" s="14" t="s">
        <v>419</v>
      </c>
      <c r="AP14" s="19"/>
      <c r="AQ14" s="26">
        <f t="shared" si="8"/>
        <v>1132.92</v>
      </c>
      <c r="AR14" s="28">
        <v>0</v>
      </c>
      <c r="AS14" s="13">
        <f t="shared" si="6"/>
        <v>1132.92</v>
      </c>
      <c r="AT14" s="29">
        <f t="shared" si="9"/>
        <v>1</v>
      </c>
      <c r="AU14" s="14" t="s">
        <v>420</v>
      </c>
    </row>
    <row r="15" spans="1:48" x14ac:dyDescent="0.25">
      <c r="A15" s="90">
        <v>45770</v>
      </c>
      <c r="B15" s="6" t="s">
        <v>58</v>
      </c>
      <c r="C15" s="6" t="str">
        <f t="shared" si="0"/>
        <v>Apr</v>
      </c>
      <c r="D15" s="39">
        <f t="shared" si="1"/>
        <v>2025</v>
      </c>
      <c r="E15" s="6">
        <v>13</v>
      </c>
      <c r="F15" s="6">
        <v>248624161</v>
      </c>
      <c r="G15" s="6" t="s">
        <v>93</v>
      </c>
      <c r="H15" s="21" t="s">
        <v>46</v>
      </c>
      <c r="I15" s="7" t="s">
        <v>52</v>
      </c>
      <c r="J15" s="7" t="s">
        <v>71</v>
      </c>
      <c r="K15" s="7"/>
      <c r="L15" s="8">
        <v>28</v>
      </c>
      <c r="M15" s="8">
        <f>VLOOKUP(Table1[[#This Row],[BL NO.]],'BL NCs'!$E$3:$K$78,7,0)</f>
        <v>28</v>
      </c>
      <c r="N15" s="9"/>
      <c r="O15" s="132" t="s">
        <v>301</v>
      </c>
      <c r="P15" s="9">
        <v>0</v>
      </c>
      <c r="Q15" s="9">
        <v>0</v>
      </c>
      <c r="R15" s="9">
        <f>Table1[[#This Row],[Torn QTY]]-Table1[[#This Row],[loss]]</f>
        <v>0</v>
      </c>
      <c r="S15" s="7" t="s">
        <v>67</v>
      </c>
      <c r="T15" s="7" t="s">
        <v>200</v>
      </c>
      <c r="U15" s="7" t="s">
        <v>418</v>
      </c>
      <c r="V15" s="7" t="s">
        <v>49</v>
      </c>
      <c r="W15" s="10" t="s">
        <v>94</v>
      </c>
      <c r="X15" s="24" t="s">
        <v>83</v>
      </c>
      <c r="Y15" s="11">
        <v>22.71</v>
      </c>
      <c r="Z15" s="11">
        <f t="shared" ref="Z15:Z22" si="10">Y15*M15</f>
        <v>635.88</v>
      </c>
      <c r="AA15" s="12">
        <v>58000</v>
      </c>
      <c r="AB15" s="12">
        <f>AA15*M15</f>
        <v>1624000</v>
      </c>
      <c r="AC15" s="19">
        <v>50018.234799999998</v>
      </c>
      <c r="AD15" s="12">
        <f t="shared" ref="AD15:AD62" si="11">AC15*M15</f>
        <v>1400510.5744</v>
      </c>
      <c r="AE15" s="11">
        <f t="shared" si="5"/>
        <v>0</v>
      </c>
      <c r="AF15" s="23">
        <v>2554.48</v>
      </c>
      <c r="AG15" s="10" t="s">
        <v>206</v>
      </c>
      <c r="AH15" s="25" t="s">
        <v>40</v>
      </c>
      <c r="AI15" s="27" t="s">
        <v>64</v>
      </c>
      <c r="AJ15" s="10" t="s">
        <v>176</v>
      </c>
      <c r="AK15" s="27" t="s">
        <v>54</v>
      </c>
      <c r="AL15" s="14"/>
      <c r="AM15" s="14" t="s">
        <v>41</v>
      </c>
      <c r="AN15" s="20" t="s">
        <v>42</v>
      </c>
      <c r="AO15" s="14" t="s">
        <v>419</v>
      </c>
      <c r="AP15" s="19"/>
      <c r="AQ15" s="26">
        <f t="shared" si="8"/>
        <v>635.88</v>
      </c>
      <c r="AR15" s="28">
        <v>0</v>
      </c>
      <c r="AS15" s="13">
        <f t="shared" si="6"/>
        <v>635.88</v>
      </c>
      <c r="AT15" s="29">
        <f t="shared" si="9"/>
        <v>1</v>
      </c>
      <c r="AU15" s="14" t="s">
        <v>420</v>
      </c>
    </row>
    <row r="16" spans="1:48" x14ac:dyDescent="0.25">
      <c r="A16" s="90">
        <v>45770</v>
      </c>
      <c r="B16" s="6" t="s">
        <v>58</v>
      </c>
      <c r="C16" s="6" t="str">
        <f t="shared" si="0"/>
        <v>Apr</v>
      </c>
      <c r="D16" s="39">
        <f t="shared" si="1"/>
        <v>2025</v>
      </c>
      <c r="E16" s="6">
        <v>14</v>
      </c>
      <c r="F16" s="6">
        <v>248623393</v>
      </c>
      <c r="G16" s="6" t="s">
        <v>93</v>
      </c>
      <c r="H16" s="21" t="s">
        <v>46</v>
      </c>
      <c r="I16" s="7" t="s">
        <v>52</v>
      </c>
      <c r="J16" s="7" t="s">
        <v>71</v>
      </c>
      <c r="K16" s="7"/>
      <c r="L16" s="8">
        <v>23</v>
      </c>
      <c r="M16" s="8">
        <f>VLOOKUP(Table1[[#This Row],[BL NO.]],'BL NCs'!$E$3:$K$78,7,0)</f>
        <v>23</v>
      </c>
      <c r="N16" s="9"/>
      <c r="O16" s="132" t="s">
        <v>301</v>
      </c>
      <c r="P16" s="9">
        <v>0</v>
      </c>
      <c r="Q16" s="9">
        <v>0</v>
      </c>
      <c r="R16" s="9">
        <f>Table1[[#This Row],[Torn QTY]]-Table1[[#This Row],[loss]]</f>
        <v>0</v>
      </c>
      <c r="S16" s="7" t="s">
        <v>67</v>
      </c>
      <c r="T16" s="7" t="s">
        <v>200</v>
      </c>
      <c r="U16" s="7" t="s">
        <v>418</v>
      </c>
      <c r="V16" s="7" t="s">
        <v>49</v>
      </c>
      <c r="W16" s="10" t="s">
        <v>424</v>
      </c>
      <c r="X16" s="24" t="s">
        <v>83</v>
      </c>
      <c r="Y16" s="11">
        <v>22.71</v>
      </c>
      <c r="Z16" s="11">
        <f t="shared" si="10"/>
        <v>522.33000000000004</v>
      </c>
      <c r="AA16" s="12">
        <v>58000</v>
      </c>
      <c r="AB16" s="12">
        <f>AA16*M16</f>
        <v>1334000</v>
      </c>
      <c r="AC16" s="19">
        <v>50018.234799999998</v>
      </c>
      <c r="AD16" s="12">
        <f t="shared" si="11"/>
        <v>1150419.4003999999</v>
      </c>
      <c r="AE16" s="11">
        <f t="shared" si="5"/>
        <v>0</v>
      </c>
      <c r="AF16" s="23">
        <v>2554.48</v>
      </c>
      <c r="AG16" s="10" t="s">
        <v>206</v>
      </c>
      <c r="AH16" s="25" t="s">
        <v>40</v>
      </c>
      <c r="AI16" s="27" t="s">
        <v>64</v>
      </c>
      <c r="AJ16" s="10" t="s">
        <v>176</v>
      </c>
      <c r="AK16" s="27" t="s">
        <v>54</v>
      </c>
      <c r="AL16" s="14"/>
      <c r="AM16" s="14" t="s">
        <v>41</v>
      </c>
      <c r="AN16" s="20" t="s">
        <v>42</v>
      </c>
      <c r="AO16" s="14" t="s">
        <v>419</v>
      </c>
      <c r="AP16" s="19"/>
      <c r="AQ16" s="26">
        <f t="shared" si="8"/>
        <v>522.33000000000004</v>
      </c>
      <c r="AR16" s="28">
        <v>0</v>
      </c>
      <c r="AS16" s="13">
        <f t="shared" si="6"/>
        <v>522.33000000000004</v>
      </c>
      <c r="AT16" s="29">
        <f t="shared" si="9"/>
        <v>1</v>
      </c>
      <c r="AU16" s="14" t="s">
        <v>420</v>
      </c>
    </row>
    <row r="17" spans="1:47" x14ac:dyDescent="0.25">
      <c r="A17" s="90">
        <v>45770</v>
      </c>
      <c r="B17" s="6" t="s">
        <v>58</v>
      </c>
      <c r="C17" s="6" t="str">
        <f t="shared" si="0"/>
        <v>Apr</v>
      </c>
      <c r="D17" s="39">
        <f t="shared" si="1"/>
        <v>2025</v>
      </c>
      <c r="E17" s="6">
        <v>15</v>
      </c>
      <c r="F17" s="6">
        <v>248623928</v>
      </c>
      <c r="G17" s="6" t="s">
        <v>93</v>
      </c>
      <c r="H17" s="21" t="s">
        <v>46</v>
      </c>
      <c r="I17" s="7" t="s">
        <v>52</v>
      </c>
      <c r="J17" s="7" t="s">
        <v>71</v>
      </c>
      <c r="K17" s="7"/>
      <c r="L17" s="8">
        <v>33</v>
      </c>
      <c r="M17" s="8">
        <f>VLOOKUP(Table1[[#This Row],[BL NO.]],'BL NCs'!$E$3:$K$78,7,0)</f>
        <v>33</v>
      </c>
      <c r="N17" s="9"/>
      <c r="O17" s="132" t="s">
        <v>325</v>
      </c>
      <c r="P17" s="9">
        <v>0</v>
      </c>
      <c r="Q17" s="9">
        <v>0</v>
      </c>
      <c r="R17" s="9">
        <f>Table1[[#This Row],[Torn QTY]]-Table1[[#This Row],[loss]]</f>
        <v>0</v>
      </c>
      <c r="S17" s="7" t="s">
        <v>67</v>
      </c>
      <c r="T17" s="7" t="s">
        <v>200</v>
      </c>
      <c r="U17" s="7" t="s">
        <v>418</v>
      </c>
      <c r="V17" s="7" t="s">
        <v>49</v>
      </c>
      <c r="W17" s="10" t="s">
        <v>96</v>
      </c>
      <c r="X17" s="24" t="s">
        <v>83</v>
      </c>
      <c r="Y17" s="11">
        <v>22.71</v>
      </c>
      <c r="Z17" s="11">
        <f t="shared" si="10"/>
        <v>749.43000000000006</v>
      </c>
      <c r="AA17" s="12">
        <v>58000</v>
      </c>
      <c r="AB17" s="12">
        <f>AA17*M17</f>
        <v>1914000</v>
      </c>
      <c r="AC17" s="19">
        <v>50018.234799999998</v>
      </c>
      <c r="AD17" s="12">
        <f t="shared" si="11"/>
        <v>1650601.7483999999</v>
      </c>
      <c r="AE17" s="11">
        <f t="shared" si="5"/>
        <v>0</v>
      </c>
      <c r="AF17" s="23">
        <v>2554.48</v>
      </c>
      <c r="AG17" s="10" t="s">
        <v>206</v>
      </c>
      <c r="AH17" s="25" t="s">
        <v>40</v>
      </c>
      <c r="AI17" s="27" t="s">
        <v>64</v>
      </c>
      <c r="AJ17" s="10" t="s">
        <v>176</v>
      </c>
      <c r="AK17" s="27" t="s">
        <v>54</v>
      </c>
      <c r="AL17" s="14"/>
      <c r="AM17" s="14" t="s">
        <v>41</v>
      </c>
      <c r="AN17" s="20" t="s">
        <v>42</v>
      </c>
      <c r="AO17" s="14" t="s">
        <v>419</v>
      </c>
      <c r="AP17" s="19"/>
      <c r="AQ17" s="26">
        <f t="shared" si="8"/>
        <v>749.43000000000006</v>
      </c>
      <c r="AR17" s="28">
        <v>0</v>
      </c>
      <c r="AS17" s="13">
        <f t="shared" si="6"/>
        <v>749.43000000000006</v>
      </c>
      <c r="AT17" s="29">
        <f t="shared" si="9"/>
        <v>1</v>
      </c>
      <c r="AU17" s="14" t="s">
        <v>420</v>
      </c>
    </row>
    <row r="18" spans="1:47" x14ac:dyDescent="0.25">
      <c r="A18" s="89">
        <v>45860</v>
      </c>
      <c r="B18" s="6" t="s">
        <v>58</v>
      </c>
      <c r="C18" s="6" t="str">
        <f t="shared" si="0"/>
        <v>Jul</v>
      </c>
      <c r="D18" s="39">
        <f t="shared" si="1"/>
        <v>2025</v>
      </c>
      <c r="E18" s="6">
        <v>16</v>
      </c>
      <c r="F18" s="6" t="s">
        <v>214</v>
      </c>
      <c r="G18" s="6" t="s">
        <v>69</v>
      </c>
      <c r="H18" s="21" t="s">
        <v>70</v>
      </c>
      <c r="I18" s="7" t="s">
        <v>52</v>
      </c>
      <c r="J18" s="7" t="s">
        <v>71</v>
      </c>
      <c r="K18" s="7"/>
      <c r="L18" s="8">
        <v>52</v>
      </c>
      <c r="M18" s="116">
        <f>VLOOKUP(Table1[[#This Row],[BL NO.]],'BL NCs'!$E$3:$K$78,7,0)</f>
        <v>6</v>
      </c>
      <c r="N18" s="9"/>
      <c r="O18" s="132" t="s">
        <v>314</v>
      </c>
      <c r="P18" s="9">
        <v>0</v>
      </c>
      <c r="Q18" s="9">
        <v>0</v>
      </c>
      <c r="R18" s="9">
        <f>Table1[[#This Row],[Torn QTY]]-Table1[[#This Row],[loss]]</f>
        <v>0</v>
      </c>
      <c r="S18" s="7" t="s">
        <v>67</v>
      </c>
      <c r="T18" s="7" t="s">
        <v>200</v>
      </c>
      <c r="U18" s="7" t="s">
        <v>418</v>
      </c>
      <c r="V18" s="7" t="s">
        <v>49</v>
      </c>
      <c r="W18" s="10" t="s">
        <v>434</v>
      </c>
      <c r="X18" s="24" t="s">
        <v>74</v>
      </c>
      <c r="Y18" s="11">
        <v>18.54</v>
      </c>
      <c r="Z18" s="11">
        <f>Y18*M18</f>
        <v>111.24</v>
      </c>
      <c r="AA18" s="12">
        <f>Y18*AF18</f>
        <v>51967.619999999995</v>
      </c>
      <c r="AB18" s="12">
        <f>AA18*M18</f>
        <v>311805.71999999997</v>
      </c>
      <c r="AC18" s="19">
        <v>41075.795080000004</v>
      </c>
      <c r="AD18" s="12">
        <f t="shared" si="11"/>
        <v>246454.77048000001</v>
      </c>
      <c r="AE18" s="11">
        <f t="shared" si="5"/>
        <v>0</v>
      </c>
      <c r="AF18" s="23">
        <v>2803</v>
      </c>
      <c r="AG18" s="10" t="s">
        <v>206</v>
      </c>
      <c r="AH18" s="25" t="s">
        <v>45</v>
      </c>
      <c r="AI18" s="27" t="s">
        <v>421</v>
      </c>
      <c r="AJ18" s="10" t="s">
        <v>176</v>
      </c>
      <c r="AK18" s="27" t="s">
        <v>54</v>
      </c>
      <c r="AL18" s="14"/>
      <c r="AM18" s="14" t="s">
        <v>65</v>
      </c>
      <c r="AN18" s="20" t="s">
        <v>42</v>
      </c>
      <c r="AO18" s="14" t="s">
        <v>417</v>
      </c>
      <c r="AP18" s="19"/>
      <c r="AQ18" s="26">
        <f t="shared" si="8"/>
        <v>111.24</v>
      </c>
      <c r="AR18" s="28">
        <v>0</v>
      </c>
      <c r="AS18" s="13">
        <f t="shared" si="6"/>
        <v>111.24</v>
      </c>
      <c r="AT18" s="29">
        <f t="shared" si="9"/>
        <v>1</v>
      </c>
      <c r="AU18" s="14" t="s">
        <v>446</v>
      </c>
    </row>
    <row r="19" spans="1:47" x14ac:dyDescent="0.25">
      <c r="A19" s="89">
        <v>45860</v>
      </c>
      <c r="B19" s="6" t="s">
        <v>58</v>
      </c>
      <c r="C19" s="6" t="str">
        <f t="shared" si="0"/>
        <v>Jul</v>
      </c>
      <c r="D19" s="39">
        <f t="shared" si="1"/>
        <v>2025</v>
      </c>
      <c r="E19" s="6">
        <v>17</v>
      </c>
      <c r="F19" s="6" t="s">
        <v>215</v>
      </c>
      <c r="G19" s="6" t="s">
        <v>69</v>
      </c>
      <c r="H19" s="21" t="s">
        <v>70</v>
      </c>
      <c r="I19" s="7" t="s">
        <v>52</v>
      </c>
      <c r="J19" s="7" t="s">
        <v>71</v>
      </c>
      <c r="K19" s="7"/>
      <c r="L19" s="8">
        <v>54</v>
      </c>
      <c r="M19" s="116">
        <f>VLOOKUP(Table1[[#This Row],[BL NO.]],'BL NCs'!$E$3:$K$78,7,0)</f>
        <v>3</v>
      </c>
      <c r="N19" s="9"/>
      <c r="O19" s="132" t="s">
        <v>314</v>
      </c>
      <c r="P19" s="9">
        <v>0</v>
      </c>
      <c r="Q19" s="9">
        <v>0</v>
      </c>
      <c r="R19" s="9">
        <f>Table1[[#This Row],[Torn QTY]]-Table1[[#This Row],[loss]]</f>
        <v>0</v>
      </c>
      <c r="S19" s="7" t="s">
        <v>67</v>
      </c>
      <c r="T19" s="7" t="s">
        <v>200</v>
      </c>
      <c r="U19" s="7" t="s">
        <v>418</v>
      </c>
      <c r="V19" s="7" t="s">
        <v>49</v>
      </c>
      <c r="W19" s="10" t="s">
        <v>443</v>
      </c>
      <c r="X19" s="24" t="s">
        <v>74</v>
      </c>
      <c r="Y19" s="11">
        <v>18.54</v>
      </c>
      <c r="Z19" s="11">
        <f>Y19*M19</f>
        <v>55.62</v>
      </c>
      <c r="AA19" s="12">
        <v>51967.619999999995</v>
      </c>
      <c r="AB19" s="12">
        <f t="shared" ref="AB19:AB62" si="12">AA19*M19</f>
        <v>155902.85999999999</v>
      </c>
      <c r="AC19" s="19">
        <v>41075.795080000004</v>
      </c>
      <c r="AD19" s="12">
        <f t="shared" si="11"/>
        <v>123227.38524</v>
      </c>
      <c r="AE19" s="11">
        <f t="shared" si="5"/>
        <v>0</v>
      </c>
      <c r="AF19" s="23">
        <v>2803</v>
      </c>
      <c r="AG19" s="10" t="s">
        <v>206</v>
      </c>
      <c r="AH19" s="25" t="s">
        <v>45</v>
      </c>
      <c r="AI19" s="27" t="s">
        <v>421</v>
      </c>
      <c r="AJ19" s="10" t="s">
        <v>176</v>
      </c>
      <c r="AK19" s="27" t="s">
        <v>54</v>
      </c>
      <c r="AL19" s="14"/>
      <c r="AM19" s="14" t="s">
        <v>65</v>
      </c>
      <c r="AN19" s="20" t="s">
        <v>42</v>
      </c>
      <c r="AO19" s="14" t="s">
        <v>416</v>
      </c>
      <c r="AP19" s="19"/>
      <c r="AQ19" s="26">
        <f t="shared" si="8"/>
        <v>55.62</v>
      </c>
      <c r="AR19" s="28">
        <v>0</v>
      </c>
      <c r="AS19" s="13">
        <f t="shared" si="6"/>
        <v>55.62</v>
      </c>
      <c r="AT19" s="29">
        <f t="shared" si="9"/>
        <v>1</v>
      </c>
      <c r="AU19" s="14" t="s">
        <v>62</v>
      </c>
    </row>
    <row r="20" spans="1:47" x14ac:dyDescent="0.25">
      <c r="A20" s="89">
        <v>45860</v>
      </c>
      <c r="B20" s="6" t="s">
        <v>58</v>
      </c>
      <c r="C20" s="6" t="str">
        <f t="shared" si="0"/>
        <v>Jul</v>
      </c>
      <c r="D20" s="39">
        <f t="shared" si="1"/>
        <v>2025</v>
      </c>
      <c r="E20" s="6">
        <v>18</v>
      </c>
      <c r="F20" s="6" t="s">
        <v>216</v>
      </c>
      <c r="G20" s="6" t="s">
        <v>69</v>
      </c>
      <c r="H20" s="21" t="s">
        <v>70</v>
      </c>
      <c r="I20" s="7" t="s">
        <v>52</v>
      </c>
      <c r="J20" s="7" t="s">
        <v>71</v>
      </c>
      <c r="K20" s="7"/>
      <c r="L20" s="8">
        <v>67</v>
      </c>
      <c r="M20" s="116">
        <f>VLOOKUP(Table1[[#This Row],[BL NO.]],'BL NCs'!$E$3:$K$78,7,0)</f>
        <v>5</v>
      </c>
      <c r="N20" s="9"/>
      <c r="O20" s="132" t="s">
        <v>314</v>
      </c>
      <c r="P20" s="9">
        <v>0</v>
      </c>
      <c r="Q20" s="9">
        <v>0</v>
      </c>
      <c r="R20" s="9">
        <f>Table1[[#This Row],[Torn QTY]]-Table1[[#This Row],[loss]]</f>
        <v>0</v>
      </c>
      <c r="S20" s="7" t="s">
        <v>67</v>
      </c>
      <c r="T20" s="7" t="s">
        <v>200</v>
      </c>
      <c r="U20" s="7" t="s">
        <v>418</v>
      </c>
      <c r="V20" s="7" t="s">
        <v>49</v>
      </c>
      <c r="W20" s="10" t="s">
        <v>444</v>
      </c>
      <c r="X20" s="24" t="s">
        <v>102</v>
      </c>
      <c r="Y20" s="11">
        <v>18.54</v>
      </c>
      <c r="Z20" s="11">
        <f t="shared" si="10"/>
        <v>92.699999999999989</v>
      </c>
      <c r="AA20" s="12">
        <v>51967.619999999995</v>
      </c>
      <c r="AB20" s="12">
        <f t="shared" si="12"/>
        <v>259838.09999999998</v>
      </c>
      <c r="AC20" s="19">
        <v>41075.795080000004</v>
      </c>
      <c r="AD20" s="12">
        <f t="shared" si="11"/>
        <v>205378.97540000002</v>
      </c>
      <c r="AE20" s="11">
        <f t="shared" si="5"/>
        <v>0</v>
      </c>
      <c r="AF20" s="23">
        <v>2803</v>
      </c>
      <c r="AG20" s="10" t="s">
        <v>206</v>
      </c>
      <c r="AH20" s="25" t="s">
        <v>45</v>
      </c>
      <c r="AI20" s="27" t="s">
        <v>421</v>
      </c>
      <c r="AJ20" s="10" t="s">
        <v>176</v>
      </c>
      <c r="AK20" s="27" t="s">
        <v>54</v>
      </c>
      <c r="AL20" s="14"/>
      <c r="AM20" s="14" t="s">
        <v>65</v>
      </c>
      <c r="AN20" s="20" t="s">
        <v>42</v>
      </c>
      <c r="AO20" s="14" t="s">
        <v>416</v>
      </c>
      <c r="AP20" s="19"/>
      <c r="AQ20" s="26">
        <f t="shared" si="8"/>
        <v>92.699999999999989</v>
      </c>
      <c r="AR20" s="28">
        <v>0</v>
      </c>
      <c r="AS20" s="13">
        <f t="shared" si="6"/>
        <v>92.699999999999989</v>
      </c>
      <c r="AT20" s="29">
        <f t="shared" si="9"/>
        <v>1</v>
      </c>
      <c r="AU20" s="14" t="s">
        <v>62</v>
      </c>
    </row>
    <row r="21" spans="1:47" x14ac:dyDescent="0.25">
      <c r="A21" s="89">
        <v>45875</v>
      </c>
      <c r="B21" s="6" t="s">
        <v>58</v>
      </c>
      <c r="C21" s="6" t="str">
        <f t="shared" si="0"/>
        <v>Aug</v>
      </c>
      <c r="D21" s="39">
        <f t="shared" si="1"/>
        <v>2025</v>
      </c>
      <c r="E21" s="6">
        <v>19</v>
      </c>
      <c r="F21" s="6" t="s">
        <v>217</v>
      </c>
      <c r="G21" s="6" t="s">
        <v>69</v>
      </c>
      <c r="H21" s="21" t="s">
        <v>70</v>
      </c>
      <c r="I21" s="7" t="s">
        <v>52</v>
      </c>
      <c r="J21" s="7" t="s">
        <v>71</v>
      </c>
      <c r="K21" s="7"/>
      <c r="L21" s="8">
        <v>50</v>
      </c>
      <c r="M21" s="8">
        <f>VLOOKUP(Table1[[#This Row],[BL NO.]],'BL NCs'!$E$3:$K$78,7,0)</f>
        <v>23</v>
      </c>
      <c r="N21" s="9"/>
      <c r="O21" s="132">
        <v>47</v>
      </c>
      <c r="P21" s="9">
        <v>50</v>
      </c>
      <c r="Q21" s="9">
        <v>23</v>
      </c>
      <c r="R21" s="9">
        <f>Table1[[#This Row],[Torn QTY]]-Table1[[#This Row],[loss]]</f>
        <v>27</v>
      </c>
      <c r="S21" s="7" t="s">
        <v>67</v>
      </c>
      <c r="T21" s="7" t="s">
        <v>200</v>
      </c>
      <c r="U21" s="7" t="s">
        <v>418</v>
      </c>
      <c r="V21" s="7" t="s">
        <v>49</v>
      </c>
      <c r="W21" s="10" t="s">
        <v>422</v>
      </c>
      <c r="X21" s="24" t="s">
        <v>74</v>
      </c>
      <c r="Y21" s="11">
        <v>18.54</v>
      </c>
      <c r="Z21" s="11">
        <f t="shared" si="10"/>
        <v>426.41999999999996</v>
      </c>
      <c r="AA21" s="12">
        <v>51967.619999999995</v>
      </c>
      <c r="AB21" s="12">
        <f t="shared" si="12"/>
        <v>1195255.2599999998</v>
      </c>
      <c r="AC21" s="19">
        <v>53401.105539999997</v>
      </c>
      <c r="AD21" s="12">
        <f t="shared" si="11"/>
        <v>1228225.4274199998</v>
      </c>
      <c r="AE21" s="11">
        <f t="shared" si="5"/>
        <v>0</v>
      </c>
      <c r="AF21" s="23">
        <v>2803</v>
      </c>
      <c r="AG21" s="10" t="s">
        <v>206</v>
      </c>
      <c r="AH21" s="25" t="s">
        <v>45</v>
      </c>
      <c r="AI21" s="27" t="s">
        <v>100</v>
      </c>
      <c r="AJ21" s="10" t="s">
        <v>176</v>
      </c>
      <c r="AK21" s="27" t="s">
        <v>54</v>
      </c>
      <c r="AL21" s="14"/>
      <c r="AM21" s="14" t="s">
        <v>65</v>
      </c>
      <c r="AN21" s="20" t="s">
        <v>42</v>
      </c>
      <c r="AO21" s="14" t="s">
        <v>416</v>
      </c>
      <c r="AP21" s="19"/>
      <c r="AQ21" s="26">
        <f t="shared" si="8"/>
        <v>426.41999999999996</v>
      </c>
      <c r="AR21" s="28">
        <v>0</v>
      </c>
      <c r="AS21" s="13">
        <f t="shared" si="6"/>
        <v>426.41999999999996</v>
      </c>
      <c r="AT21" s="29">
        <f t="shared" si="9"/>
        <v>1</v>
      </c>
      <c r="AU21" s="14" t="s">
        <v>62</v>
      </c>
    </row>
    <row r="22" spans="1:47" x14ac:dyDescent="0.25">
      <c r="A22" s="89">
        <v>45875</v>
      </c>
      <c r="B22" s="6" t="s">
        <v>58</v>
      </c>
      <c r="C22" s="6" t="str">
        <f t="shared" si="0"/>
        <v>Aug</v>
      </c>
      <c r="D22" s="39">
        <f t="shared" si="1"/>
        <v>2025</v>
      </c>
      <c r="E22" s="6">
        <v>20</v>
      </c>
      <c r="F22" s="6" t="s">
        <v>218</v>
      </c>
      <c r="G22" s="6" t="s">
        <v>69</v>
      </c>
      <c r="H22" s="21" t="s">
        <v>70</v>
      </c>
      <c r="I22" s="7" t="s">
        <v>52</v>
      </c>
      <c r="J22" s="7" t="s">
        <v>71</v>
      </c>
      <c r="K22" s="7"/>
      <c r="L22" s="8">
        <v>46</v>
      </c>
      <c r="M22" s="8">
        <f>VLOOKUP(Table1[[#This Row],[BL NO.]],'BL NCs'!$E$3:$K$78,7,0)</f>
        <v>23</v>
      </c>
      <c r="N22" s="9"/>
      <c r="O22" s="132">
        <v>47</v>
      </c>
      <c r="P22" s="9">
        <v>46</v>
      </c>
      <c r="Q22" s="9">
        <v>23</v>
      </c>
      <c r="R22" s="9">
        <f>Table1[[#This Row],[Torn QTY]]-Table1[[#This Row],[loss]]</f>
        <v>23</v>
      </c>
      <c r="S22" s="7" t="s">
        <v>67</v>
      </c>
      <c r="T22" s="7" t="s">
        <v>200</v>
      </c>
      <c r="U22" s="7" t="s">
        <v>198</v>
      </c>
      <c r="V22" s="7" t="s">
        <v>49</v>
      </c>
      <c r="W22" s="10" t="s">
        <v>104</v>
      </c>
      <c r="X22" s="24" t="s">
        <v>74</v>
      </c>
      <c r="Y22" s="11">
        <v>18.54</v>
      </c>
      <c r="Z22" s="11">
        <f t="shared" si="10"/>
        <v>426.41999999999996</v>
      </c>
      <c r="AA22" s="12">
        <v>51967.619999999995</v>
      </c>
      <c r="AB22" s="12">
        <f t="shared" si="12"/>
        <v>1195255.2599999998</v>
      </c>
      <c r="AC22" s="19">
        <v>53401.105539999997</v>
      </c>
      <c r="AD22" s="12">
        <f t="shared" si="11"/>
        <v>1228225.4274199998</v>
      </c>
      <c r="AE22" s="11">
        <f t="shared" si="5"/>
        <v>0</v>
      </c>
      <c r="AF22" s="23">
        <v>2803</v>
      </c>
      <c r="AG22" s="10" t="s">
        <v>206</v>
      </c>
      <c r="AH22" s="25" t="s">
        <v>45</v>
      </c>
      <c r="AI22" s="27" t="s">
        <v>100</v>
      </c>
      <c r="AJ22" s="10" t="s">
        <v>176</v>
      </c>
      <c r="AK22" s="27" t="s">
        <v>54</v>
      </c>
      <c r="AL22" s="14"/>
      <c r="AM22" s="14" t="s">
        <v>65</v>
      </c>
      <c r="AN22" s="20" t="s">
        <v>42</v>
      </c>
      <c r="AO22" s="14" t="s">
        <v>416</v>
      </c>
      <c r="AP22" s="19"/>
      <c r="AQ22" s="26">
        <f t="shared" si="8"/>
        <v>426.41999999999996</v>
      </c>
      <c r="AR22" s="28">
        <v>0</v>
      </c>
      <c r="AS22" s="13">
        <f t="shared" si="6"/>
        <v>426.41999999999996</v>
      </c>
      <c r="AT22" s="29">
        <f t="shared" si="9"/>
        <v>1</v>
      </c>
      <c r="AU22" s="14" t="s">
        <v>416</v>
      </c>
    </row>
    <row r="23" spans="1:47" x14ac:dyDescent="0.25">
      <c r="A23" s="90">
        <v>45916</v>
      </c>
      <c r="B23" s="6" t="s">
        <v>58</v>
      </c>
      <c r="C23" s="6" t="str">
        <f t="shared" si="0"/>
        <v>Sep</v>
      </c>
      <c r="D23" s="39">
        <f t="shared" si="1"/>
        <v>2025</v>
      </c>
      <c r="E23" s="6">
        <v>21</v>
      </c>
      <c r="F23" s="6" t="s">
        <v>219</v>
      </c>
      <c r="G23" s="6" t="s">
        <v>69</v>
      </c>
      <c r="H23" s="21" t="s">
        <v>70</v>
      </c>
      <c r="I23" s="7" t="s">
        <v>52</v>
      </c>
      <c r="J23" s="7" t="s">
        <v>71</v>
      </c>
      <c r="K23" s="7"/>
      <c r="L23" s="8">
        <v>87</v>
      </c>
      <c r="M23" s="8">
        <f>VLOOKUP(Table1[[#This Row],[BL NO.]],'BL NCs'!$E$3:$K$78,7,0)</f>
        <v>27</v>
      </c>
      <c r="N23" s="7"/>
      <c r="O23" s="132">
        <v>69</v>
      </c>
      <c r="P23" s="9">
        <v>80</v>
      </c>
      <c r="Q23" s="9">
        <v>20</v>
      </c>
      <c r="R23" s="9">
        <f>Table1[[#This Row],[Torn QTY]]-Table1[[#This Row],[loss]]</f>
        <v>60</v>
      </c>
      <c r="S23" s="7" t="s">
        <v>67</v>
      </c>
      <c r="T23" s="7" t="s">
        <v>200</v>
      </c>
      <c r="U23" s="7" t="s">
        <v>198</v>
      </c>
      <c r="V23" s="7" t="s">
        <v>49</v>
      </c>
      <c r="W23" s="10" t="s">
        <v>437</v>
      </c>
      <c r="X23" s="24" t="s">
        <v>74</v>
      </c>
      <c r="Y23" s="11">
        <v>18.38</v>
      </c>
      <c r="Z23" s="11">
        <f>Y23*M23</f>
        <v>496.26</v>
      </c>
      <c r="AA23" s="12">
        <f t="shared" ref="AA23:AA41" si="13">Y23*AF23</f>
        <v>61936.923999999999</v>
      </c>
      <c r="AB23" s="12">
        <f t="shared" si="12"/>
        <v>1672296.9479999999</v>
      </c>
      <c r="AC23" s="19">
        <v>45680.80154</v>
      </c>
      <c r="AD23" s="12">
        <f t="shared" si="11"/>
        <v>1233381.6415800001</v>
      </c>
      <c r="AE23" s="11">
        <v>0</v>
      </c>
      <c r="AF23" s="23">
        <v>3369.8</v>
      </c>
      <c r="AG23" s="10" t="s">
        <v>206</v>
      </c>
      <c r="AH23" s="25" t="s">
        <v>45</v>
      </c>
      <c r="AI23" s="27" t="s">
        <v>100</v>
      </c>
      <c r="AJ23" s="10" t="s">
        <v>176</v>
      </c>
      <c r="AK23" s="27" t="s">
        <v>54</v>
      </c>
      <c r="AL23" s="14"/>
      <c r="AM23" s="14" t="s">
        <v>65</v>
      </c>
      <c r="AN23" s="20" t="s">
        <v>42</v>
      </c>
      <c r="AO23" s="14" t="s">
        <v>417</v>
      </c>
      <c r="AP23" s="19"/>
      <c r="AQ23" s="26">
        <f t="shared" si="8"/>
        <v>496.26</v>
      </c>
      <c r="AR23" s="28">
        <v>0</v>
      </c>
      <c r="AS23" s="13">
        <f t="shared" si="6"/>
        <v>496.26</v>
      </c>
      <c r="AT23" s="29">
        <f t="shared" si="9"/>
        <v>1</v>
      </c>
      <c r="AU23" s="14" t="s">
        <v>446</v>
      </c>
    </row>
    <row r="24" spans="1:47" x14ac:dyDescent="0.25">
      <c r="A24" s="90">
        <v>45916</v>
      </c>
      <c r="B24" s="6"/>
      <c r="C24" s="6" t="str">
        <f t="shared" si="0"/>
        <v>Sep</v>
      </c>
      <c r="D24" s="39">
        <f t="shared" si="1"/>
        <v>2025</v>
      </c>
      <c r="E24" s="6">
        <v>22</v>
      </c>
      <c r="F24" s="6" t="s">
        <v>220</v>
      </c>
      <c r="G24" s="6" t="s">
        <v>69</v>
      </c>
      <c r="H24" s="21" t="s">
        <v>70</v>
      </c>
      <c r="I24" s="7" t="s">
        <v>52</v>
      </c>
      <c r="J24" s="7" t="s">
        <v>71</v>
      </c>
      <c r="K24" s="7"/>
      <c r="L24" s="8">
        <v>60</v>
      </c>
      <c r="M24" s="8">
        <f>VLOOKUP(Table1[[#This Row],[BL NO.]],'BL NCs'!$E$3:$K$78,7,0)</f>
        <v>18</v>
      </c>
      <c r="N24" s="7"/>
      <c r="O24" s="132">
        <v>70</v>
      </c>
      <c r="P24" s="9">
        <v>60</v>
      </c>
      <c r="Q24" s="9">
        <v>18</v>
      </c>
      <c r="R24" s="9">
        <f>Table1[[#This Row],[Torn QTY]]-Table1[[#This Row],[loss]]</f>
        <v>42</v>
      </c>
      <c r="S24" s="7" t="s">
        <v>67</v>
      </c>
      <c r="T24" s="7" t="s">
        <v>200</v>
      </c>
      <c r="U24" s="7" t="s">
        <v>198</v>
      </c>
      <c r="V24" s="7" t="s">
        <v>49</v>
      </c>
      <c r="W24" s="10" t="s">
        <v>106</v>
      </c>
      <c r="X24" s="24" t="s">
        <v>74</v>
      </c>
      <c r="Y24" s="11">
        <v>18.38</v>
      </c>
      <c r="Z24" s="11">
        <f t="shared" ref="Z24" si="14">Y24*M24</f>
        <v>330.84</v>
      </c>
      <c r="AA24" s="12">
        <f t="shared" si="13"/>
        <v>61936.923999999999</v>
      </c>
      <c r="AB24" s="12">
        <f t="shared" si="12"/>
        <v>1114864.632</v>
      </c>
      <c r="AC24" s="19">
        <v>45680.80154</v>
      </c>
      <c r="AD24" s="12">
        <f t="shared" si="11"/>
        <v>822254.42772000004</v>
      </c>
      <c r="AE24" s="11">
        <v>0</v>
      </c>
      <c r="AF24" s="23">
        <v>3369.8</v>
      </c>
      <c r="AG24" s="10" t="s">
        <v>206</v>
      </c>
      <c r="AH24" s="25" t="s">
        <v>45</v>
      </c>
      <c r="AI24" s="27" t="s">
        <v>100</v>
      </c>
      <c r="AJ24" s="10" t="s">
        <v>176</v>
      </c>
      <c r="AK24" s="27" t="s">
        <v>54</v>
      </c>
      <c r="AL24" s="14"/>
      <c r="AM24" s="14" t="s">
        <v>65</v>
      </c>
      <c r="AN24" s="20" t="s">
        <v>42</v>
      </c>
      <c r="AO24" s="14" t="s">
        <v>416</v>
      </c>
      <c r="AP24" s="19"/>
      <c r="AQ24" s="26">
        <f t="shared" si="8"/>
        <v>330.84</v>
      </c>
      <c r="AR24" s="28">
        <v>0</v>
      </c>
      <c r="AS24" s="13">
        <f t="shared" si="6"/>
        <v>330.84</v>
      </c>
      <c r="AT24" s="29">
        <f t="shared" si="9"/>
        <v>1</v>
      </c>
      <c r="AU24" s="14" t="s">
        <v>416</v>
      </c>
    </row>
    <row r="25" spans="1:47" x14ac:dyDescent="0.25">
      <c r="A25" s="89">
        <v>45930</v>
      </c>
      <c r="B25" s="6"/>
      <c r="C25" s="6" t="str">
        <f t="shared" si="0"/>
        <v>Sep</v>
      </c>
      <c r="D25" s="39">
        <f t="shared" si="1"/>
        <v>2025</v>
      </c>
      <c r="E25" s="6">
        <v>23</v>
      </c>
      <c r="F25" s="6">
        <v>257625382</v>
      </c>
      <c r="G25" s="6" t="s">
        <v>69</v>
      </c>
      <c r="H25" s="21" t="s">
        <v>70</v>
      </c>
      <c r="I25" s="7" t="s">
        <v>52</v>
      </c>
      <c r="J25" s="7" t="s">
        <v>71</v>
      </c>
      <c r="K25" s="7"/>
      <c r="L25" s="8">
        <v>40</v>
      </c>
      <c r="M25" s="8">
        <f>VLOOKUP(Table1[[#This Row],[BL NO.]],'BL NCs'!$E$3:$K$78,7,0)</f>
        <v>11</v>
      </c>
      <c r="N25" s="7"/>
      <c r="O25" s="132">
        <v>75</v>
      </c>
      <c r="P25" s="9">
        <v>40</v>
      </c>
      <c r="Q25" s="9">
        <v>11</v>
      </c>
      <c r="R25" s="9">
        <f>Table1[[#This Row],[Torn QTY]]-Table1[[#This Row],[loss]]</f>
        <v>29</v>
      </c>
      <c r="S25" s="7" t="s">
        <v>67</v>
      </c>
      <c r="T25" s="7" t="s">
        <v>200</v>
      </c>
      <c r="U25" s="7" t="s">
        <v>198</v>
      </c>
      <c r="V25" s="7" t="s">
        <v>49</v>
      </c>
      <c r="W25" s="10" t="s">
        <v>429</v>
      </c>
      <c r="X25" s="24" t="s">
        <v>74</v>
      </c>
      <c r="Y25" s="11">
        <v>18.38</v>
      </c>
      <c r="Z25" s="11">
        <f>Y25*M25</f>
        <v>202.17999999999998</v>
      </c>
      <c r="AA25" s="12">
        <f t="shared" si="13"/>
        <v>61936.923999999999</v>
      </c>
      <c r="AB25" s="12">
        <f t="shared" si="12"/>
        <v>681306.16399999999</v>
      </c>
      <c r="AC25" s="19">
        <v>45680.80154</v>
      </c>
      <c r="AD25" s="12">
        <f t="shared" si="11"/>
        <v>502488.81693999999</v>
      </c>
      <c r="AE25" s="11">
        <v>0</v>
      </c>
      <c r="AF25" s="23">
        <v>3369.8</v>
      </c>
      <c r="AG25" s="10" t="s">
        <v>206</v>
      </c>
      <c r="AH25" s="25" t="s">
        <v>45</v>
      </c>
      <c r="AI25" s="27" t="s">
        <v>100</v>
      </c>
      <c r="AJ25" s="10" t="s">
        <v>176</v>
      </c>
      <c r="AK25" s="27" t="s">
        <v>54</v>
      </c>
      <c r="AL25" s="14"/>
      <c r="AM25" s="14" t="s">
        <v>65</v>
      </c>
      <c r="AN25" s="20" t="s">
        <v>42</v>
      </c>
      <c r="AO25" s="14" t="s">
        <v>416</v>
      </c>
      <c r="AP25" s="19"/>
      <c r="AQ25" s="26">
        <f t="shared" si="8"/>
        <v>202.17999999999998</v>
      </c>
      <c r="AR25" s="28">
        <v>0</v>
      </c>
      <c r="AS25" s="13">
        <f t="shared" si="6"/>
        <v>202.17999999999998</v>
      </c>
      <c r="AT25" s="29">
        <f t="shared" si="9"/>
        <v>1</v>
      </c>
      <c r="AU25" s="14" t="s">
        <v>416</v>
      </c>
    </row>
    <row r="26" spans="1:47" x14ac:dyDescent="0.25">
      <c r="A26" s="90">
        <v>45946</v>
      </c>
      <c r="B26" s="6" t="s">
        <v>58</v>
      </c>
      <c r="C26" s="6" t="str">
        <f t="shared" si="0"/>
        <v>Oct</v>
      </c>
      <c r="D26" s="39">
        <f t="shared" si="1"/>
        <v>2025</v>
      </c>
      <c r="E26" s="6">
        <v>24</v>
      </c>
      <c r="F26" s="6" t="s">
        <v>223</v>
      </c>
      <c r="G26" s="6" t="s">
        <v>69</v>
      </c>
      <c r="H26" s="21" t="s">
        <v>70</v>
      </c>
      <c r="I26" s="7" t="s">
        <v>52</v>
      </c>
      <c r="J26" s="7" t="s">
        <v>71</v>
      </c>
      <c r="K26" s="7"/>
      <c r="L26" s="8">
        <v>42</v>
      </c>
      <c r="M26" s="8">
        <f>VLOOKUP(Table1[[#This Row],[BL NO.]],'BL NCs'!$E$3:$K$78,7,0)</f>
        <v>14</v>
      </c>
      <c r="N26" s="7"/>
      <c r="O26" s="132">
        <v>83</v>
      </c>
      <c r="P26" s="9">
        <v>42</v>
      </c>
      <c r="Q26" s="9">
        <v>14</v>
      </c>
      <c r="R26" s="9">
        <f>Table1[[#This Row],[Torn QTY]]-Table1[[#This Row],[loss]]</f>
        <v>28</v>
      </c>
      <c r="S26" s="7" t="s">
        <v>67</v>
      </c>
      <c r="T26" s="7" t="s">
        <v>200</v>
      </c>
      <c r="U26" s="7" t="s">
        <v>198</v>
      </c>
      <c r="V26" s="7" t="s">
        <v>49</v>
      </c>
      <c r="W26" s="10" t="s">
        <v>435</v>
      </c>
      <c r="X26" s="24" t="s">
        <v>74</v>
      </c>
      <c r="Y26" s="11">
        <v>18.38</v>
      </c>
      <c r="Z26" s="11">
        <f t="shared" ref="Z26:Z41" si="15">Y26*M26</f>
        <v>257.32</v>
      </c>
      <c r="AA26" s="12">
        <f t="shared" si="13"/>
        <v>61936.923999999999</v>
      </c>
      <c r="AB26" s="12">
        <f t="shared" si="12"/>
        <v>867116.93599999999</v>
      </c>
      <c r="AC26" s="19">
        <v>45681</v>
      </c>
      <c r="AD26" s="12">
        <f t="shared" si="11"/>
        <v>639534</v>
      </c>
      <c r="AE26" s="11">
        <v>0</v>
      </c>
      <c r="AF26" s="23">
        <v>3369.8</v>
      </c>
      <c r="AG26" s="10" t="s">
        <v>206</v>
      </c>
      <c r="AH26" s="25" t="s">
        <v>45</v>
      </c>
      <c r="AI26" s="27" t="s">
        <v>110</v>
      </c>
      <c r="AJ26" s="10" t="s">
        <v>176</v>
      </c>
      <c r="AK26" s="27" t="s">
        <v>54</v>
      </c>
      <c r="AL26" s="14"/>
      <c r="AM26" s="14" t="s">
        <v>65</v>
      </c>
      <c r="AN26" s="20" t="s">
        <v>42</v>
      </c>
      <c r="AO26" s="14" t="s">
        <v>416</v>
      </c>
      <c r="AP26" s="19"/>
      <c r="AQ26" s="26">
        <f t="shared" si="8"/>
        <v>257.32</v>
      </c>
      <c r="AR26" s="28">
        <v>0</v>
      </c>
      <c r="AS26" s="13">
        <f t="shared" si="6"/>
        <v>257.32</v>
      </c>
      <c r="AT26" s="29">
        <f t="shared" si="9"/>
        <v>1</v>
      </c>
      <c r="AU26" s="14" t="s">
        <v>416</v>
      </c>
    </row>
    <row r="27" spans="1:47" x14ac:dyDescent="0.25">
      <c r="A27" s="90">
        <v>45946</v>
      </c>
      <c r="B27" s="6"/>
      <c r="C27" s="6" t="str">
        <f t="shared" si="0"/>
        <v>Oct</v>
      </c>
      <c r="D27" s="39">
        <f t="shared" si="1"/>
        <v>2025</v>
      </c>
      <c r="E27" s="6">
        <v>25</v>
      </c>
      <c r="F27" s="6" t="s">
        <v>224</v>
      </c>
      <c r="G27" s="6" t="s">
        <v>69</v>
      </c>
      <c r="H27" s="21" t="s">
        <v>70</v>
      </c>
      <c r="I27" s="7" t="s">
        <v>52</v>
      </c>
      <c r="J27" s="7" t="s">
        <v>71</v>
      </c>
      <c r="K27" s="7"/>
      <c r="L27" s="8">
        <v>41</v>
      </c>
      <c r="M27" s="8">
        <f>VLOOKUP(Table1[[#This Row],[BL NO.]],'BL NCs'!$E$3:$K$78,7,0)</f>
        <v>17</v>
      </c>
      <c r="N27" s="7"/>
      <c r="O27" s="132">
        <v>84</v>
      </c>
      <c r="P27" s="9">
        <v>41</v>
      </c>
      <c r="Q27" s="9">
        <v>17</v>
      </c>
      <c r="R27" s="9">
        <f>Table1[[#This Row],[Torn QTY]]-Table1[[#This Row],[loss]]</f>
        <v>24</v>
      </c>
      <c r="S27" s="7" t="s">
        <v>67</v>
      </c>
      <c r="T27" s="7" t="s">
        <v>200</v>
      </c>
      <c r="U27" s="7" t="s">
        <v>198</v>
      </c>
      <c r="V27" s="7" t="s">
        <v>49</v>
      </c>
      <c r="W27" s="10" t="s">
        <v>430</v>
      </c>
      <c r="X27" s="24" t="s">
        <v>74</v>
      </c>
      <c r="Y27" s="11">
        <v>18.38</v>
      </c>
      <c r="Z27" s="11">
        <f t="shared" si="15"/>
        <v>312.45999999999998</v>
      </c>
      <c r="AA27" s="12">
        <f t="shared" si="13"/>
        <v>61936.923999999999</v>
      </c>
      <c r="AB27" s="12">
        <f t="shared" si="12"/>
        <v>1052927.7080000001</v>
      </c>
      <c r="AC27" s="19">
        <v>45681</v>
      </c>
      <c r="AD27" s="12">
        <f t="shared" si="11"/>
        <v>776577</v>
      </c>
      <c r="AE27" s="11">
        <v>0</v>
      </c>
      <c r="AF27" s="23">
        <v>3369.8</v>
      </c>
      <c r="AG27" s="10" t="s">
        <v>206</v>
      </c>
      <c r="AH27" s="25" t="s">
        <v>45</v>
      </c>
      <c r="AI27" s="27" t="s">
        <v>110</v>
      </c>
      <c r="AJ27" s="10" t="s">
        <v>176</v>
      </c>
      <c r="AK27" s="27" t="s">
        <v>54</v>
      </c>
      <c r="AL27" s="14"/>
      <c r="AM27" s="14" t="s">
        <v>65</v>
      </c>
      <c r="AN27" s="20" t="s">
        <v>42</v>
      </c>
      <c r="AO27" s="14" t="s">
        <v>416</v>
      </c>
      <c r="AP27" s="19"/>
      <c r="AQ27" s="26">
        <f t="shared" si="8"/>
        <v>312.45999999999998</v>
      </c>
      <c r="AR27" s="28">
        <v>0</v>
      </c>
      <c r="AS27" s="13">
        <f t="shared" si="6"/>
        <v>312.45999999999998</v>
      </c>
      <c r="AT27" s="29">
        <f t="shared" si="9"/>
        <v>1</v>
      </c>
      <c r="AU27" s="14" t="s">
        <v>416</v>
      </c>
    </row>
    <row r="28" spans="1:47" x14ac:dyDescent="0.25">
      <c r="A28" s="90">
        <v>45929</v>
      </c>
      <c r="B28" s="6" t="s">
        <v>58</v>
      </c>
      <c r="C28" s="6" t="str">
        <f t="shared" si="0"/>
        <v>Sep</v>
      </c>
      <c r="D28" s="39">
        <f t="shared" si="1"/>
        <v>2025</v>
      </c>
      <c r="E28" s="6">
        <v>26</v>
      </c>
      <c r="F28" s="6" t="s">
        <v>225</v>
      </c>
      <c r="G28" s="6" t="s">
        <v>69</v>
      </c>
      <c r="H28" s="21" t="s">
        <v>70</v>
      </c>
      <c r="I28" s="7" t="s">
        <v>75</v>
      </c>
      <c r="J28" s="7" t="s">
        <v>160</v>
      </c>
      <c r="K28" s="21"/>
      <c r="L28" s="8">
        <v>127</v>
      </c>
      <c r="M28" s="116">
        <f>VLOOKUP(Table1[[#This Row],[BL NO.]],'BL NCs'!$E$3:$K$78,7,0)</f>
        <v>116</v>
      </c>
      <c r="N28" s="21"/>
      <c r="O28" s="128" t="s">
        <v>324</v>
      </c>
      <c r="P28" s="17">
        <v>40</v>
      </c>
      <c r="Q28" s="17">
        <f>16+3+4</f>
        <v>23</v>
      </c>
      <c r="R28" s="17">
        <f>Table1[[#This Row],[Torn QTY]]-Table1[[#This Row],[loss]]</f>
        <v>17</v>
      </c>
      <c r="S28" s="7" t="s">
        <v>67</v>
      </c>
      <c r="T28" s="7" t="s">
        <v>200</v>
      </c>
      <c r="U28" s="7" t="s">
        <v>198</v>
      </c>
      <c r="V28" s="7" t="s">
        <v>49</v>
      </c>
      <c r="W28" s="10" t="s">
        <v>431</v>
      </c>
      <c r="X28" s="24" t="s">
        <v>116</v>
      </c>
      <c r="Y28" s="11">
        <v>11.41</v>
      </c>
      <c r="Z28" s="11">
        <f t="shared" si="15"/>
        <v>1323.56</v>
      </c>
      <c r="AA28" s="12">
        <f t="shared" si="13"/>
        <v>38449.418000000005</v>
      </c>
      <c r="AB28" s="12">
        <f t="shared" si="12"/>
        <v>4460132.4880000008</v>
      </c>
      <c r="AC28" s="19">
        <v>31023</v>
      </c>
      <c r="AD28" s="12">
        <f t="shared" si="11"/>
        <v>3598668</v>
      </c>
      <c r="AE28" s="11">
        <v>0</v>
      </c>
      <c r="AF28" s="23">
        <v>3369.8</v>
      </c>
      <c r="AG28" s="10" t="s">
        <v>206</v>
      </c>
      <c r="AH28" s="25" t="s">
        <v>40</v>
      </c>
      <c r="AI28" s="27" t="s">
        <v>110</v>
      </c>
      <c r="AJ28" s="10" t="s">
        <v>176</v>
      </c>
      <c r="AK28" s="27" t="s">
        <v>54</v>
      </c>
      <c r="AL28" s="14"/>
      <c r="AM28" s="14" t="s">
        <v>41</v>
      </c>
      <c r="AN28" s="20" t="s">
        <v>42</v>
      </c>
      <c r="AO28" s="14" t="s">
        <v>417</v>
      </c>
      <c r="AP28" s="19"/>
      <c r="AQ28" s="26">
        <f t="shared" si="8"/>
        <v>1323.56</v>
      </c>
      <c r="AR28" s="28">
        <v>0</v>
      </c>
      <c r="AS28" s="13">
        <f t="shared" si="6"/>
        <v>1323.56</v>
      </c>
      <c r="AT28" s="29">
        <f t="shared" si="9"/>
        <v>1</v>
      </c>
      <c r="AU28" s="14" t="s">
        <v>446</v>
      </c>
    </row>
    <row r="29" spans="1:47" x14ac:dyDescent="0.25">
      <c r="A29" s="90">
        <v>45953</v>
      </c>
      <c r="B29" s="6" t="s">
        <v>58</v>
      </c>
      <c r="C29" s="6" t="str">
        <f t="shared" si="0"/>
        <v>Oct</v>
      </c>
      <c r="D29" s="39">
        <f t="shared" si="1"/>
        <v>2025</v>
      </c>
      <c r="E29" s="6">
        <v>27</v>
      </c>
      <c r="F29" s="6">
        <v>258447410</v>
      </c>
      <c r="G29" s="6" t="s">
        <v>69</v>
      </c>
      <c r="H29" s="21" t="s">
        <v>70</v>
      </c>
      <c r="I29" s="7" t="s">
        <v>52</v>
      </c>
      <c r="J29" s="7" t="s">
        <v>71</v>
      </c>
      <c r="K29" s="7"/>
      <c r="L29" s="8">
        <v>46</v>
      </c>
      <c r="M29" s="116">
        <f>VLOOKUP(Table1[[#This Row],[BL NO.]],'BL NCs'!$E$3:$K$78,7,0)</f>
        <v>34</v>
      </c>
      <c r="N29" s="7"/>
      <c r="O29" s="132" t="s">
        <v>327</v>
      </c>
      <c r="P29" s="9">
        <v>18</v>
      </c>
      <c r="Q29" s="9">
        <v>6</v>
      </c>
      <c r="R29" s="9">
        <f>Table1[[#This Row],[Torn QTY]]-Table1[[#This Row],[loss]]</f>
        <v>12</v>
      </c>
      <c r="S29" s="7" t="s">
        <v>67</v>
      </c>
      <c r="T29" s="7" t="s">
        <v>200</v>
      </c>
      <c r="U29" s="7" t="s">
        <v>198</v>
      </c>
      <c r="V29" s="7" t="s">
        <v>49</v>
      </c>
      <c r="W29" s="10" t="s">
        <v>118</v>
      </c>
      <c r="X29" s="24" t="s">
        <v>83</v>
      </c>
      <c r="Y29" s="11">
        <v>17.416</v>
      </c>
      <c r="Z29" s="11">
        <f t="shared" si="15"/>
        <v>592.14400000000001</v>
      </c>
      <c r="AA29" s="12">
        <f t="shared" si="13"/>
        <v>58688.436800000003</v>
      </c>
      <c r="AB29" s="12">
        <f t="shared" si="12"/>
        <v>1995406.8512000002</v>
      </c>
      <c r="AC29" s="19">
        <v>45681</v>
      </c>
      <c r="AD29" s="12">
        <f t="shared" si="11"/>
        <v>1553154</v>
      </c>
      <c r="AE29" s="11">
        <v>0</v>
      </c>
      <c r="AF29" s="23">
        <v>3369.8</v>
      </c>
      <c r="AG29" s="10" t="s">
        <v>50</v>
      </c>
      <c r="AH29" s="25" t="s">
        <v>40</v>
      </c>
      <c r="AI29" s="27" t="s">
        <v>110</v>
      </c>
      <c r="AJ29" s="10" t="s">
        <v>176</v>
      </c>
      <c r="AK29" s="27" t="s">
        <v>54</v>
      </c>
      <c r="AL29" s="14"/>
      <c r="AM29" s="14" t="s">
        <v>50</v>
      </c>
      <c r="AN29" s="20" t="s">
        <v>50</v>
      </c>
      <c r="AO29" s="14" t="s">
        <v>207</v>
      </c>
      <c r="AP29" s="19"/>
      <c r="AQ29" s="26">
        <f t="shared" si="8"/>
        <v>592.14400000000001</v>
      </c>
      <c r="AR29" s="28">
        <v>0</v>
      </c>
      <c r="AS29" s="13">
        <f t="shared" si="6"/>
        <v>592.14400000000001</v>
      </c>
      <c r="AT29" s="29">
        <f t="shared" si="9"/>
        <v>1</v>
      </c>
      <c r="AU29" s="14" t="s">
        <v>55</v>
      </c>
    </row>
    <row r="30" spans="1:47" x14ac:dyDescent="0.25">
      <c r="A30" s="90">
        <v>45959</v>
      </c>
      <c r="B30" s="6" t="s">
        <v>58</v>
      </c>
      <c r="C30" s="6" t="str">
        <f t="shared" si="0"/>
        <v>Oct</v>
      </c>
      <c r="D30" s="39">
        <f t="shared" si="1"/>
        <v>2025</v>
      </c>
      <c r="E30" s="6">
        <v>28</v>
      </c>
      <c r="F30" s="6" t="s">
        <v>226</v>
      </c>
      <c r="G30" s="6" t="s">
        <v>69</v>
      </c>
      <c r="H30" s="21" t="s">
        <v>70</v>
      </c>
      <c r="I30" s="7" t="s">
        <v>75</v>
      </c>
      <c r="J30" s="7" t="s">
        <v>160</v>
      </c>
      <c r="K30" s="7"/>
      <c r="L30" s="8">
        <v>258</v>
      </c>
      <c r="M30" s="116">
        <f>VLOOKUP(Table1[[#This Row],[BL NO.]],'BL NCs'!$E$3:$K$78,7,0)</f>
        <v>255</v>
      </c>
      <c r="N30" s="7"/>
      <c r="O30" s="132" t="s">
        <v>323</v>
      </c>
      <c r="P30" s="9">
        <v>48</v>
      </c>
      <c r="Q30" s="9">
        <v>9</v>
      </c>
      <c r="R30" s="9">
        <f>Table1[[#This Row],[Torn QTY]]-Table1[[#This Row],[loss]]</f>
        <v>39</v>
      </c>
      <c r="S30" s="7" t="s">
        <v>67</v>
      </c>
      <c r="T30" s="7" t="s">
        <v>200</v>
      </c>
      <c r="U30" s="7" t="s">
        <v>198</v>
      </c>
      <c r="V30" s="7" t="s">
        <v>49</v>
      </c>
      <c r="W30" s="10" t="s">
        <v>311</v>
      </c>
      <c r="X30" s="24" t="s">
        <v>83</v>
      </c>
      <c r="Y30" s="11">
        <v>8.75</v>
      </c>
      <c r="Z30" s="11">
        <f t="shared" si="15"/>
        <v>2231.25</v>
      </c>
      <c r="AA30" s="12">
        <f t="shared" si="13"/>
        <v>31041.412500000002</v>
      </c>
      <c r="AB30" s="12">
        <f t="shared" si="12"/>
        <v>7915560.1875000009</v>
      </c>
      <c r="AC30" s="19">
        <v>23264.087289999999</v>
      </c>
      <c r="AD30" s="12">
        <f t="shared" si="11"/>
        <v>5932342.2589499997</v>
      </c>
      <c r="AE30" s="11">
        <v>0</v>
      </c>
      <c r="AF30" s="23">
        <v>3547.59</v>
      </c>
      <c r="AG30" s="10" t="s">
        <v>50</v>
      </c>
      <c r="AH30" s="25" t="s">
        <v>40</v>
      </c>
      <c r="AI30" s="27" t="s">
        <v>110</v>
      </c>
      <c r="AJ30" s="10" t="s">
        <v>176</v>
      </c>
      <c r="AK30" s="27" t="s">
        <v>54</v>
      </c>
      <c r="AL30" s="14"/>
      <c r="AM30" s="14" t="s">
        <v>50</v>
      </c>
      <c r="AN30" s="20" t="s">
        <v>50</v>
      </c>
      <c r="AO30" s="14" t="s">
        <v>207</v>
      </c>
      <c r="AP30" s="19"/>
      <c r="AQ30" s="26">
        <f t="shared" si="8"/>
        <v>2231.25</v>
      </c>
      <c r="AR30" s="28">
        <v>0</v>
      </c>
      <c r="AS30" s="13">
        <f t="shared" si="6"/>
        <v>2231.25</v>
      </c>
      <c r="AT30" s="29">
        <f t="shared" si="9"/>
        <v>1</v>
      </c>
      <c r="AU30" s="14" t="s">
        <v>55</v>
      </c>
    </row>
    <row r="31" spans="1:47" x14ac:dyDescent="0.25">
      <c r="A31" s="89">
        <v>45966</v>
      </c>
      <c r="B31" s="6" t="s">
        <v>58</v>
      </c>
      <c r="C31" s="6" t="str">
        <f t="shared" si="0"/>
        <v>Nov</v>
      </c>
      <c r="D31" s="39">
        <f t="shared" si="1"/>
        <v>2025</v>
      </c>
      <c r="E31" s="6">
        <v>29</v>
      </c>
      <c r="F31" s="6" t="s">
        <v>227</v>
      </c>
      <c r="G31" s="6" t="s">
        <v>69</v>
      </c>
      <c r="H31" s="21" t="s">
        <v>70</v>
      </c>
      <c r="I31" s="7" t="s">
        <v>52</v>
      </c>
      <c r="J31" s="7" t="s">
        <v>71</v>
      </c>
      <c r="K31" s="7"/>
      <c r="L31" s="8">
        <v>33</v>
      </c>
      <c r="M31" s="8">
        <f>VLOOKUP(Table1[[#This Row],[BL NO.]],'BL NCs'!$E$3:$K$78,7,0)</f>
        <v>9</v>
      </c>
      <c r="N31" s="7"/>
      <c r="O31" s="132">
        <v>89</v>
      </c>
      <c r="P31" s="9">
        <v>33</v>
      </c>
      <c r="Q31" s="9">
        <v>8</v>
      </c>
      <c r="R31" s="9">
        <f>Table1[[#This Row],[Torn QTY]]-Table1[[#This Row],[loss]]</f>
        <v>25</v>
      </c>
      <c r="S31" s="7" t="s">
        <v>67</v>
      </c>
      <c r="T31" s="7" t="s">
        <v>200</v>
      </c>
      <c r="U31" s="7" t="s">
        <v>198</v>
      </c>
      <c r="V31" s="7" t="s">
        <v>49</v>
      </c>
      <c r="W31" s="10" t="s">
        <v>179</v>
      </c>
      <c r="X31" s="24" t="s">
        <v>74</v>
      </c>
      <c r="Y31" s="11">
        <v>16.52</v>
      </c>
      <c r="Z31" s="11">
        <f>Y31*M31</f>
        <v>148.68</v>
      </c>
      <c r="AA31" s="12">
        <f t="shared" si="13"/>
        <v>58606.186800000003</v>
      </c>
      <c r="AB31" s="12">
        <f t="shared" si="12"/>
        <v>527455.68119999999</v>
      </c>
      <c r="AC31" s="19">
        <v>42710.4732</v>
      </c>
      <c r="AD31" s="12">
        <f t="shared" si="11"/>
        <v>384394.25880000001</v>
      </c>
      <c r="AE31" s="11">
        <v>0</v>
      </c>
      <c r="AF31" s="23">
        <v>3547.59</v>
      </c>
      <c r="AG31" s="10" t="s">
        <v>206</v>
      </c>
      <c r="AH31" s="25" t="s">
        <v>45</v>
      </c>
      <c r="AI31" s="27" t="s">
        <v>110</v>
      </c>
      <c r="AJ31" s="10" t="s">
        <v>176</v>
      </c>
      <c r="AK31" s="27" t="s">
        <v>54</v>
      </c>
      <c r="AL31" s="14"/>
      <c r="AM31" s="14" t="s">
        <v>65</v>
      </c>
      <c r="AN31" s="20" t="s">
        <v>42</v>
      </c>
      <c r="AO31" s="14" t="s">
        <v>416</v>
      </c>
      <c r="AP31" s="19"/>
      <c r="AQ31" s="26">
        <f t="shared" si="8"/>
        <v>148.68</v>
      </c>
      <c r="AR31" s="28">
        <v>0</v>
      </c>
      <c r="AS31" s="13">
        <f t="shared" si="6"/>
        <v>148.68</v>
      </c>
      <c r="AT31" s="29">
        <f t="shared" si="9"/>
        <v>1</v>
      </c>
      <c r="AU31" s="14" t="s">
        <v>416</v>
      </c>
    </row>
    <row r="32" spans="1:47" x14ac:dyDescent="0.25">
      <c r="A32" s="89">
        <v>45966</v>
      </c>
      <c r="B32" s="6"/>
      <c r="C32" s="6" t="str">
        <f t="shared" si="0"/>
        <v>Nov</v>
      </c>
      <c r="D32" s="39">
        <f t="shared" si="1"/>
        <v>2025</v>
      </c>
      <c r="E32" s="6">
        <v>30</v>
      </c>
      <c r="F32" s="6" t="s">
        <v>228</v>
      </c>
      <c r="G32" s="6" t="s">
        <v>69</v>
      </c>
      <c r="H32" s="21" t="s">
        <v>70</v>
      </c>
      <c r="I32" s="7" t="s">
        <v>52</v>
      </c>
      <c r="J32" s="7" t="s">
        <v>71</v>
      </c>
      <c r="K32" s="7"/>
      <c r="L32" s="8">
        <v>71</v>
      </c>
      <c r="M32" s="8">
        <f>VLOOKUP(Table1[[#This Row],[BL NO.]],'BL NCs'!$E$3:$K$78,7,0)</f>
        <v>16</v>
      </c>
      <c r="N32" s="7"/>
      <c r="O32" s="132">
        <v>90</v>
      </c>
      <c r="P32" s="9">
        <v>71</v>
      </c>
      <c r="Q32" s="9">
        <v>14</v>
      </c>
      <c r="R32" s="9">
        <f>Table1[[#This Row],[Torn QTY]]-Table1[[#This Row],[loss]]</f>
        <v>57</v>
      </c>
      <c r="S32" s="7" t="s">
        <v>67</v>
      </c>
      <c r="T32" s="7" t="s">
        <v>200</v>
      </c>
      <c r="U32" s="7" t="s">
        <v>198</v>
      </c>
      <c r="V32" s="7" t="s">
        <v>49</v>
      </c>
      <c r="W32" s="10" t="s">
        <v>120</v>
      </c>
      <c r="X32" s="24" t="s">
        <v>74</v>
      </c>
      <c r="Y32" s="11">
        <v>16.52</v>
      </c>
      <c r="Z32" s="11">
        <f t="shared" si="15"/>
        <v>264.32</v>
      </c>
      <c r="AA32" s="12">
        <f t="shared" si="13"/>
        <v>58606.186800000003</v>
      </c>
      <c r="AB32" s="12">
        <f t="shared" si="12"/>
        <v>937698.98880000005</v>
      </c>
      <c r="AC32" s="19">
        <v>42710.4732</v>
      </c>
      <c r="AD32" s="12">
        <f t="shared" si="11"/>
        <v>683367.57120000001</v>
      </c>
      <c r="AE32" s="11">
        <v>0</v>
      </c>
      <c r="AF32" s="23">
        <v>3547.59</v>
      </c>
      <c r="AG32" s="10" t="s">
        <v>206</v>
      </c>
      <c r="AH32" s="25" t="s">
        <v>45</v>
      </c>
      <c r="AI32" s="27" t="s">
        <v>110</v>
      </c>
      <c r="AJ32" s="10" t="s">
        <v>176</v>
      </c>
      <c r="AK32" s="27" t="s">
        <v>54</v>
      </c>
      <c r="AL32" s="14"/>
      <c r="AM32" s="14" t="s">
        <v>65</v>
      </c>
      <c r="AN32" s="20" t="s">
        <v>42</v>
      </c>
      <c r="AO32" s="14" t="s">
        <v>416</v>
      </c>
      <c r="AP32" s="19"/>
      <c r="AQ32" s="26">
        <f t="shared" si="8"/>
        <v>264.32</v>
      </c>
      <c r="AR32" s="28">
        <v>0</v>
      </c>
      <c r="AS32" s="13">
        <f t="shared" si="6"/>
        <v>264.32</v>
      </c>
      <c r="AT32" s="29">
        <f t="shared" si="9"/>
        <v>1</v>
      </c>
      <c r="AU32" s="14" t="s">
        <v>416</v>
      </c>
    </row>
    <row r="33" spans="1:47" x14ac:dyDescent="0.25">
      <c r="A33" s="89">
        <v>45972</v>
      </c>
      <c r="B33" s="21" t="s">
        <v>58</v>
      </c>
      <c r="C33" s="6" t="str">
        <f t="shared" si="0"/>
        <v>Nov</v>
      </c>
      <c r="D33" s="39">
        <f t="shared" si="1"/>
        <v>2025</v>
      </c>
      <c r="E33" s="6">
        <v>31</v>
      </c>
      <c r="F33" s="6">
        <v>259338012</v>
      </c>
      <c r="G33" s="6" t="s">
        <v>69</v>
      </c>
      <c r="H33" s="21" t="s">
        <v>70</v>
      </c>
      <c r="I33" s="7" t="s">
        <v>52</v>
      </c>
      <c r="J33" s="7" t="s">
        <v>71</v>
      </c>
      <c r="K33" s="7"/>
      <c r="L33" s="8">
        <v>44</v>
      </c>
      <c r="M33" s="8">
        <f>VLOOKUP(Table1[[#This Row],[BL NO.]],'BL NCs'!$E$3:$K$78,7,0)</f>
        <v>5</v>
      </c>
      <c r="N33" s="7"/>
      <c r="O33" s="132">
        <v>95</v>
      </c>
      <c r="P33" s="9">
        <v>44</v>
      </c>
      <c r="Q33" s="9">
        <v>5</v>
      </c>
      <c r="R33" s="9">
        <f>Table1[[#This Row],[Torn QTY]]-Table1[[#This Row],[loss]]</f>
        <v>39</v>
      </c>
      <c r="S33" s="7" t="s">
        <v>67</v>
      </c>
      <c r="T33" s="7" t="s">
        <v>200</v>
      </c>
      <c r="U33" s="7" t="s">
        <v>198</v>
      </c>
      <c r="V33" s="7" t="s">
        <v>49</v>
      </c>
      <c r="W33" s="10" t="s">
        <v>121</v>
      </c>
      <c r="X33" s="24" t="s">
        <v>74</v>
      </c>
      <c r="Y33" s="11">
        <v>17.43</v>
      </c>
      <c r="Z33" s="11">
        <f t="shared" si="15"/>
        <v>87.15</v>
      </c>
      <c r="AA33" s="12">
        <f t="shared" si="13"/>
        <v>61834.493699999999</v>
      </c>
      <c r="AB33" s="12">
        <f t="shared" si="12"/>
        <v>309172.46850000002</v>
      </c>
      <c r="AC33" s="19">
        <v>42710.4732</v>
      </c>
      <c r="AD33" s="12">
        <f t="shared" si="11"/>
        <v>213552.36600000001</v>
      </c>
      <c r="AE33" s="11">
        <v>0</v>
      </c>
      <c r="AF33" s="23">
        <v>3547.59</v>
      </c>
      <c r="AG33" s="10" t="s">
        <v>206</v>
      </c>
      <c r="AH33" s="25" t="s">
        <v>45</v>
      </c>
      <c r="AI33" s="27" t="s">
        <v>110</v>
      </c>
      <c r="AJ33" s="10" t="s">
        <v>176</v>
      </c>
      <c r="AK33" s="27" t="s">
        <v>54</v>
      </c>
      <c r="AL33" s="14"/>
      <c r="AM33" s="14" t="s">
        <v>65</v>
      </c>
      <c r="AN33" s="20" t="s">
        <v>42</v>
      </c>
      <c r="AO33" s="14" t="s">
        <v>416</v>
      </c>
      <c r="AP33" s="19"/>
      <c r="AQ33" s="26">
        <f t="shared" si="8"/>
        <v>87.15</v>
      </c>
      <c r="AR33" s="28">
        <v>0</v>
      </c>
      <c r="AS33" s="13">
        <f t="shared" si="6"/>
        <v>87.15</v>
      </c>
      <c r="AT33" s="29">
        <f t="shared" si="9"/>
        <v>1</v>
      </c>
      <c r="AU33" s="14" t="s">
        <v>416</v>
      </c>
    </row>
    <row r="34" spans="1:47" x14ac:dyDescent="0.25">
      <c r="A34" s="89">
        <v>45972</v>
      </c>
      <c r="B34" s="21"/>
      <c r="C34" s="6" t="str">
        <f t="shared" si="0"/>
        <v>Nov</v>
      </c>
      <c r="D34" s="39">
        <f t="shared" si="1"/>
        <v>2025</v>
      </c>
      <c r="E34" s="6">
        <v>32</v>
      </c>
      <c r="F34" s="6">
        <v>259649778</v>
      </c>
      <c r="G34" s="6" t="s">
        <v>69</v>
      </c>
      <c r="H34" s="21" t="s">
        <v>70</v>
      </c>
      <c r="I34" s="7" t="s">
        <v>52</v>
      </c>
      <c r="J34" s="7" t="s">
        <v>71</v>
      </c>
      <c r="K34" s="7"/>
      <c r="L34" s="8">
        <v>23</v>
      </c>
      <c r="M34" s="8">
        <f>VLOOKUP(Table1[[#This Row],[BL NO.]],'BL NCs'!$E$3:$K$78,7,0)</f>
        <v>7</v>
      </c>
      <c r="N34" s="7"/>
      <c r="O34" s="132">
        <v>96</v>
      </c>
      <c r="P34" s="9">
        <v>23</v>
      </c>
      <c r="Q34" s="9">
        <v>7</v>
      </c>
      <c r="R34" s="9">
        <f>Table1[[#This Row],[Torn QTY]]-Table1[[#This Row],[loss]]</f>
        <v>16</v>
      </c>
      <c r="S34" s="7" t="s">
        <v>67</v>
      </c>
      <c r="T34" s="7" t="s">
        <v>200</v>
      </c>
      <c r="U34" s="7" t="s">
        <v>198</v>
      </c>
      <c r="V34" s="7" t="s">
        <v>49</v>
      </c>
      <c r="W34" s="10" t="s">
        <v>122</v>
      </c>
      <c r="X34" s="24" t="s">
        <v>74</v>
      </c>
      <c r="Y34" s="11">
        <v>17.43</v>
      </c>
      <c r="Z34" s="11">
        <f t="shared" si="15"/>
        <v>122.00999999999999</v>
      </c>
      <c r="AA34" s="12">
        <f t="shared" si="13"/>
        <v>61834.493699999999</v>
      </c>
      <c r="AB34" s="12">
        <f t="shared" si="12"/>
        <v>432841.4559</v>
      </c>
      <c r="AC34" s="19">
        <v>42710.4732</v>
      </c>
      <c r="AD34" s="12">
        <f t="shared" si="11"/>
        <v>298973.3124</v>
      </c>
      <c r="AE34" s="11">
        <v>0</v>
      </c>
      <c r="AF34" s="23">
        <v>3547.59</v>
      </c>
      <c r="AG34" s="10" t="s">
        <v>206</v>
      </c>
      <c r="AH34" s="25" t="s">
        <v>45</v>
      </c>
      <c r="AI34" s="27" t="s">
        <v>110</v>
      </c>
      <c r="AJ34" s="10" t="s">
        <v>176</v>
      </c>
      <c r="AK34" s="27" t="s">
        <v>54</v>
      </c>
      <c r="AL34" s="14"/>
      <c r="AM34" s="14" t="s">
        <v>65</v>
      </c>
      <c r="AN34" s="20" t="s">
        <v>42</v>
      </c>
      <c r="AO34" s="14" t="s">
        <v>416</v>
      </c>
      <c r="AP34" s="19"/>
      <c r="AQ34" s="26">
        <f t="shared" si="8"/>
        <v>122.00999999999999</v>
      </c>
      <c r="AR34" s="28">
        <v>0</v>
      </c>
      <c r="AS34" s="13">
        <f t="shared" si="6"/>
        <v>122.00999999999999</v>
      </c>
      <c r="AT34" s="29">
        <f t="shared" si="9"/>
        <v>1</v>
      </c>
      <c r="AU34" s="14" t="s">
        <v>416</v>
      </c>
    </row>
    <row r="35" spans="1:47" x14ac:dyDescent="0.25">
      <c r="A35" s="89">
        <v>45978</v>
      </c>
      <c r="B35" s="6" t="s">
        <v>58</v>
      </c>
      <c r="C35" s="6" t="str">
        <f t="shared" si="0"/>
        <v>Nov</v>
      </c>
      <c r="D35" s="39">
        <f t="shared" si="1"/>
        <v>2025</v>
      </c>
      <c r="E35" s="6">
        <v>33</v>
      </c>
      <c r="F35" s="6" t="s">
        <v>229</v>
      </c>
      <c r="G35" s="6" t="s">
        <v>69</v>
      </c>
      <c r="H35" s="21" t="s">
        <v>70</v>
      </c>
      <c r="I35" s="7" t="s">
        <v>52</v>
      </c>
      <c r="J35" s="7" t="s">
        <v>71</v>
      </c>
      <c r="K35" s="7"/>
      <c r="L35" s="8">
        <v>84</v>
      </c>
      <c r="M35" s="8">
        <f>VLOOKUP(Table1[[#This Row],[BL NO.]],'BL NCs'!$E$3:$K$78,7,0)</f>
        <v>19</v>
      </c>
      <c r="N35" s="7"/>
      <c r="O35" s="132">
        <v>100</v>
      </c>
      <c r="P35" s="9">
        <v>84</v>
      </c>
      <c r="Q35" s="9">
        <v>19</v>
      </c>
      <c r="R35" s="9">
        <f>Table1[[#This Row],[Torn QTY]]-Table1[[#This Row],[loss]]</f>
        <v>65</v>
      </c>
      <c r="S35" s="7" t="s">
        <v>67</v>
      </c>
      <c r="T35" s="7" t="s">
        <v>200</v>
      </c>
      <c r="U35" s="7" t="s">
        <v>198</v>
      </c>
      <c r="V35" s="7" t="s">
        <v>49</v>
      </c>
      <c r="W35" s="10" t="s">
        <v>123</v>
      </c>
      <c r="X35" s="24" t="s">
        <v>74</v>
      </c>
      <c r="Y35" s="11">
        <v>16.52</v>
      </c>
      <c r="Z35" s="11">
        <f t="shared" si="15"/>
        <v>313.88</v>
      </c>
      <c r="AA35" s="12">
        <f t="shared" si="13"/>
        <v>58606.186800000003</v>
      </c>
      <c r="AB35" s="12">
        <f t="shared" si="12"/>
        <v>1113517.5492</v>
      </c>
      <c r="AC35" s="19">
        <v>42710.4732</v>
      </c>
      <c r="AD35" s="12">
        <f t="shared" si="11"/>
        <v>811498.99080000003</v>
      </c>
      <c r="AE35" s="11">
        <v>0</v>
      </c>
      <c r="AF35" s="23">
        <v>3547.59</v>
      </c>
      <c r="AG35" s="10" t="s">
        <v>206</v>
      </c>
      <c r="AH35" s="25" t="s">
        <v>45</v>
      </c>
      <c r="AI35" s="27" t="s">
        <v>110</v>
      </c>
      <c r="AJ35" s="10" t="s">
        <v>176</v>
      </c>
      <c r="AK35" s="27" t="s">
        <v>54</v>
      </c>
      <c r="AL35" s="14"/>
      <c r="AM35" s="14" t="s">
        <v>65</v>
      </c>
      <c r="AN35" s="20" t="s">
        <v>42</v>
      </c>
      <c r="AO35" s="14" t="s">
        <v>416</v>
      </c>
      <c r="AP35" s="19"/>
      <c r="AQ35" s="26">
        <f t="shared" si="8"/>
        <v>313.88</v>
      </c>
      <c r="AR35" s="28">
        <v>0</v>
      </c>
      <c r="AS35" s="13">
        <f t="shared" si="6"/>
        <v>313.88</v>
      </c>
      <c r="AT35" s="29">
        <f t="shared" si="9"/>
        <v>1</v>
      </c>
      <c r="AU35" s="14" t="s">
        <v>416</v>
      </c>
    </row>
    <row r="36" spans="1:47" x14ac:dyDescent="0.25">
      <c r="A36" s="89">
        <v>45979</v>
      </c>
      <c r="B36" s="6" t="s">
        <v>58</v>
      </c>
      <c r="C36" s="6" t="str">
        <f t="shared" si="0"/>
        <v>Nov</v>
      </c>
      <c r="D36" s="39">
        <f t="shared" si="1"/>
        <v>2025</v>
      </c>
      <c r="E36" s="6">
        <v>34</v>
      </c>
      <c r="F36" s="6" t="s">
        <v>230</v>
      </c>
      <c r="G36" s="6" t="s">
        <v>69</v>
      </c>
      <c r="H36" s="21" t="s">
        <v>70</v>
      </c>
      <c r="I36" s="7" t="s">
        <v>52</v>
      </c>
      <c r="J36" s="7" t="s">
        <v>71</v>
      </c>
      <c r="K36" s="7"/>
      <c r="L36" s="8">
        <v>57</v>
      </c>
      <c r="M36" s="8">
        <f>VLOOKUP(Table1[[#This Row],[BL NO.]],'BL NCs'!$E$3:$K$78,7,0)</f>
        <v>8</v>
      </c>
      <c r="N36" s="7"/>
      <c r="O36" s="132">
        <v>101</v>
      </c>
      <c r="P36" s="9">
        <v>57</v>
      </c>
      <c r="Q36" s="9">
        <v>8</v>
      </c>
      <c r="R36" s="9">
        <f>Table1[[#This Row],[Torn QTY]]-Table1[[#This Row],[loss]]</f>
        <v>49</v>
      </c>
      <c r="S36" s="7" t="s">
        <v>67</v>
      </c>
      <c r="T36" s="7" t="s">
        <v>200</v>
      </c>
      <c r="U36" s="7" t="s">
        <v>198</v>
      </c>
      <c r="V36" s="7" t="s">
        <v>49</v>
      </c>
      <c r="W36" s="10" t="s">
        <v>124</v>
      </c>
      <c r="X36" s="24" t="s">
        <v>74</v>
      </c>
      <c r="Y36" s="11">
        <v>16.52</v>
      </c>
      <c r="Z36" s="11">
        <f t="shared" si="15"/>
        <v>132.16</v>
      </c>
      <c r="AA36" s="12">
        <f t="shared" si="13"/>
        <v>58606.186800000003</v>
      </c>
      <c r="AB36" s="12">
        <f t="shared" si="12"/>
        <v>468849.49440000003</v>
      </c>
      <c r="AC36" s="19">
        <v>42711.4732</v>
      </c>
      <c r="AD36" s="12">
        <f t="shared" si="11"/>
        <v>341691.7856</v>
      </c>
      <c r="AE36" s="11">
        <v>0</v>
      </c>
      <c r="AF36" s="23">
        <v>3547.59</v>
      </c>
      <c r="AG36" s="10" t="s">
        <v>206</v>
      </c>
      <c r="AH36" s="25" t="s">
        <v>45</v>
      </c>
      <c r="AI36" s="27" t="s">
        <v>110</v>
      </c>
      <c r="AJ36" s="10" t="s">
        <v>176</v>
      </c>
      <c r="AK36" s="27" t="s">
        <v>54</v>
      </c>
      <c r="AL36" s="14"/>
      <c r="AM36" s="14" t="s">
        <v>65</v>
      </c>
      <c r="AN36" s="20" t="s">
        <v>42</v>
      </c>
      <c r="AO36" s="14" t="s">
        <v>416</v>
      </c>
      <c r="AP36" s="19"/>
      <c r="AQ36" s="26">
        <f t="shared" si="8"/>
        <v>132.16</v>
      </c>
      <c r="AR36" s="28">
        <v>0</v>
      </c>
      <c r="AS36" s="13">
        <f t="shared" si="6"/>
        <v>132.16</v>
      </c>
      <c r="AT36" s="29">
        <f t="shared" si="9"/>
        <v>1</v>
      </c>
      <c r="AU36" s="14" t="s">
        <v>416</v>
      </c>
    </row>
    <row r="37" spans="1:47" x14ac:dyDescent="0.25">
      <c r="A37" s="89">
        <v>45993</v>
      </c>
      <c r="B37" s="6" t="s">
        <v>58</v>
      </c>
      <c r="C37" s="6" t="str">
        <f t="shared" si="0"/>
        <v>Dec</v>
      </c>
      <c r="D37" s="39">
        <f t="shared" si="1"/>
        <v>2025</v>
      </c>
      <c r="E37" s="6">
        <v>35</v>
      </c>
      <c r="F37" s="6">
        <v>257625599</v>
      </c>
      <c r="G37" s="6" t="s">
        <v>69</v>
      </c>
      <c r="H37" s="21" t="s">
        <v>70</v>
      </c>
      <c r="I37" s="7" t="s">
        <v>52</v>
      </c>
      <c r="J37" s="7" t="s">
        <v>71</v>
      </c>
      <c r="K37" s="7"/>
      <c r="L37" s="8">
        <v>35</v>
      </c>
      <c r="M37" s="116">
        <f>VLOOKUP(Table1[[#This Row],[BL NO.]],'BL NCs'!$E$3:$K$78,7,0)</f>
        <v>9</v>
      </c>
      <c r="N37" s="7"/>
      <c r="O37" s="132" t="s">
        <v>315</v>
      </c>
      <c r="P37" s="9">
        <v>35</v>
      </c>
      <c r="Q37" s="9">
        <v>9</v>
      </c>
      <c r="R37" s="9">
        <f>Table1[[#This Row],[Torn QTY]]-Table1[[#This Row],[loss]]</f>
        <v>26</v>
      </c>
      <c r="S37" s="7" t="s">
        <v>67</v>
      </c>
      <c r="T37" s="7" t="s">
        <v>200</v>
      </c>
      <c r="U37" s="7" t="s">
        <v>198</v>
      </c>
      <c r="V37" s="7" t="s">
        <v>49</v>
      </c>
      <c r="W37" s="10" t="s">
        <v>125</v>
      </c>
      <c r="X37" s="24" t="s">
        <v>74</v>
      </c>
      <c r="Y37" s="11">
        <v>17.744</v>
      </c>
      <c r="Z37" s="11">
        <f t="shared" si="15"/>
        <v>159.696</v>
      </c>
      <c r="AA37" s="12">
        <f t="shared" si="13"/>
        <v>63437.993919999994</v>
      </c>
      <c r="AB37" s="12">
        <f t="shared" si="12"/>
        <v>570941.94527999999</v>
      </c>
      <c r="AC37" s="19">
        <v>23264.08728</v>
      </c>
      <c r="AD37" s="12">
        <f t="shared" si="11"/>
        <v>209376.78552</v>
      </c>
      <c r="AE37" s="11">
        <v>0</v>
      </c>
      <c r="AF37" s="23">
        <v>3575.18</v>
      </c>
      <c r="AG37" s="10" t="s">
        <v>206</v>
      </c>
      <c r="AH37" s="25" t="s">
        <v>45</v>
      </c>
      <c r="AI37" s="27" t="s">
        <v>110</v>
      </c>
      <c r="AJ37" s="10" t="s">
        <v>176</v>
      </c>
      <c r="AK37" s="27" t="s">
        <v>54</v>
      </c>
      <c r="AL37" s="14"/>
      <c r="AM37" s="14" t="s">
        <v>65</v>
      </c>
      <c r="AN37" s="20" t="s">
        <v>42</v>
      </c>
      <c r="AO37" s="14" t="s">
        <v>416</v>
      </c>
      <c r="AP37" s="19"/>
      <c r="AQ37" s="26">
        <f t="shared" si="8"/>
        <v>159.696</v>
      </c>
      <c r="AR37" s="28">
        <v>0</v>
      </c>
      <c r="AS37" s="13">
        <f t="shared" si="6"/>
        <v>159.696</v>
      </c>
      <c r="AT37" s="29">
        <f t="shared" si="9"/>
        <v>1</v>
      </c>
      <c r="AU37" s="14" t="s">
        <v>416</v>
      </c>
    </row>
    <row r="38" spans="1:47" x14ac:dyDescent="0.25">
      <c r="A38" s="89">
        <v>45993</v>
      </c>
      <c r="B38" s="6"/>
      <c r="C38" s="6" t="str">
        <f t="shared" si="0"/>
        <v>Dec</v>
      </c>
      <c r="D38" s="39">
        <f t="shared" si="1"/>
        <v>2025</v>
      </c>
      <c r="E38" s="6">
        <v>36</v>
      </c>
      <c r="F38" s="6">
        <v>257625490</v>
      </c>
      <c r="G38" s="6" t="s">
        <v>69</v>
      </c>
      <c r="H38" s="21" t="s">
        <v>70</v>
      </c>
      <c r="I38" s="7" t="s">
        <v>52</v>
      </c>
      <c r="J38" s="7" t="s">
        <v>71</v>
      </c>
      <c r="K38" s="7"/>
      <c r="L38" s="8">
        <v>37</v>
      </c>
      <c r="M38" s="116">
        <f>VLOOKUP(Table1[[#This Row],[BL NO.]],'BL NCs'!$E$3:$K$78,7,0)</f>
        <v>17</v>
      </c>
      <c r="N38" s="7"/>
      <c r="O38" s="132" t="s">
        <v>316</v>
      </c>
      <c r="P38" s="9">
        <v>37</v>
      </c>
      <c r="Q38" s="9">
        <v>13</v>
      </c>
      <c r="R38" s="9">
        <f>Table1[[#This Row],[Torn QTY]]-Table1[[#This Row],[loss]]</f>
        <v>24</v>
      </c>
      <c r="S38" s="7" t="s">
        <v>67</v>
      </c>
      <c r="T38" s="7" t="s">
        <v>200</v>
      </c>
      <c r="U38" s="7" t="s">
        <v>198</v>
      </c>
      <c r="V38" s="7" t="s">
        <v>49</v>
      </c>
      <c r="W38" s="10" t="s">
        <v>126</v>
      </c>
      <c r="X38" s="24" t="s">
        <v>74</v>
      </c>
      <c r="Y38" s="11">
        <v>17.744</v>
      </c>
      <c r="Z38" s="11">
        <f t="shared" si="15"/>
        <v>301.64800000000002</v>
      </c>
      <c r="AA38" s="12">
        <f t="shared" si="13"/>
        <v>63437.993919999994</v>
      </c>
      <c r="AB38" s="12">
        <f t="shared" si="12"/>
        <v>1078445.8966399999</v>
      </c>
      <c r="AC38" s="19">
        <v>23264.08728</v>
      </c>
      <c r="AD38" s="12">
        <f t="shared" si="11"/>
        <v>395489.48375999997</v>
      </c>
      <c r="AE38" s="11">
        <v>0</v>
      </c>
      <c r="AF38" s="23">
        <v>3575.18</v>
      </c>
      <c r="AG38" s="10" t="s">
        <v>206</v>
      </c>
      <c r="AH38" s="25" t="s">
        <v>45</v>
      </c>
      <c r="AI38" s="27" t="s">
        <v>110</v>
      </c>
      <c r="AJ38" s="10" t="s">
        <v>176</v>
      </c>
      <c r="AK38" s="27" t="s">
        <v>54</v>
      </c>
      <c r="AL38" s="14"/>
      <c r="AM38" s="14" t="s">
        <v>65</v>
      </c>
      <c r="AN38" s="20" t="s">
        <v>42</v>
      </c>
      <c r="AO38" s="14" t="s">
        <v>416</v>
      </c>
      <c r="AP38" s="19"/>
      <c r="AQ38" s="26">
        <f t="shared" si="8"/>
        <v>301.64800000000002</v>
      </c>
      <c r="AR38" s="28">
        <v>0</v>
      </c>
      <c r="AS38" s="13">
        <f t="shared" si="6"/>
        <v>301.64800000000002</v>
      </c>
      <c r="AT38" s="29">
        <f t="shared" si="9"/>
        <v>1</v>
      </c>
      <c r="AU38" s="14" t="s">
        <v>416</v>
      </c>
    </row>
    <row r="39" spans="1:47" x14ac:dyDescent="0.25">
      <c r="A39" s="89">
        <v>45993</v>
      </c>
      <c r="B39" s="6"/>
      <c r="C39" s="6" t="str">
        <f t="shared" si="0"/>
        <v>Dec</v>
      </c>
      <c r="D39" s="39">
        <f t="shared" si="1"/>
        <v>2025</v>
      </c>
      <c r="E39" s="6">
        <v>37</v>
      </c>
      <c r="F39" s="6">
        <v>257906213</v>
      </c>
      <c r="G39" s="6" t="s">
        <v>69</v>
      </c>
      <c r="H39" s="21" t="s">
        <v>70</v>
      </c>
      <c r="I39" s="7" t="s">
        <v>52</v>
      </c>
      <c r="J39" s="7" t="s">
        <v>71</v>
      </c>
      <c r="K39" s="7"/>
      <c r="L39" s="8">
        <f>24+28</f>
        <v>52</v>
      </c>
      <c r="M39" s="116">
        <f>VLOOKUP(Table1[[#This Row],[BL NO.]],'BL NCs'!$E$3:$K$78,7,0)</f>
        <v>6</v>
      </c>
      <c r="N39" s="7"/>
      <c r="O39" s="132" t="s">
        <v>317</v>
      </c>
      <c r="P39" s="9">
        <v>28</v>
      </c>
      <c r="Q39" s="9">
        <f>5+1</f>
        <v>6</v>
      </c>
      <c r="R39" s="9">
        <f>Table1[[#This Row],[Torn QTY]]-Table1[[#This Row],[loss]]</f>
        <v>22</v>
      </c>
      <c r="S39" s="7" t="s">
        <v>67</v>
      </c>
      <c r="T39" s="7" t="s">
        <v>200</v>
      </c>
      <c r="U39" s="7" t="s">
        <v>198</v>
      </c>
      <c r="V39" s="7" t="s">
        <v>49</v>
      </c>
      <c r="W39" s="10" t="s">
        <v>180</v>
      </c>
      <c r="X39" s="24" t="s">
        <v>74</v>
      </c>
      <c r="Y39" s="11">
        <v>17.744</v>
      </c>
      <c r="Z39" s="11">
        <f t="shared" si="15"/>
        <v>106.464</v>
      </c>
      <c r="AA39" s="12">
        <f t="shared" si="13"/>
        <v>63437.993919999994</v>
      </c>
      <c r="AB39" s="12">
        <f t="shared" si="12"/>
        <v>380627.96351999999</v>
      </c>
      <c r="AC39" s="19">
        <v>23264.08728</v>
      </c>
      <c r="AD39" s="12">
        <f t="shared" si="11"/>
        <v>139584.52367999998</v>
      </c>
      <c r="AE39" s="11">
        <v>0</v>
      </c>
      <c r="AF39" s="23">
        <v>3575.18</v>
      </c>
      <c r="AG39" s="10" t="s">
        <v>206</v>
      </c>
      <c r="AH39" s="25" t="s">
        <v>45</v>
      </c>
      <c r="AI39" s="27" t="s">
        <v>110</v>
      </c>
      <c r="AJ39" s="10" t="s">
        <v>176</v>
      </c>
      <c r="AK39" s="27" t="s">
        <v>54</v>
      </c>
      <c r="AL39" s="14"/>
      <c r="AM39" s="14" t="s">
        <v>65</v>
      </c>
      <c r="AN39" s="20" t="s">
        <v>42</v>
      </c>
      <c r="AO39" s="14" t="s">
        <v>417</v>
      </c>
      <c r="AP39" s="19"/>
      <c r="AQ39" s="26">
        <f t="shared" si="8"/>
        <v>106.464</v>
      </c>
      <c r="AR39" s="28">
        <v>0</v>
      </c>
      <c r="AS39" s="13">
        <f t="shared" si="6"/>
        <v>106.464</v>
      </c>
      <c r="AT39" s="29">
        <f t="shared" si="9"/>
        <v>1</v>
      </c>
      <c r="AU39" s="14" t="s">
        <v>446</v>
      </c>
    </row>
    <row r="40" spans="1:47" x14ac:dyDescent="0.25">
      <c r="A40" s="89">
        <v>46006</v>
      </c>
      <c r="B40" s="6" t="s">
        <v>58</v>
      </c>
      <c r="C40" s="6" t="str">
        <f t="shared" si="0"/>
        <v>Dec</v>
      </c>
      <c r="D40" s="39">
        <f t="shared" si="1"/>
        <v>2025</v>
      </c>
      <c r="E40" s="6">
        <v>38</v>
      </c>
      <c r="F40" s="6" t="s">
        <v>231</v>
      </c>
      <c r="G40" s="6" t="s">
        <v>69</v>
      </c>
      <c r="H40" s="21" t="s">
        <v>70</v>
      </c>
      <c r="I40" s="7" t="s">
        <v>52</v>
      </c>
      <c r="J40" s="7" t="s">
        <v>71</v>
      </c>
      <c r="K40" s="7"/>
      <c r="L40" s="8">
        <v>55</v>
      </c>
      <c r="M40" s="8">
        <f>VLOOKUP(Table1[[#This Row],[BL NO.]],'BL NCs'!$E$3:$K$78,7,0)</f>
        <v>8</v>
      </c>
      <c r="N40" s="7"/>
      <c r="O40" s="132">
        <v>102</v>
      </c>
      <c r="P40" s="9">
        <v>55</v>
      </c>
      <c r="Q40" s="9">
        <v>8</v>
      </c>
      <c r="R40" s="9">
        <f>Table1[[#This Row],[Torn QTY]]-Table1[[#This Row],[loss]]</f>
        <v>47</v>
      </c>
      <c r="S40" s="7" t="s">
        <v>67</v>
      </c>
      <c r="T40" s="7" t="s">
        <v>200</v>
      </c>
      <c r="U40" s="7" t="s">
        <v>198</v>
      </c>
      <c r="V40" s="7" t="s">
        <v>49</v>
      </c>
      <c r="W40" s="10" t="s">
        <v>297</v>
      </c>
      <c r="X40" s="24" t="s">
        <v>74</v>
      </c>
      <c r="Y40" s="11">
        <v>16.2087</v>
      </c>
      <c r="Z40" s="11">
        <f t="shared" si="15"/>
        <v>129.6696</v>
      </c>
      <c r="AA40" s="12">
        <f t="shared" si="13"/>
        <v>57949.020065999997</v>
      </c>
      <c r="AB40" s="12">
        <f t="shared" si="12"/>
        <v>463592.16052799998</v>
      </c>
      <c r="AC40" s="19">
        <v>42710.736519999999</v>
      </c>
      <c r="AD40" s="12">
        <f t="shared" si="11"/>
        <v>341685.89215999999</v>
      </c>
      <c r="AE40" s="11">
        <v>0</v>
      </c>
      <c r="AF40" s="23">
        <v>3575.18</v>
      </c>
      <c r="AG40" s="10" t="s">
        <v>206</v>
      </c>
      <c r="AH40" s="25" t="s">
        <v>45</v>
      </c>
      <c r="AI40" s="27" t="s">
        <v>110</v>
      </c>
      <c r="AJ40" s="10" t="s">
        <v>176</v>
      </c>
      <c r="AK40" s="27" t="s">
        <v>54</v>
      </c>
      <c r="AL40" s="14"/>
      <c r="AM40" s="14" t="s">
        <v>65</v>
      </c>
      <c r="AN40" s="20" t="s">
        <v>42</v>
      </c>
      <c r="AO40" s="14" t="s">
        <v>416</v>
      </c>
      <c r="AP40" s="19"/>
      <c r="AQ40" s="26">
        <f t="shared" si="8"/>
        <v>129.6696</v>
      </c>
      <c r="AR40" s="28">
        <v>0</v>
      </c>
      <c r="AS40" s="13">
        <f t="shared" si="6"/>
        <v>129.6696</v>
      </c>
      <c r="AT40" s="29">
        <f t="shared" si="9"/>
        <v>1</v>
      </c>
      <c r="AU40" s="14" t="s">
        <v>416</v>
      </c>
    </row>
    <row r="41" spans="1:47" x14ac:dyDescent="0.25">
      <c r="A41" s="89">
        <v>46006</v>
      </c>
      <c r="B41" s="6"/>
      <c r="C41" s="6" t="str">
        <f t="shared" si="0"/>
        <v>Dec</v>
      </c>
      <c r="D41" s="39">
        <f t="shared" si="1"/>
        <v>2025</v>
      </c>
      <c r="E41" s="6">
        <v>39</v>
      </c>
      <c r="F41" s="6" t="s">
        <v>232</v>
      </c>
      <c r="G41" s="6" t="s">
        <v>69</v>
      </c>
      <c r="H41" s="21" t="s">
        <v>70</v>
      </c>
      <c r="I41" s="7" t="s">
        <v>52</v>
      </c>
      <c r="J41" s="7" t="s">
        <v>71</v>
      </c>
      <c r="K41" s="7"/>
      <c r="L41" s="8">
        <v>92</v>
      </c>
      <c r="M41" s="116">
        <f>VLOOKUP(Table1[[#This Row],[BL NO.]],'BL NCs'!$E$3:$K$78,7,0)</f>
        <v>27</v>
      </c>
      <c r="N41" s="7"/>
      <c r="O41" s="132" t="s">
        <v>318</v>
      </c>
      <c r="P41" s="9">
        <v>76</v>
      </c>
      <c r="Q41" s="9">
        <v>14</v>
      </c>
      <c r="R41" s="9">
        <f>Table1[[#This Row],[Torn QTY]]-Table1[[#This Row],[loss]]</f>
        <v>62</v>
      </c>
      <c r="S41" s="7" t="s">
        <v>67</v>
      </c>
      <c r="T41" s="7" t="s">
        <v>200</v>
      </c>
      <c r="U41" s="7" t="s">
        <v>198</v>
      </c>
      <c r="V41" s="7" t="s">
        <v>49</v>
      </c>
      <c r="W41" s="10" t="s">
        <v>438</v>
      </c>
      <c r="X41" s="24" t="s">
        <v>130</v>
      </c>
      <c r="Y41" s="11">
        <v>16.2087</v>
      </c>
      <c r="Z41" s="11">
        <f t="shared" si="15"/>
        <v>437.63490000000002</v>
      </c>
      <c r="AA41" s="12">
        <f t="shared" si="13"/>
        <v>57949.020065999997</v>
      </c>
      <c r="AB41" s="12">
        <f t="shared" si="12"/>
        <v>1564623.5417819999</v>
      </c>
      <c r="AC41" s="19">
        <v>42710.736519999999</v>
      </c>
      <c r="AD41" s="12">
        <f t="shared" si="11"/>
        <v>1153189.88604</v>
      </c>
      <c r="AE41" s="11">
        <v>0</v>
      </c>
      <c r="AF41" s="23">
        <v>3575.18</v>
      </c>
      <c r="AG41" s="10" t="s">
        <v>206</v>
      </c>
      <c r="AH41" s="25" t="s">
        <v>45</v>
      </c>
      <c r="AI41" s="27" t="s">
        <v>110</v>
      </c>
      <c r="AJ41" s="10" t="s">
        <v>176</v>
      </c>
      <c r="AK41" s="27" t="s">
        <v>54</v>
      </c>
      <c r="AL41" s="14"/>
      <c r="AM41" s="14" t="s">
        <v>65</v>
      </c>
      <c r="AN41" s="20" t="s">
        <v>42</v>
      </c>
      <c r="AO41" s="14" t="s">
        <v>417</v>
      </c>
      <c r="AP41" s="19"/>
      <c r="AQ41" s="26">
        <f t="shared" si="8"/>
        <v>437.63490000000002</v>
      </c>
      <c r="AR41" s="28">
        <v>0</v>
      </c>
      <c r="AS41" s="13">
        <f t="shared" si="6"/>
        <v>437.63490000000002</v>
      </c>
      <c r="AT41" s="29">
        <f t="shared" si="9"/>
        <v>1</v>
      </c>
      <c r="AU41" s="14" t="s">
        <v>446</v>
      </c>
    </row>
    <row r="42" spans="1:47" x14ac:dyDescent="0.25">
      <c r="A42" s="89">
        <v>46008</v>
      </c>
      <c r="B42" s="117" t="s">
        <v>58</v>
      </c>
      <c r="C42" s="6" t="str">
        <f t="shared" si="0"/>
        <v>Dec</v>
      </c>
      <c r="D42" s="39">
        <f t="shared" si="1"/>
        <v>2025</v>
      </c>
      <c r="E42" s="6">
        <v>40</v>
      </c>
      <c r="F42" s="6" t="s">
        <v>233</v>
      </c>
      <c r="G42" s="6" t="s">
        <v>69</v>
      </c>
      <c r="H42" s="21" t="s">
        <v>70</v>
      </c>
      <c r="I42" s="7" t="s">
        <v>75</v>
      </c>
      <c r="J42" s="7" t="s">
        <v>160</v>
      </c>
      <c r="K42" s="72"/>
      <c r="L42" s="8">
        <v>77</v>
      </c>
      <c r="M42" s="8">
        <f>VLOOKUP(Table1[[#This Row],[BL NO.]],'BL NCs'!$E$3:$K$78,7,0)</f>
        <v>23</v>
      </c>
      <c r="N42" s="72"/>
      <c r="O42" s="133">
        <v>105</v>
      </c>
      <c r="P42" s="118">
        <v>67</v>
      </c>
      <c r="Q42" s="118">
        <v>13</v>
      </c>
      <c r="R42" s="118">
        <f>Table1[[#This Row],[Torn QTY]]-Table1[[#This Row],[loss]]</f>
        <v>54</v>
      </c>
      <c r="S42" s="7" t="s">
        <v>67</v>
      </c>
      <c r="T42" s="7" t="s">
        <v>200</v>
      </c>
      <c r="U42" s="7" t="s">
        <v>198</v>
      </c>
      <c r="V42" s="7" t="s">
        <v>49</v>
      </c>
      <c r="W42" s="10" t="s">
        <v>447</v>
      </c>
      <c r="X42" s="24" t="s">
        <v>74</v>
      </c>
      <c r="Y42" s="11">
        <v>8.4628999999999994</v>
      </c>
      <c r="Z42" s="11">
        <f t="shared" ref="Z42:Z57" si="16">Y42*M42</f>
        <v>194.64669999999998</v>
      </c>
      <c r="AA42" s="12">
        <f t="shared" ref="AA42:AA62" si="17">Y42*AF42</f>
        <v>30256.390821999998</v>
      </c>
      <c r="AB42" s="12">
        <f t="shared" si="12"/>
        <v>695896.98890599993</v>
      </c>
      <c r="AC42" s="19">
        <v>23264.08728</v>
      </c>
      <c r="AD42" s="12">
        <f t="shared" si="11"/>
        <v>535074.00743999996</v>
      </c>
      <c r="AE42" s="11">
        <v>0</v>
      </c>
      <c r="AF42" s="23">
        <v>3575.18</v>
      </c>
      <c r="AG42" s="10" t="s">
        <v>206</v>
      </c>
      <c r="AH42" s="25" t="s">
        <v>40</v>
      </c>
      <c r="AI42" s="27" t="s">
        <v>110</v>
      </c>
      <c r="AJ42" s="10" t="s">
        <v>176</v>
      </c>
      <c r="AK42" s="27" t="s">
        <v>54</v>
      </c>
      <c r="AL42" s="14"/>
      <c r="AM42" s="14" t="s">
        <v>41</v>
      </c>
      <c r="AN42" s="20" t="s">
        <v>42</v>
      </c>
      <c r="AO42" s="14" t="s">
        <v>417</v>
      </c>
      <c r="AP42" s="19"/>
      <c r="AQ42" s="26">
        <f t="shared" si="8"/>
        <v>194.64669999999998</v>
      </c>
      <c r="AR42" s="28">
        <v>0</v>
      </c>
      <c r="AS42" s="13">
        <f t="shared" si="6"/>
        <v>194.64669999999998</v>
      </c>
      <c r="AT42" s="29">
        <f t="shared" si="9"/>
        <v>1</v>
      </c>
      <c r="AU42" s="14" t="s">
        <v>446</v>
      </c>
    </row>
    <row r="43" spans="1:47" x14ac:dyDescent="0.25">
      <c r="A43" s="89">
        <v>46028</v>
      </c>
      <c r="B43" s="6">
        <v>2026</v>
      </c>
      <c r="C43" s="6" t="str">
        <f t="shared" si="0"/>
        <v>Jan</v>
      </c>
      <c r="D43" s="39">
        <f t="shared" si="1"/>
        <v>2026</v>
      </c>
      <c r="E43" s="6">
        <v>41</v>
      </c>
      <c r="F43" s="6" t="s">
        <v>234</v>
      </c>
      <c r="G43" s="6" t="s">
        <v>69</v>
      </c>
      <c r="H43" s="21" t="s">
        <v>70</v>
      </c>
      <c r="I43" s="7" t="s">
        <v>52</v>
      </c>
      <c r="J43" s="7" t="s">
        <v>71</v>
      </c>
      <c r="K43" s="7"/>
      <c r="L43" s="8">
        <v>5</v>
      </c>
      <c r="M43" s="8">
        <f>VLOOKUP(Table1[[#This Row],[BL NO.]],'BL NCs'!$E$3:$K$78,7,0)</f>
        <v>4</v>
      </c>
      <c r="N43" s="7"/>
      <c r="O43" s="132">
        <v>109</v>
      </c>
      <c r="P43" s="9">
        <v>3</v>
      </c>
      <c r="Q43" s="9">
        <v>2</v>
      </c>
      <c r="R43" s="9">
        <f>Table1[[#This Row],[Torn QTY]]-Table1[[#This Row],[loss]]</f>
        <v>1</v>
      </c>
      <c r="S43" s="7" t="s">
        <v>67</v>
      </c>
      <c r="T43" s="7" t="s">
        <v>200</v>
      </c>
      <c r="U43" s="7" t="s">
        <v>198</v>
      </c>
      <c r="V43" s="7" t="s">
        <v>49</v>
      </c>
      <c r="W43" s="10" t="s">
        <v>131</v>
      </c>
      <c r="X43" s="24" t="s">
        <v>74</v>
      </c>
      <c r="Y43" s="11">
        <v>16.2087</v>
      </c>
      <c r="Z43" s="11">
        <f t="shared" si="16"/>
        <v>64.834800000000001</v>
      </c>
      <c r="AA43" s="12">
        <f t="shared" si="17"/>
        <v>58351.32</v>
      </c>
      <c r="AB43" s="12">
        <f t="shared" si="12"/>
        <v>233405.28</v>
      </c>
      <c r="AC43" s="19">
        <v>62040.82</v>
      </c>
      <c r="AD43" s="12">
        <f t="shared" si="11"/>
        <v>248163.28</v>
      </c>
      <c r="AE43" s="11">
        <v>0</v>
      </c>
      <c r="AF43" s="23">
        <v>3600</v>
      </c>
      <c r="AG43" s="10" t="s">
        <v>206</v>
      </c>
      <c r="AH43" s="25" t="s">
        <v>45</v>
      </c>
      <c r="AI43" s="27" t="s">
        <v>110</v>
      </c>
      <c r="AJ43" s="10" t="s">
        <v>176</v>
      </c>
      <c r="AK43" s="27" t="s">
        <v>54</v>
      </c>
      <c r="AL43" s="14"/>
      <c r="AM43" s="14" t="s">
        <v>65</v>
      </c>
      <c r="AN43" s="20" t="s">
        <v>42</v>
      </c>
      <c r="AO43" s="14" t="s">
        <v>417</v>
      </c>
      <c r="AP43" s="19"/>
      <c r="AQ43" s="26">
        <f t="shared" si="8"/>
        <v>64.834800000000001</v>
      </c>
      <c r="AR43" s="28">
        <v>0</v>
      </c>
      <c r="AS43" s="13">
        <f t="shared" si="6"/>
        <v>64.834800000000001</v>
      </c>
      <c r="AT43" s="29">
        <f t="shared" si="9"/>
        <v>1</v>
      </c>
      <c r="AU43" s="14" t="s">
        <v>446</v>
      </c>
    </row>
    <row r="44" spans="1:47" x14ac:dyDescent="0.25">
      <c r="A44" s="89">
        <v>46028</v>
      </c>
      <c r="B44" s="21"/>
      <c r="C44" s="6" t="str">
        <f t="shared" si="0"/>
        <v>Jan</v>
      </c>
      <c r="D44" s="39">
        <f t="shared" si="1"/>
        <v>2026</v>
      </c>
      <c r="E44" s="6">
        <v>42</v>
      </c>
      <c r="F44" s="6" t="s">
        <v>235</v>
      </c>
      <c r="G44" s="6" t="s">
        <v>69</v>
      </c>
      <c r="H44" s="21" t="s">
        <v>70</v>
      </c>
      <c r="I44" s="7" t="s">
        <v>52</v>
      </c>
      <c r="J44" s="7" t="s">
        <v>71</v>
      </c>
      <c r="K44" s="7"/>
      <c r="L44" s="8">
        <v>70</v>
      </c>
      <c r="M44" s="8">
        <f>VLOOKUP(Table1[[#This Row],[BL NO.]],'BL NCs'!$E$3:$K$78,7,0)</f>
        <v>55</v>
      </c>
      <c r="N44" s="7"/>
      <c r="O44" s="132">
        <v>108</v>
      </c>
      <c r="P44" s="9">
        <v>24</v>
      </c>
      <c r="Q44" s="9">
        <v>9</v>
      </c>
      <c r="R44" s="9">
        <f>Table1[[#This Row],[Torn QTY]]-Table1[[#This Row],[loss]]</f>
        <v>15</v>
      </c>
      <c r="S44" s="7" t="s">
        <v>67</v>
      </c>
      <c r="T44" s="7" t="s">
        <v>200</v>
      </c>
      <c r="U44" s="7" t="s">
        <v>198</v>
      </c>
      <c r="V44" s="7" t="s">
        <v>49</v>
      </c>
      <c r="W44" s="10" t="s">
        <v>425</v>
      </c>
      <c r="X44" s="24" t="s">
        <v>130</v>
      </c>
      <c r="Y44" s="11">
        <v>16.2087</v>
      </c>
      <c r="Z44" s="11">
        <f t="shared" si="16"/>
        <v>891.47850000000005</v>
      </c>
      <c r="AA44" s="12">
        <f t="shared" si="17"/>
        <v>58351.32</v>
      </c>
      <c r="AB44" s="12">
        <f t="shared" si="12"/>
        <v>3209322.6</v>
      </c>
      <c r="AC44" s="19">
        <v>62040.82</v>
      </c>
      <c r="AD44" s="12">
        <f t="shared" si="11"/>
        <v>3412245.1</v>
      </c>
      <c r="AE44" s="11">
        <v>0</v>
      </c>
      <c r="AF44" s="23">
        <v>3600</v>
      </c>
      <c r="AG44" s="10" t="s">
        <v>206</v>
      </c>
      <c r="AH44" s="25" t="s">
        <v>45</v>
      </c>
      <c r="AI44" s="27" t="s">
        <v>110</v>
      </c>
      <c r="AJ44" s="10" t="s">
        <v>176</v>
      </c>
      <c r="AK44" s="27" t="s">
        <v>54</v>
      </c>
      <c r="AL44" s="14"/>
      <c r="AM44" s="14" t="s">
        <v>65</v>
      </c>
      <c r="AN44" s="20" t="s">
        <v>42</v>
      </c>
      <c r="AO44" s="14" t="s">
        <v>417</v>
      </c>
      <c r="AP44" s="19"/>
      <c r="AQ44" s="26">
        <f t="shared" si="8"/>
        <v>891.47850000000005</v>
      </c>
      <c r="AR44" s="28">
        <v>0</v>
      </c>
      <c r="AS44" s="13">
        <f t="shared" si="6"/>
        <v>891.47850000000005</v>
      </c>
      <c r="AT44" s="29">
        <f t="shared" si="9"/>
        <v>1</v>
      </c>
      <c r="AU44" s="14" t="s">
        <v>446</v>
      </c>
    </row>
    <row r="45" spans="1:47" x14ac:dyDescent="0.25">
      <c r="A45" s="90">
        <v>45789</v>
      </c>
      <c r="B45" s="6" t="s">
        <v>58</v>
      </c>
      <c r="C45" s="6" t="s">
        <v>264</v>
      </c>
      <c r="D45" s="39">
        <v>2025</v>
      </c>
      <c r="E45" s="6">
        <v>43</v>
      </c>
      <c r="F45" s="6" t="s">
        <v>267</v>
      </c>
      <c r="G45" s="6" t="s">
        <v>69</v>
      </c>
      <c r="H45" s="21" t="s">
        <v>70</v>
      </c>
      <c r="I45" s="7" t="s">
        <v>252</v>
      </c>
      <c r="J45" s="7" t="s">
        <v>253</v>
      </c>
      <c r="K45" s="7"/>
      <c r="L45" s="8">
        <v>415</v>
      </c>
      <c r="M45" s="8">
        <f>VLOOKUP(Table1[[#This Row],[BL NO.]],'BL NCs'!$E$3:$K$78,7,0)</f>
        <v>415</v>
      </c>
      <c r="N45" s="7"/>
      <c r="O45" s="132" t="s">
        <v>313</v>
      </c>
      <c r="P45" s="9">
        <v>0</v>
      </c>
      <c r="Q45" s="9">
        <v>0</v>
      </c>
      <c r="R45" s="9">
        <f>Table1[[#This Row],[Torn QTY]]-Table1[[#This Row],[loss]]</f>
        <v>0</v>
      </c>
      <c r="S45" s="7" t="s">
        <v>254</v>
      </c>
      <c r="T45" s="7" t="s">
        <v>255</v>
      </c>
      <c r="U45" s="7" t="s">
        <v>198</v>
      </c>
      <c r="V45" s="7" t="s">
        <v>49</v>
      </c>
      <c r="W45" s="10" t="s">
        <v>256</v>
      </c>
      <c r="X45" s="24" t="s">
        <v>257</v>
      </c>
      <c r="Y45" s="11">
        <v>9.31</v>
      </c>
      <c r="Z45" s="11">
        <f>Y45*M45</f>
        <v>3863.65</v>
      </c>
      <c r="AA45" s="12">
        <f>Y45*AF45</f>
        <v>24457.370000000003</v>
      </c>
      <c r="AB45" s="12">
        <f>AA45*M45</f>
        <v>10149808.550000001</v>
      </c>
      <c r="AC45" s="19">
        <v>31301.811430000002</v>
      </c>
      <c r="AD45" s="12">
        <f>AC45*M45</f>
        <v>12990251.743450001</v>
      </c>
      <c r="AE45" s="11">
        <v>0</v>
      </c>
      <c r="AF45" s="23">
        <v>2627</v>
      </c>
      <c r="AG45" s="10" t="s">
        <v>50</v>
      </c>
      <c r="AH45" s="25" t="s">
        <v>40</v>
      </c>
      <c r="AI45" s="27" t="s">
        <v>64</v>
      </c>
      <c r="AJ45" s="10" t="s">
        <v>176</v>
      </c>
      <c r="AK45" s="27" t="s">
        <v>54</v>
      </c>
      <c r="AL45" s="14"/>
      <c r="AM45" s="14" t="s">
        <v>50</v>
      </c>
      <c r="AN45" s="20" t="s">
        <v>50</v>
      </c>
      <c r="AO45" s="14" t="s">
        <v>207</v>
      </c>
      <c r="AP45" s="19"/>
      <c r="AQ45" s="26">
        <v>3863.65</v>
      </c>
      <c r="AR45" s="28">
        <v>0</v>
      </c>
      <c r="AS45" s="13">
        <v>3863.65</v>
      </c>
      <c r="AT45" s="29">
        <f t="shared" si="9"/>
        <v>1</v>
      </c>
      <c r="AU45" s="14" t="s">
        <v>55</v>
      </c>
    </row>
    <row r="46" spans="1:47" x14ac:dyDescent="0.25">
      <c r="A46" s="90">
        <v>45789</v>
      </c>
      <c r="B46" s="6" t="s">
        <v>58</v>
      </c>
      <c r="C46" s="6" t="s">
        <v>264</v>
      </c>
      <c r="D46" s="39">
        <v>2025</v>
      </c>
      <c r="E46" s="6">
        <v>44</v>
      </c>
      <c r="F46" s="6" t="s">
        <v>268</v>
      </c>
      <c r="G46" s="6" t="s">
        <v>69</v>
      </c>
      <c r="H46" s="21" t="s">
        <v>70</v>
      </c>
      <c r="I46" s="7" t="s">
        <v>258</v>
      </c>
      <c r="J46" s="7" t="s">
        <v>259</v>
      </c>
      <c r="K46" s="7"/>
      <c r="L46" s="8">
        <v>88</v>
      </c>
      <c r="M46" s="8">
        <f>VLOOKUP(Table1[[#This Row],[BL NO.]],'BL NCs'!$E$3:$K$78,7,0)</f>
        <v>88</v>
      </c>
      <c r="N46" s="7"/>
      <c r="O46" s="132" t="s">
        <v>313</v>
      </c>
      <c r="P46" s="9">
        <v>0</v>
      </c>
      <c r="Q46" s="9">
        <v>0</v>
      </c>
      <c r="R46" s="9">
        <f>Table1[[#This Row],[Torn QTY]]-Table1[[#This Row],[loss]]</f>
        <v>0</v>
      </c>
      <c r="S46" s="7" t="s">
        <v>260</v>
      </c>
      <c r="T46" s="7" t="s">
        <v>255</v>
      </c>
      <c r="U46" s="7" t="s">
        <v>198</v>
      </c>
      <c r="V46" s="7" t="s">
        <v>49</v>
      </c>
      <c r="W46" s="10" t="s">
        <v>261</v>
      </c>
      <c r="X46" s="24" t="s">
        <v>257</v>
      </c>
      <c r="Y46" s="11">
        <v>29.6</v>
      </c>
      <c r="Z46" s="11">
        <f>Y46*M46</f>
        <v>2604.8000000000002</v>
      </c>
      <c r="AA46" s="12">
        <f>Y46*AF46</f>
        <v>77759.199999999997</v>
      </c>
      <c r="AB46" s="12">
        <f>AA46*M46</f>
        <v>6842809.5999999996</v>
      </c>
      <c r="AC46" s="19">
        <v>96566.186310000005</v>
      </c>
      <c r="AD46" s="12">
        <f>AC46*M46</f>
        <v>8497824.3952799998</v>
      </c>
      <c r="AE46" s="11">
        <v>0</v>
      </c>
      <c r="AF46" s="23">
        <v>2627</v>
      </c>
      <c r="AG46" s="10" t="s">
        <v>50</v>
      </c>
      <c r="AH46" s="25" t="s">
        <v>40</v>
      </c>
      <c r="AI46" s="27" t="s">
        <v>64</v>
      </c>
      <c r="AJ46" s="10" t="s">
        <v>176</v>
      </c>
      <c r="AK46" s="27" t="s">
        <v>54</v>
      </c>
      <c r="AL46" s="14"/>
      <c r="AM46" s="14" t="s">
        <v>50</v>
      </c>
      <c r="AN46" s="20" t="s">
        <v>50</v>
      </c>
      <c r="AO46" s="14" t="s">
        <v>207</v>
      </c>
      <c r="AP46" s="19"/>
      <c r="AQ46" s="26">
        <v>2604.8000000000002</v>
      </c>
      <c r="AR46" s="28">
        <v>0</v>
      </c>
      <c r="AS46" s="13">
        <v>2604.8000000000002</v>
      </c>
      <c r="AT46" s="29">
        <f t="shared" si="9"/>
        <v>1</v>
      </c>
      <c r="AU46" s="14" t="s">
        <v>55</v>
      </c>
    </row>
    <row r="47" spans="1:47" x14ac:dyDescent="0.25">
      <c r="A47" s="89">
        <v>45799</v>
      </c>
      <c r="B47" s="6" t="s">
        <v>58</v>
      </c>
      <c r="C47" s="6" t="s">
        <v>264</v>
      </c>
      <c r="D47" s="39">
        <v>2025</v>
      </c>
      <c r="E47" s="6">
        <v>45</v>
      </c>
      <c r="F47" s="6" t="s">
        <v>269</v>
      </c>
      <c r="G47" s="6" t="s">
        <v>69</v>
      </c>
      <c r="H47" s="21" t="s">
        <v>70</v>
      </c>
      <c r="I47" s="7" t="s">
        <v>252</v>
      </c>
      <c r="J47" s="7" t="s">
        <v>253</v>
      </c>
      <c r="K47" s="7"/>
      <c r="L47" s="8">
        <v>95</v>
      </c>
      <c r="M47" s="8">
        <f>VLOOKUP(Table1[[#This Row],[BL NO.]],'BL NCs'!$E$3:$K$78,7,0)</f>
        <v>95</v>
      </c>
      <c r="N47" s="7"/>
      <c r="O47" s="132" t="s">
        <v>313</v>
      </c>
      <c r="P47" s="9">
        <v>0</v>
      </c>
      <c r="Q47" s="9">
        <v>0</v>
      </c>
      <c r="R47" s="9">
        <f>Table1[[#This Row],[Torn QTY]]-Table1[[#This Row],[loss]]</f>
        <v>0</v>
      </c>
      <c r="S47" s="7" t="s">
        <v>254</v>
      </c>
      <c r="T47" s="7" t="s">
        <v>255</v>
      </c>
      <c r="U47" s="7" t="s">
        <v>198</v>
      </c>
      <c r="V47" s="7" t="s">
        <v>49</v>
      </c>
      <c r="W47" s="10" t="s">
        <v>262</v>
      </c>
      <c r="X47" s="24" t="s">
        <v>257</v>
      </c>
      <c r="Y47" s="11">
        <v>9.6</v>
      </c>
      <c r="Z47" s="11">
        <f>Y47*M47</f>
        <v>912</v>
      </c>
      <c r="AA47" s="12">
        <f>Y47*AF47</f>
        <v>25219.200000000001</v>
      </c>
      <c r="AB47" s="12">
        <f>AA47*M47</f>
        <v>2395824</v>
      </c>
      <c r="AC47" s="19">
        <v>31301.811430000002</v>
      </c>
      <c r="AD47" s="12">
        <f>AC47*M47</f>
        <v>2973672.0858500004</v>
      </c>
      <c r="AE47" s="11">
        <v>388.8</v>
      </c>
      <c r="AF47" s="23">
        <v>2627</v>
      </c>
      <c r="AG47" s="10" t="s">
        <v>39</v>
      </c>
      <c r="AH47" s="25" t="s">
        <v>40</v>
      </c>
      <c r="AI47" s="27" t="s">
        <v>64</v>
      </c>
      <c r="AJ47" s="10" t="s">
        <v>176</v>
      </c>
      <c r="AK47" s="27" t="s">
        <v>54</v>
      </c>
      <c r="AL47" s="14"/>
      <c r="AM47" s="14" t="s">
        <v>41</v>
      </c>
      <c r="AN47" s="20" t="s">
        <v>42</v>
      </c>
      <c r="AO47" s="14" t="s">
        <v>266</v>
      </c>
      <c r="AP47" s="19"/>
      <c r="AQ47" s="26">
        <v>912</v>
      </c>
      <c r="AR47" s="28">
        <v>388.8</v>
      </c>
      <c r="AS47" s="13">
        <v>523.20000000000005</v>
      </c>
      <c r="AT47" s="29">
        <f t="shared" si="9"/>
        <v>0.5736842105263158</v>
      </c>
      <c r="AU47" s="14" t="s">
        <v>263</v>
      </c>
    </row>
    <row r="48" spans="1:47" x14ac:dyDescent="0.25">
      <c r="A48" s="90">
        <v>46039</v>
      </c>
      <c r="B48" s="21">
        <v>2026</v>
      </c>
      <c r="C48" s="6" t="str">
        <f t="shared" si="0"/>
        <v>Jan</v>
      </c>
      <c r="D48" s="39">
        <f t="shared" si="1"/>
        <v>2026</v>
      </c>
      <c r="E48" s="6">
        <v>46</v>
      </c>
      <c r="F48" s="6" t="s">
        <v>236</v>
      </c>
      <c r="G48" s="6" t="s">
        <v>69</v>
      </c>
      <c r="H48" s="21" t="s">
        <v>70</v>
      </c>
      <c r="I48" s="7" t="s">
        <v>52</v>
      </c>
      <c r="J48" s="7" t="s">
        <v>71</v>
      </c>
      <c r="K48" s="7"/>
      <c r="L48" s="8">
        <v>45</v>
      </c>
      <c r="M48" s="8">
        <f>VLOOKUP(Table1[[#This Row],[BL NO.]],'BL NCs'!$E$3:$K$78,7,0)</f>
        <v>15</v>
      </c>
      <c r="N48" s="7"/>
      <c r="O48" s="132">
        <v>114</v>
      </c>
      <c r="P48" s="9">
        <v>45</v>
      </c>
      <c r="Q48" s="9">
        <v>15</v>
      </c>
      <c r="R48" s="9">
        <f>Table1[[#This Row],[Torn QTY]]-Table1[[#This Row],[loss]]</f>
        <v>30</v>
      </c>
      <c r="S48" s="7" t="s">
        <v>67</v>
      </c>
      <c r="T48" s="7" t="s">
        <v>200</v>
      </c>
      <c r="U48" s="7" t="s">
        <v>198</v>
      </c>
      <c r="V48" s="7" t="s">
        <v>49</v>
      </c>
      <c r="W48" s="10" t="s">
        <v>133</v>
      </c>
      <c r="X48" s="24" t="s">
        <v>74</v>
      </c>
      <c r="Y48" s="11">
        <v>15.79</v>
      </c>
      <c r="Z48" s="11">
        <f t="shared" si="16"/>
        <v>236.85</v>
      </c>
      <c r="AA48" s="12">
        <f t="shared" si="17"/>
        <v>56844</v>
      </c>
      <c r="AB48" s="12">
        <f t="shared" si="12"/>
        <v>852660</v>
      </c>
      <c r="AC48" s="19">
        <v>62040.82</v>
      </c>
      <c r="AD48" s="12">
        <f t="shared" si="11"/>
        <v>930612.3</v>
      </c>
      <c r="AE48" s="11">
        <v>0</v>
      </c>
      <c r="AF48" s="23">
        <v>3600</v>
      </c>
      <c r="AG48" s="10" t="s">
        <v>206</v>
      </c>
      <c r="AH48" s="25" t="s">
        <v>45</v>
      </c>
      <c r="AI48" s="27" t="s">
        <v>110</v>
      </c>
      <c r="AJ48" s="10" t="s">
        <v>176</v>
      </c>
      <c r="AK48" s="27" t="s">
        <v>54</v>
      </c>
      <c r="AL48" s="14"/>
      <c r="AM48" s="14" t="s">
        <v>65</v>
      </c>
      <c r="AN48" s="20" t="s">
        <v>42</v>
      </c>
      <c r="AO48" s="14" t="s">
        <v>416</v>
      </c>
      <c r="AP48" s="19"/>
      <c r="AQ48" s="26">
        <f t="shared" ref="AQ48:AQ57" si="18">Z48</f>
        <v>236.85</v>
      </c>
      <c r="AR48" s="28">
        <v>0</v>
      </c>
      <c r="AS48" s="13">
        <f t="shared" si="6"/>
        <v>236.85</v>
      </c>
      <c r="AT48" s="29">
        <f t="shared" si="9"/>
        <v>1</v>
      </c>
      <c r="AU48" s="14" t="s">
        <v>416</v>
      </c>
    </row>
    <row r="49" spans="1:47" x14ac:dyDescent="0.25">
      <c r="A49" s="90">
        <v>46039</v>
      </c>
      <c r="B49" s="21"/>
      <c r="C49" s="6" t="str">
        <f t="shared" si="0"/>
        <v>Jan</v>
      </c>
      <c r="D49" s="39">
        <f t="shared" si="1"/>
        <v>2026</v>
      </c>
      <c r="E49" s="6">
        <v>47</v>
      </c>
      <c r="F49" s="6" t="s">
        <v>237</v>
      </c>
      <c r="G49" s="6" t="s">
        <v>69</v>
      </c>
      <c r="H49" s="21" t="s">
        <v>70</v>
      </c>
      <c r="I49" s="7" t="s">
        <v>52</v>
      </c>
      <c r="J49" s="7" t="s">
        <v>71</v>
      </c>
      <c r="K49" s="7"/>
      <c r="L49" s="8">
        <v>42</v>
      </c>
      <c r="M49" s="116">
        <f>VLOOKUP(Table1[[#This Row],[BL NO.]],'BL NCs'!$E$3:$K$78,7,0)</f>
        <v>8</v>
      </c>
      <c r="N49" s="7"/>
      <c r="O49" s="132" t="s">
        <v>320</v>
      </c>
      <c r="P49" s="9">
        <v>42</v>
      </c>
      <c r="Q49" s="9">
        <v>8</v>
      </c>
      <c r="R49" s="9">
        <f>Table1[[#This Row],[Torn QTY]]-Table1[[#This Row],[loss]]</f>
        <v>34</v>
      </c>
      <c r="S49" s="7" t="s">
        <v>67</v>
      </c>
      <c r="T49" s="7" t="s">
        <v>200</v>
      </c>
      <c r="U49" s="7" t="s">
        <v>198</v>
      </c>
      <c r="V49" s="7" t="s">
        <v>49</v>
      </c>
      <c r="W49" s="10" t="s">
        <v>134</v>
      </c>
      <c r="X49" s="24" t="s">
        <v>74</v>
      </c>
      <c r="Y49" s="11">
        <v>15.66</v>
      </c>
      <c r="Z49" s="11">
        <f t="shared" si="16"/>
        <v>125.28</v>
      </c>
      <c r="AA49" s="12">
        <f t="shared" si="17"/>
        <v>56376</v>
      </c>
      <c r="AB49" s="12">
        <f t="shared" si="12"/>
        <v>451008</v>
      </c>
      <c r="AC49" s="19">
        <v>62040.82</v>
      </c>
      <c r="AD49" s="12">
        <f t="shared" si="11"/>
        <v>496326.56</v>
      </c>
      <c r="AE49" s="11">
        <v>0</v>
      </c>
      <c r="AF49" s="23">
        <v>3600</v>
      </c>
      <c r="AG49" s="10" t="s">
        <v>206</v>
      </c>
      <c r="AH49" s="25" t="s">
        <v>45</v>
      </c>
      <c r="AI49" s="27" t="s">
        <v>110</v>
      </c>
      <c r="AJ49" s="10" t="s">
        <v>176</v>
      </c>
      <c r="AK49" s="27" t="s">
        <v>54</v>
      </c>
      <c r="AL49" s="14"/>
      <c r="AM49" s="14" t="s">
        <v>65</v>
      </c>
      <c r="AN49" s="20" t="s">
        <v>42</v>
      </c>
      <c r="AO49" s="14" t="s">
        <v>416</v>
      </c>
      <c r="AP49" s="19"/>
      <c r="AQ49" s="26">
        <f t="shared" si="18"/>
        <v>125.28</v>
      </c>
      <c r="AR49" s="28">
        <v>0</v>
      </c>
      <c r="AS49" s="13">
        <f t="shared" si="6"/>
        <v>125.28</v>
      </c>
      <c r="AT49" s="29">
        <f t="shared" si="9"/>
        <v>1</v>
      </c>
      <c r="AU49" s="14" t="s">
        <v>416</v>
      </c>
    </row>
    <row r="50" spans="1:47" x14ac:dyDescent="0.25">
      <c r="A50" s="90">
        <v>46039</v>
      </c>
      <c r="B50" s="21"/>
      <c r="C50" s="6" t="str">
        <f t="shared" si="0"/>
        <v>Jan</v>
      </c>
      <c r="D50" s="39">
        <f t="shared" si="1"/>
        <v>2026</v>
      </c>
      <c r="E50" s="6">
        <v>48</v>
      </c>
      <c r="F50" s="6" t="s">
        <v>238</v>
      </c>
      <c r="G50" s="6" t="s">
        <v>69</v>
      </c>
      <c r="H50" s="21" t="s">
        <v>70</v>
      </c>
      <c r="I50" s="7" t="s">
        <v>52</v>
      </c>
      <c r="J50" s="7" t="s">
        <v>71</v>
      </c>
      <c r="K50" s="7"/>
      <c r="L50" s="8">
        <v>23</v>
      </c>
      <c r="M50" s="116">
        <f>VLOOKUP(Table1[[#This Row],[BL NO.]],'BL NCs'!$E$3:$K$78,7,0)</f>
        <v>5</v>
      </c>
      <c r="N50" s="7"/>
      <c r="O50" s="132" t="s">
        <v>321</v>
      </c>
      <c r="P50" s="9">
        <v>23</v>
      </c>
      <c r="Q50" s="9">
        <v>5</v>
      </c>
      <c r="R50" s="9">
        <f>Table1[[#This Row],[Torn QTY]]-Table1[[#This Row],[loss]]</f>
        <v>18</v>
      </c>
      <c r="S50" s="7" t="s">
        <v>67</v>
      </c>
      <c r="T50" s="7" t="s">
        <v>200</v>
      </c>
      <c r="U50" s="7" t="s">
        <v>198</v>
      </c>
      <c r="V50" s="7" t="s">
        <v>49</v>
      </c>
      <c r="W50" s="10" t="s">
        <v>135</v>
      </c>
      <c r="X50" s="24" t="s">
        <v>74</v>
      </c>
      <c r="Y50" s="11">
        <v>15.79</v>
      </c>
      <c r="Z50" s="11">
        <f t="shared" si="16"/>
        <v>78.949999999999989</v>
      </c>
      <c r="AA50" s="12">
        <f t="shared" si="17"/>
        <v>56844</v>
      </c>
      <c r="AB50" s="12">
        <f t="shared" si="12"/>
        <v>284220</v>
      </c>
      <c r="AC50" s="19">
        <v>62040.82</v>
      </c>
      <c r="AD50" s="12">
        <f t="shared" si="11"/>
        <v>310204.09999999998</v>
      </c>
      <c r="AE50" s="11">
        <v>0</v>
      </c>
      <c r="AF50" s="23">
        <v>3600</v>
      </c>
      <c r="AG50" s="10" t="s">
        <v>206</v>
      </c>
      <c r="AH50" s="25" t="s">
        <v>45</v>
      </c>
      <c r="AI50" s="27" t="s">
        <v>110</v>
      </c>
      <c r="AJ50" s="10" t="s">
        <v>176</v>
      </c>
      <c r="AK50" s="27" t="s">
        <v>54</v>
      </c>
      <c r="AL50" s="14"/>
      <c r="AM50" s="14" t="s">
        <v>65</v>
      </c>
      <c r="AN50" s="20" t="s">
        <v>42</v>
      </c>
      <c r="AO50" s="14" t="s">
        <v>416</v>
      </c>
      <c r="AP50" s="19"/>
      <c r="AQ50" s="26">
        <f t="shared" si="18"/>
        <v>78.949999999999989</v>
      </c>
      <c r="AR50" s="28">
        <v>0</v>
      </c>
      <c r="AS50" s="13">
        <f t="shared" si="6"/>
        <v>78.949999999999989</v>
      </c>
      <c r="AT50" s="29">
        <f t="shared" si="9"/>
        <v>1</v>
      </c>
      <c r="AU50" s="14" t="s">
        <v>416</v>
      </c>
    </row>
    <row r="51" spans="1:47" x14ac:dyDescent="0.25">
      <c r="A51" s="90">
        <v>46075</v>
      </c>
      <c r="B51" s="6"/>
      <c r="C51" s="6" t="str">
        <f t="shared" ref="C51:C60" si="19">TEXT(A51,"MMM")</f>
        <v>Feb</v>
      </c>
      <c r="D51" s="39">
        <f t="shared" ref="D51:D60" si="20">YEAR(A51)</f>
        <v>2026</v>
      </c>
      <c r="E51" s="6">
        <v>49</v>
      </c>
      <c r="F51" s="6" t="s">
        <v>242</v>
      </c>
      <c r="G51" s="6" t="s">
        <v>136</v>
      </c>
      <c r="H51" s="21" t="s">
        <v>137</v>
      </c>
      <c r="I51" s="7">
        <v>4000000058</v>
      </c>
      <c r="J51" s="7" t="s">
        <v>71</v>
      </c>
      <c r="K51" s="7"/>
      <c r="L51" s="8">
        <v>36</v>
      </c>
      <c r="M51" s="8">
        <f>VLOOKUP(Table1[[#This Row],[BL NO.]],'BL NCs'!$E$3:$K$78,7,0)</f>
        <v>18</v>
      </c>
      <c r="N51" s="7"/>
      <c r="O51" s="132">
        <v>116</v>
      </c>
      <c r="P51" s="9">
        <v>23</v>
      </c>
      <c r="Q51" s="9">
        <v>5</v>
      </c>
      <c r="R51" s="9">
        <f>Table1[[#This Row],[Torn QTY]]-Table1[[#This Row],[loss]]</f>
        <v>18</v>
      </c>
      <c r="S51" s="7" t="s">
        <v>67</v>
      </c>
      <c r="T51" s="7" t="s">
        <v>200</v>
      </c>
      <c r="U51" s="7" t="s">
        <v>198</v>
      </c>
      <c r="V51" s="7" t="s">
        <v>49</v>
      </c>
      <c r="W51" s="10" t="s">
        <v>413</v>
      </c>
      <c r="X51" s="24" t="s">
        <v>74</v>
      </c>
      <c r="Y51" s="11">
        <v>15.79</v>
      </c>
      <c r="Z51" s="11">
        <f>Y51*M51</f>
        <v>284.21999999999997</v>
      </c>
      <c r="AA51" s="12">
        <f t="shared" si="17"/>
        <v>55265</v>
      </c>
      <c r="AB51" s="12">
        <f t="shared" si="12"/>
        <v>994770</v>
      </c>
      <c r="AC51" s="19">
        <v>59621.440000000002</v>
      </c>
      <c r="AD51" s="12">
        <f>AC51*M51</f>
        <v>1073185.92</v>
      </c>
      <c r="AE51" s="11">
        <v>0</v>
      </c>
      <c r="AF51" s="23">
        <v>3500</v>
      </c>
      <c r="AG51" s="10" t="s">
        <v>206</v>
      </c>
      <c r="AH51" s="25" t="s">
        <v>40</v>
      </c>
      <c r="AI51" s="27" t="s">
        <v>110</v>
      </c>
      <c r="AJ51" s="10" t="s">
        <v>176</v>
      </c>
      <c r="AK51" s="27" t="s">
        <v>54</v>
      </c>
      <c r="AL51" s="14"/>
      <c r="AM51" s="14" t="s">
        <v>41</v>
      </c>
      <c r="AN51" s="20" t="s">
        <v>42</v>
      </c>
      <c r="AO51" s="14" t="s">
        <v>419</v>
      </c>
      <c r="AP51" s="19"/>
      <c r="AQ51" s="26">
        <f t="shared" si="18"/>
        <v>284.21999999999997</v>
      </c>
      <c r="AR51" s="28">
        <v>0</v>
      </c>
      <c r="AS51" s="13">
        <f t="shared" si="6"/>
        <v>284.21999999999997</v>
      </c>
      <c r="AT51" s="29">
        <f t="shared" si="9"/>
        <v>1</v>
      </c>
      <c r="AU51" s="14" t="s">
        <v>141</v>
      </c>
    </row>
    <row r="52" spans="1:47" x14ac:dyDescent="0.25">
      <c r="A52" s="90">
        <v>46075</v>
      </c>
      <c r="B52" s="6"/>
      <c r="C52" s="6" t="str">
        <f t="shared" si="19"/>
        <v>Feb</v>
      </c>
      <c r="D52" s="39">
        <f t="shared" si="20"/>
        <v>2026</v>
      </c>
      <c r="E52" s="6">
        <v>50</v>
      </c>
      <c r="F52" s="6" t="s">
        <v>243</v>
      </c>
      <c r="G52" s="6" t="s">
        <v>136</v>
      </c>
      <c r="H52" s="21" t="s">
        <v>137</v>
      </c>
      <c r="I52" s="7">
        <v>4000000058</v>
      </c>
      <c r="J52" s="7" t="s">
        <v>71</v>
      </c>
      <c r="K52" s="7"/>
      <c r="L52" s="8">
        <v>29</v>
      </c>
      <c r="M52" s="8">
        <f>VLOOKUP(Table1[[#This Row],[BL NO.]],'BL NCs'!$E$3:$K$78,7,0)</f>
        <v>10</v>
      </c>
      <c r="N52" s="7"/>
      <c r="O52" s="132">
        <v>117</v>
      </c>
      <c r="P52" s="9">
        <v>28</v>
      </c>
      <c r="Q52" s="9">
        <v>9</v>
      </c>
      <c r="R52" s="9">
        <v>28</v>
      </c>
      <c r="S52" s="7" t="s">
        <v>67</v>
      </c>
      <c r="T52" s="7" t="s">
        <v>200</v>
      </c>
      <c r="U52" s="7" t="s">
        <v>198</v>
      </c>
      <c r="V52" s="7" t="s">
        <v>49</v>
      </c>
      <c r="W52" s="10" t="s">
        <v>414</v>
      </c>
      <c r="X52" s="24" t="s">
        <v>74</v>
      </c>
      <c r="Y52" s="11">
        <v>15.79</v>
      </c>
      <c r="Z52" s="11">
        <f t="shared" si="16"/>
        <v>157.89999999999998</v>
      </c>
      <c r="AA52" s="12">
        <f t="shared" si="17"/>
        <v>55265</v>
      </c>
      <c r="AB52" s="12">
        <f>AA52*M52</f>
        <v>552650</v>
      </c>
      <c r="AC52" s="19">
        <v>59621.440000000002</v>
      </c>
      <c r="AD52" s="12">
        <f t="shared" si="11"/>
        <v>596214.4</v>
      </c>
      <c r="AE52" s="11">
        <v>0</v>
      </c>
      <c r="AF52" s="23">
        <v>3500</v>
      </c>
      <c r="AG52" s="10" t="s">
        <v>206</v>
      </c>
      <c r="AH52" s="25" t="s">
        <v>40</v>
      </c>
      <c r="AI52" s="27" t="s">
        <v>110</v>
      </c>
      <c r="AJ52" s="10" t="s">
        <v>176</v>
      </c>
      <c r="AK52" s="27" t="s">
        <v>54</v>
      </c>
      <c r="AL52" s="14"/>
      <c r="AM52" s="14" t="s">
        <v>41</v>
      </c>
      <c r="AN52" s="20" t="s">
        <v>42</v>
      </c>
      <c r="AO52" s="14" t="s">
        <v>419</v>
      </c>
      <c r="AP52" s="19"/>
      <c r="AQ52" s="26">
        <f t="shared" si="18"/>
        <v>157.89999999999998</v>
      </c>
      <c r="AR52" s="28">
        <v>0</v>
      </c>
      <c r="AS52" s="13">
        <f t="shared" si="6"/>
        <v>157.89999999999998</v>
      </c>
      <c r="AT52" s="29">
        <f t="shared" si="9"/>
        <v>1</v>
      </c>
      <c r="AU52" s="14" t="s">
        <v>141</v>
      </c>
    </row>
    <row r="53" spans="1:47" x14ac:dyDescent="0.25">
      <c r="A53" s="90">
        <v>46075</v>
      </c>
      <c r="B53" s="6"/>
      <c r="C53" s="6" t="str">
        <f t="shared" si="19"/>
        <v>Feb</v>
      </c>
      <c r="D53" s="39">
        <f t="shared" si="20"/>
        <v>2026</v>
      </c>
      <c r="E53" s="6">
        <v>51</v>
      </c>
      <c r="F53" s="6" t="s">
        <v>244</v>
      </c>
      <c r="G53" s="6" t="s">
        <v>136</v>
      </c>
      <c r="H53" s="21" t="s">
        <v>137</v>
      </c>
      <c r="I53" s="7">
        <v>4000000058</v>
      </c>
      <c r="J53" s="7" t="s">
        <v>71</v>
      </c>
      <c r="K53" s="7"/>
      <c r="L53" s="8">
        <v>45</v>
      </c>
      <c r="M53" s="8">
        <f>VLOOKUP(Table1[[#This Row],[BL NO.]],'BL NCs'!$E$3:$K$78,7,0)</f>
        <v>13</v>
      </c>
      <c r="N53" s="7"/>
      <c r="O53" s="132">
        <v>118</v>
      </c>
      <c r="P53" s="9">
        <v>44</v>
      </c>
      <c r="Q53" s="9">
        <v>12</v>
      </c>
      <c r="R53" s="9">
        <f>Table1[[#This Row],[Torn QTY]]-Table1[[#This Row],[loss]]</f>
        <v>32</v>
      </c>
      <c r="S53" s="7" t="s">
        <v>67</v>
      </c>
      <c r="T53" s="7" t="s">
        <v>200</v>
      </c>
      <c r="U53" s="7" t="s">
        <v>198</v>
      </c>
      <c r="V53" s="7" t="s">
        <v>49</v>
      </c>
      <c r="W53" s="10" t="s">
        <v>415</v>
      </c>
      <c r="X53" s="24" t="s">
        <v>74</v>
      </c>
      <c r="Y53" s="11">
        <v>15.79</v>
      </c>
      <c r="Z53" s="11">
        <f t="shared" si="16"/>
        <v>205.26999999999998</v>
      </c>
      <c r="AA53" s="12">
        <f t="shared" si="17"/>
        <v>55265</v>
      </c>
      <c r="AB53" s="12">
        <f t="shared" si="12"/>
        <v>718445</v>
      </c>
      <c r="AC53" s="19">
        <v>59621.440000000002</v>
      </c>
      <c r="AD53" s="12">
        <f t="shared" si="11"/>
        <v>775078.72</v>
      </c>
      <c r="AE53" s="11">
        <v>0</v>
      </c>
      <c r="AF53" s="23">
        <v>3500</v>
      </c>
      <c r="AG53" s="10" t="s">
        <v>206</v>
      </c>
      <c r="AH53" s="25" t="s">
        <v>40</v>
      </c>
      <c r="AI53" s="27" t="s">
        <v>110</v>
      </c>
      <c r="AJ53" s="10" t="s">
        <v>176</v>
      </c>
      <c r="AK53" s="27" t="s">
        <v>54</v>
      </c>
      <c r="AL53" s="14"/>
      <c r="AM53" s="14" t="s">
        <v>41</v>
      </c>
      <c r="AN53" s="20" t="s">
        <v>42</v>
      </c>
      <c r="AO53" s="14" t="s">
        <v>419</v>
      </c>
      <c r="AP53" s="19"/>
      <c r="AQ53" s="26">
        <f t="shared" si="18"/>
        <v>205.26999999999998</v>
      </c>
      <c r="AR53" s="28">
        <v>0</v>
      </c>
      <c r="AS53" s="13">
        <f t="shared" si="6"/>
        <v>205.26999999999998</v>
      </c>
      <c r="AT53" s="29">
        <f t="shared" si="9"/>
        <v>1</v>
      </c>
      <c r="AU53" s="14" t="s">
        <v>141</v>
      </c>
    </row>
    <row r="54" spans="1:47" x14ac:dyDescent="0.25">
      <c r="A54" s="90">
        <v>46089</v>
      </c>
      <c r="B54" s="6" t="s">
        <v>58</v>
      </c>
      <c r="C54" s="6" t="str">
        <f t="shared" si="19"/>
        <v>Mar</v>
      </c>
      <c r="D54" s="39">
        <f t="shared" si="20"/>
        <v>2026</v>
      </c>
      <c r="E54" s="6">
        <v>52</v>
      </c>
      <c r="F54" s="6" t="s">
        <v>239</v>
      </c>
      <c r="G54" s="6" t="s">
        <v>136</v>
      </c>
      <c r="H54" s="21" t="s">
        <v>137</v>
      </c>
      <c r="I54" s="7">
        <v>4000000058</v>
      </c>
      <c r="J54" s="7" t="s">
        <v>71</v>
      </c>
      <c r="K54" s="7"/>
      <c r="L54" s="8">
        <v>37</v>
      </c>
      <c r="M54" s="8">
        <f>VLOOKUP(Table1[[#This Row],[BL NO.]],'BL NCs'!$E$3:$K$78,7,0)</f>
        <v>20</v>
      </c>
      <c r="N54" s="7"/>
      <c r="O54" s="132">
        <v>115</v>
      </c>
      <c r="P54" s="9">
        <v>26</v>
      </c>
      <c r="Q54" s="9">
        <v>9</v>
      </c>
      <c r="R54" s="9">
        <f>Table1[[#This Row],[Torn QTY]]-Table1[[#This Row],[loss]]</f>
        <v>17</v>
      </c>
      <c r="S54" s="7" t="s">
        <v>67</v>
      </c>
      <c r="T54" s="7" t="s">
        <v>200</v>
      </c>
      <c r="U54" s="7" t="s">
        <v>198</v>
      </c>
      <c r="V54" s="7" t="s">
        <v>49</v>
      </c>
      <c r="W54" s="10" t="s">
        <v>138</v>
      </c>
      <c r="X54" s="24" t="s">
        <v>74</v>
      </c>
      <c r="Y54" s="11">
        <v>15.79</v>
      </c>
      <c r="Z54" s="11">
        <f t="shared" si="16"/>
        <v>315.79999999999995</v>
      </c>
      <c r="AA54" s="12">
        <f t="shared" si="17"/>
        <v>55422.899999999994</v>
      </c>
      <c r="AB54" s="12">
        <f t="shared" si="12"/>
        <v>1108458</v>
      </c>
      <c r="AC54" s="19">
        <v>59621.440000000002</v>
      </c>
      <c r="AD54" s="12">
        <f t="shared" si="11"/>
        <v>1192428.8</v>
      </c>
      <c r="AE54" s="11">
        <v>0</v>
      </c>
      <c r="AF54" s="23">
        <v>3510</v>
      </c>
      <c r="AG54" s="10" t="s">
        <v>50</v>
      </c>
      <c r="AH54" s="25" t="s">
        <v>40</v>
      </c>
      <c r="AI54" s="27" t="s">
        <v>110</v>
      </c>
      <c r="AJ54" s="10" t="s">
        <v>176</v>
      </c>
      <c r="AK54" s="27" t="s">
        <v>54</v>
      </c>
      <c r="AL54" s="14"/>
      <c r="AM54" s="14" t="s">
        <v>50</v>
      </c>
      <c r="AN54" s="20" t="s">
        <v>50</v>
      </c>
      <c r="AO54" s="14" t="s">
        <v>207</v>
      </c>
      <c r="AP54" s="19"/>
      <c r="AQ54" s="26">
        <f t="shared" si="18"/>
        <v>315.79999999999995</v>
      </c>
      <c r="AR54" s="28">
        <v>0</v>
      </c>
      <c r="AS54" s="13">
        <f t="shared" si="6"/>
        <v>315.79999999999995</v>
      </c>
      <c r="AT54" s="29">
        <f t="shared" si="9"/>
        <v>1</v>
      </c>
      <c r="AU54" s="14" t="s">
        <v>55</v>
      </c>
    </row>
    <row r="55" spans="1:47" x14ac:dyDescent="0.25">
      <c r="A55" s="90">
        <v>46089</v>
      </c>
      <c r="B55" s="6">
        <v>2026</v>
      </c>
      <c r="C55" s="6" t="str">
        <f t="shared" si="19"/>
        <v>Mar</v>
      </c>
      <c r="D55" s="39">
        <f t="shared" si="20"/>
        <v>2026</v>
      </c>
      <c r="E55" s="6">
        <v>53</v>
      </c>
      <c r="F55" s="6" t="s">
        <v>245</v>
      </c>
      <c r="G55" s="6" t="s">
        <v>153</v>
      </c>
      <c r="H55" s="21" t="s">
        <v>396</v>
      </c>
      <c r="I55" s="7">
        <v>4000000088</v>
      </c>
      <c r="J55" s="7" t="s">
        <v>160</v>
      </c>
      <c r="K55" s="7"/>
      <c r="L55" s="8">
        <v>71</v>
      </c>
      <c r="M55" s="116">
        <f>VLOOKUP(Table1[[#This Row],[BL NO.]],'BL NCs'!$E$3:$K$78,7,0)</f>
        <v>28</v>
      </c>
      <c r="N55" s="7"/>
      <c r="O55" s="132" t="s">
        <v>319</v>
      </c>
      <c r="P55" s="9">
        <v>56</v>
      </c>
      <c r="Q55" s="9">
        <v>13</v>
      </c>
      <c r="R55" s="9">
        <f>Table1[[#This Row],[Torn QTY]]-Table1[[#This Row],[loss]]</f>
        <v>43</v>
      </c>
      <c r="S55" s="7" t="s">
        <v>67</v>
      </c>
      <c r="T55" s="7" t="s">
        <v>200</v>
      </c>
      <c r="U55" s="7" t="s">
        <v>198</v>
      </c>
      <c r="V55" s="7" t="s">
        <v>49</v>
      </c>
      <c r="W55" s="10" t="s">
        <v>439</v>
      </c>
      <c r="X55" s="24" t="s">
        <v>130</v>
      </c>
      <c r="Y55" s="11">
        <v>7.7991549295774645</v>
      </c>
      <c r="Z55" s="11">
        <f>Y55*M55</f>
        <v>218.37633802816902</v>
      </c>
      <c r="AA55" s="12">
        <f t="shared" si="17"/>
        <v>27375.033802816899</v>
      </c>
      <c r="AB55" s="12">
        <f t="shared" si="12"/>
        <v>766500.94647887314</v>
      </c>
      <c r="AC55" s="19">
        <v>28977.5</v>
      </c>
      <c r="AD55" s="12">
        <f t="shared" si="11"/>
        <v>811370</v>
      </c>
      <c r="AE55" s="11">
        <v>0</v>
      </c>
      <c r="AF55" s="23">
        <v>3510</v>
      </c>
      <c r="AG55" s="10" t="s">
        <v>206</v>
      </c>
      <c r="AH55" s="25" t="s">
        <v>40</v>
      </c>
      <c r="AI55" s="27" t="s">
        <v>110</v>
      </c>
      <c r="AJ55" s="10" t="s">
        <v>176</v>
      </c>
      <c r="AK55" s="27" t="s">
        <v>54</v>
      </c>
      <c r="AL55" s="14"/>
      <c r="AM55" s="14" t="s">
        <v>41</v>
      </c>
      <c r="AN55" s="20" t="s">
        <v>42</v>
      </c>
      <c r="AO55" s="14" t="s">
        <v>417</v>
      </c>
      <c r="AP55" s="19"/>
      <c r="AQ55" s="26">
        <f t="shared" si="18"/>
        <v>218.37633802816902</v>
      </c>
      <c r="AR55" s="28">
        <v>0</v>
      </c>
      <c r="AS55" s="13">
        <f t="shared" si="6"/>
        <v>218.37633802816902</v>
      </c>
      <c r="AT55" s="29">
        <f t="shared" si="9"/>
        <v>1</v>
      </c>
      <c r="AU55" s="14" t="s">
        <v>446</v>
      </c>
    </row>
    <row r="56" spans="1:47" x14ac:dyDescent="0.25">
      <c r="A56" s="90">
        <v>46089</v>
      </c>
      <c r="B56" s="6"/>
      <c r="C56" s="6" t="str">
        <f t="shared" si="19"/>
        <v>Mar</v>
      </c>
      <c r="D56" s="39">
        <f t="shared" si="20"/>
        <v>2026</v>
      </c>
      <c r="E56" s="6">
        <v>54</v>
      </c>
      <c r="F56" s="6" t="s">
        <v>240</v>
      </c>
      <c r="G56" s="6" t="s">
        <v>153</v>
      </c>
      <c r="H56" s="21" t="s">
        <v>396</v>
      </c>
      <c r="I56" s="7">
        <v>4000000088</v>
      </c>
      <c r="J56" s="7" t="s">
        <v>160</v>
      </c>
      <c r="K56" s="7"/>
      <c r="L56" s="8">
        <v>221</v>
      </c>
      <c r="M56" s="8">
        <f>VLOOKUP(Table1[[#This Row],[BL NO.]],'BL NCs'!$E$3:$K$78,7,0)</f>
        <v>143</v>
      </c>
      <c r="N56" s="7"/>
      <c r="O56" s="132">
        <v>122</v>
      </c>
      <c r="P56" s="9">
        <v>97</v>
      </c>
      <c r="Q56" s="9">
        <f>16+3</f>
        <v>19</v>
      </c>
      <c r="R56" s="9">
        <f>Table1[[#This Row],[Torn QTY]]-Table1[[#This Row],[loss]]</f>
        <v>78</v>
      </c>
      <c r="S56" s="7" t="s">
        <v>67</v>
      </c>
      <c r="T56" s="7" t="s">
        <v>200</v>
      </c>
      <c r="U56" s="7" t="s">
        <v>198</v>
      </c>
      <c r="V56" s="7" t="s">
        <v>49</v>
      </c>
      <c r="W56" s="10" t="s">
        <v>445</v>
      </c>
      <c r="X56" s="24" t="s">
        <v>144</v>
      </c>
      <c r="Y56" s="11">
        <v>7.7991549295774645</v>
      </c>
      <c r="Z56" s="11">
        <f t="shared" si="16"/>
        <v>1115.2791549295773</v>
      </c>
      <c r="AA56" s="12">
        <f t="shared" si="17"/>
        <v>27375.033802816899</v>
      </c>
      <c r="AB56" s="12">
        <f t="shared" si="12"/>
        <v>3914629.8338028165</v>
      </c>
      <c r="AC56" s="19">
        <v>28977.5</v>
      </c>
      <c r="AD56" s="12">
        <f t="shared" si="11"/>
        <v>4143782.5</v>
      </c>
      <c r="AE56" s="11">
        <v>0</v>
      </c>
      <c r="AF56" s="23">
        <v>3510</v>
      </c>
      <c r="AG56" s="10" t="s">
        <v>206</v>
      </c>
      <c r="AH56" s="25" t="s">
        <v>40</v>
      </c>
      <c r="AI56" s="27" t="s">
        <v>110</v>
      </c>
      <c r="AJ56" s="10" t="s">
        <v>176</v>
      </c>
      <c r="AK56" s="27" t="s">
        <v>54</v>
      </c>
      <c r="AL56" s="14"/>
      <c r="AM56" s="14" t="s">
        <v>41</v>
      </c>
      <c r="AN56" s="20" t="s">
        <v>42</v>
      </c>
      <c r="AO56" s="14" t="s">
        <v>417</v>
      </c>
      <c r="AP56" s="19"/>
      <c r="AQ56" s="26">
        <f t="shared" si="18"/>
        <v>1115.2791549295773</v>
      </c>
      <c r="AR56" s="28">
        <v>0</v>
      </c>
      <c r="AS56" s="13">
        <f t="shared" ref="AS56:AS66" si="21">AQ56-AR56</f>
        <v>1115.2791549295773</v>
      </c>
      <c r="AT56" s="29">
        <f t="shared" si="9"/>
        <v>1</v>
      </c>
      <c r="AU56" s="14" t="s">
        <v>446</v>
      </c>
    </row>
    <row r="57" spans="1:47" x14ac:dyDescent="0.25">
      <c r="A57" s="90">
        <v>46118</v>
      </c>
      <c r="B57" s="6"/>
      <c r="C57" s="6" t="str">
        <f t="shared" si="19"/>
        <v>Apr</v>
      </c>
      <c r="D57" s="39">
        <f t="shared" si="20"/>
        <v>2026</v>
      </c>
      <c r="E57" s="6">
        <v>55</v>
      </c>
      <c r="F57" s="6" t="s">
        <v>246</v>
      </c>
      <c r="G57" s="6" t="s">
        <v>153</v>
      </c>
      <c r="H57" s="21" t="s">
        <v>396</v>
      </c>
      <c r="I57" s="7">
        <v>4000000088</v>
      </c>
      <c r="J57" s="7" t="s">
        <v>160</v>
      </c>
      <c r="K57" s="7"/>
      <c r="L57" s="8">
        <v>98</v>
      </c>
      <c r="M57" s="8">
        <f>VLOOKUP(Table1[[#This Row],[BL NO.]],'BL NCs'!$E$3:$K$78,7,0)</f>
        <v>31</v>
      </c>
      <c r="N57" s="7"/>
      <c r="O57" s="132">
        <v>124</v>
      </c>
      <c r="P57" s="9">
        <v>85</v>
      </c>
      <c r="Q57" s="9">
        <v>18</v>
      </c>
      <c r="R57" s="9">
        <f>Table1[[#This Row],[Torn QTY]]-Table1[[#This Row],[loss]]</f>
        <v>67</v>
      </c>
      <c r="S57" s="7" t="s">
        <v>67</v>
      </c>
      <c r="T57" s="7" t="s">
        <v>200</v>
      </c>
      <c r="U57" s="7" t="s">
        <v>198</v>
      </c>
      <c r="V57" s="7" t="s">
        <v>49</v>
      </c>
      <c r="W57" s="10" t="s">
        <v>440</v>
      </c>
      <c r="X57" s="24" t="s">
        <v>130</v>
      </c>
      <c r="Y57" s="11">
        <v>7.7991549295774645</v>
      </c>
      <c r="Z57" s="11">
        <f t="shared" si="16"/>
        <v>241.77380281690139</v>
      </c>
      <c r="AA57" s="12">
        <f t="shared" si="17"/>
        <v>27570.012676056336</v>
      </c>
      <c r="AB57" s="12">
        <f t="shared" si="12"/>
        <v>854670.3929577464</v>
      </c>
      <c r="AC57" s="19">
        <v>34287.78</v>
      </c>
      <c r="AD57" s="12">
        <f t="shared" si="11"/>
        <v>1062921.18</v>
      </c>
      <c r="AE57" s="11">
        <v>0</v>
      </c>
      <c r="AF57" s="23">
        <v>3535</v>
      </c>
      <c r="AG57" s="10" t="s">
        <v>206</v>
      </c>
      <c r="AH57" s="25" t="s">
        <v>40</v>
      </c>
      <c r="AI57" s="27" t="s">
        <v>110</v>
      </c>
      <c r="AJ57" s="10" t="s">
        <v>176</v>
      </c>
      <c r="AK57" s="27" t="s">
        <v>54</v>
      </c>
      <c r="AL57" s="14"/>
      <c r="AM57" s="14" t="s">
        <v>41</v>
      </c>
      <c r="AN57" s="20" t="s">
        <v>42</v>
      </c>
      <c r="AO57" s="14" t="s">
        <v>417</v>
      </c>
      <c r="AP57" s="19"/>
      <c r="AQ57" s="26">
        <f t="shared" si="18"/>
        <v>241.77380281690139</v>
      </c>
      <c r="AR57" s="28">
        <v>0</v>
      </c>
      <c r="AS57" s="13">
        <f t="shared" si="21"/>
        <v>241.77380281690139</v>
      </c>
      <c r="AT57" s="29">
        <f t="shared" si="9"/>
        <v>1</v>
      </c>
      <c r="AU57" s="14" t="s">
        <v>446</v>
      </c>
    </row>
    <row r="58" spans="1:47" x14ac:dyDescent="0.25">
      <c r="A58" s="89">
        <v>46119</v>
      </c>
      <c r="B58" s="6"/>
      <c r="C58" s="6" t="str">
        <f t="shared" si="19"/>
        <v>Apr</v>
      </c>
      <c r="D58" s="39">
        <f t="shared" si="20"/>
        <v>2026</v>
      </c>
      <c r="E58" s="6">
        <v>56</v>
      </c>
      <c r="F58" s="6" t="s">
        <v>248</v>
      </c>
      <c r="G58" s="6" t="s">
        <v>153</v>
      </c>
      <c r="H58" s="21" t="s">
        <v>396</v>
      </c>
      <c r="I58" s="7">
        <v>4000000058</v>
      </c>
      <c r="J58" s="7" t="s">
        <v>71</v>
      </c>
      <c r="K58" s="7"/>
      <c r="L58" s="8">
        <v>179</v>
      </c>
      <c r="M58" s="8">
        <f>VLOOKUP(Table1[[#This Row],[BL NO.]],'BL NCs'!$E$3:$K$78,7,0)</f>
        <v>153</v>
      </c>
      <c r="N58" s="7"/>
      <c r="O58" s="132">
        <v>132</v>
      </c>
      <c r="P58" s="9">
        <v>39</v>
      </c>
      <c r="Q58" s="9">
        <f>11+2</f>
        <v>13</v>
      </c>
      <c r="R58" s="9">
        <f>Table1[[#This Row],[Torn QTY]]-Table1[[#This Row],[loss]]</f>
        <v>26</v>
      </c>
      <c r="S58" s="7" t="s">
        <v>67</v>
      </c>
      <c r="T58" s="7" t="s">
        <v>200</v>
      </c>
      <c r="U58" s="7" t="s">
        <v>198</v>
      </c>
      <c r="V58" s="7" t="s">
        <v>49</v>
      </c>
      <c r="W58" s="10" t="s">
        <v>280</v>
      </c>
      <c r="X58" s="24" t="s">
        <v>147</v>
      </c>
      <c r="Y58" s="11">
        <f>Z58/M58</f>
        <v>18.093071895424835</v>
      </c>
      <c r="Z58" s="11">
        <v>2768.24</v>
      </c>
      <c r="AA58" s="12">
        <f>Y58*AF58</f>
        <v>63959.00915032679</v>
      </c>
      <c r="AB58" s="12">
        <f t="shared" si="12"/>
        <v>9785728.3999999985</v>
      </c>
      <c r="AC58" s="19">
        <v>63416</v>
      </c>
      <c r="AD58" s="12">
        <f t="shared" si="11"/>
        <v>9702648</v>
      </c>
      <c r="AE58" s="28">
        <v>537.48231966053743</v>
      </c>
      <c r="AF58" s="71">
        <v>3535</v>
      </c>
      <c r="AG58" s="10" t="s">
        <v>50</v>
      </c>
      <c r="AH58" s="25" t="s">
        <v>40</v>
      </c>
      <c r="AI58" s="27" t="s">
        <v>110</v>
      </c>
      <c r="AJ58" s="10" t="s">
        <v>176</v>
      </c>
      <c r="AK58" s="27" t="s">
        <v>54</v>
      </c>
      <c r="AL58" s="14"/>
      <c r="AM58" s="14" t="s">
        <v>41</v>
      </c>
      <c r="AN58" s="20" t="s">
        <v>50</v>
      </c>
      <c r="AO58" s="14" t="s">
        <v>457</v>
      </c>
      <c r="AP58" s="19"/>
      <c r="AQ58" s="26">
        <v>2313.0673218597876</v>
      </c>
      <c r="AR58" s="179">
        <v>0</v>
      </c>
      <c r="AS58" s="13">
        <f>AQ58-AR58</f>
        <v>2313.0673218597876</v>
      </c>
      <c r="AT58" s="29">
        <f t="shared" si="9"/>
        <v>1</v>
      </c>
      <c r="AU58" s="14" t="s">
        <v>456</v>
      </c>
    </row>
    <row r="59" spans="1:47" x14ac:dyDescent="0.25">
      <c r="A59" s="90">
        <v>46119</v>
      </c>
      <c r="B59" s="21"/>
      <c r="C59" s="6" t="str">
        <f t="shared" si="19"/>
        <v>Apr</v>
      </c>
      <c r="D59" s="39">
        <f t="shared" si="20"/>
        <v>2026</v>
      </c>
      <c r="E59" s="6">
        <v>57</v>
      </c>
      <c r="F59" s="6" t="s">
        <v>247</v>
      </c>
      <c r="G59" s="6" t="s">
        <v>136</v>
      </c>
      <c r="H59" s="21" t="s">
        <v>137</v>
      </c>
      <c r="I59" s="7">
        <v>4000000058</v>
      </c>
      <c r="J59" s="7" t="s">
        <v>71</v>
      </c>
      <c r="K59" s="7"/>
      <c r="L59" s="8">
        <v>37</v>
      </c>
      <c r="M59" s="8">
        <f>VLOOKUP(Table1[[#This Row],[BL NO.]],'BL NCs'!$E$3:$K$78,7,0)</f>
        <v>18</v>
      </c>
      <c r="N59" s="7"/>
      <c r="O59" s="132">
        <v>129</v>
      </c>
      <c r="P59" s="9">
        <v>36</v>
      </c>
      <c r="Q59" s="9">
        <f>14+3</f>
        <v>17</v>
      </c>
      <c r="R59" s="9">
        <f>Table1[[#This Row],[Torn QTY]]-Table1[[#This Row],[loss]]</f>
        <v>19</v>
      </c>
      <c r="S59" s="7" t="s">
        <v>67</v>
      </c>
      <c r="T59" s="7" t="s">
        <v>200</v>
      </c>
      <c r="U59" s="7" t="s">
        <v>198</v>
      </c>
      <c r="V59" s="7" t="s">
        <v>49</v>
      </c>
      <c r="W59" s="10" t="s">
        <v>427</v>
      </c>
      <c r="X59" s="24" t="s">
        <v>74</v>
      </c>
      <c r="Y59" s="11">
        <v>15.465027932960894</v>
      </c>
      <c r="Z59" s="11">
        <f>Y59*M59</f>
        <v>278.37050279329605</v>
      </c>
      <c r="AA59" s="12">
        <f t="shared" si="17"/>
        <v>54668.87374301676</v>
      </c>
      <c r="AB59" s="12">
        <f t="shared" si="12"/>
        <v>984039.72737430164</v>
      </c>
      <c r="AC59" s="19">
        <v>63416</v>
      </c>
      <c r="AD59" s="12">
        <f t="shared" si="11"/>
        <v>1141488</v>
      </c>
      <c r="AE59" s="11">
        <v>0</v>
      </c>
      <c r="AF59" s="23">
        <v>3535</v>
      </c>
      <c r="AG59" s="10" t="s">
        <v>206</v>
      </c>
      <c r="AH59" s="25" t="s">
        <v>45</v>
      </c>
      <c r="AI59" s="27" t="s">
        <v>110</v>
      </c>
      <c r="AJ59" s="10" t="s">
        <v>176</v>
      </c>
      <c r="AK59" s="27" t="s">
        <v>54</v>
      </c>
      <c r="AL59" s="14"/>
      <c r="AM59" s="14" t="s">
        <v>41</v>
      </c>
      <c r="AN59" s="20" t="s">
        <v>42</v>
      </c>
      <c r="AO59" s="14" t="s">
        <v>417</v>
      </c>
      <c r="AP59" s="19"/>
      <c r="AQ59" s="26">
        <f>Z59</f>
        <v>278.37050279329605</v>
      </c>
      <c r="AR59" s="28">
        <v>0</v>
      </c>
      <c r="AS59" s="13">
        <f t="shared" si="21"/>
        <v>278.37050279329605</v>
      </c>
      <c r="AT59" s="29">
        <f t="shared" si="9"/>
        <v>1</v>
      </c>
      <c r="AU59" s="14" t="s">
        <v>446</v>
      </c>
    </row>
    <row r="60" spans="1:47" x14ac:dyDescent="0.25">
      <c r="A60" s="90">
        <v>46119</v>
      </c>
      <c r="B60" s="21"/>
      <c r="C60" s="6" t="str">
        <f t="shared" si="19"/>
        <v>Apr</v>
      </c>
      <c r="D60" s="39">
        <f t="shared" si="20"/>
        <v>2026</v>
      </c>
      <c r="E60" s="6">
        <v>58</v>
      </c>
      <c r="F60" s="6" t="s">
        <v>249</v>
      </c>
      <c r="G60" s="6" t="s">
        <v>153</v>
      </c>
      <c r="H60" s="21" t="s">
        <v>396</v>
      </c>
      <c r="I60" s="7">
        <v>4000000058</v>
      </c>
      <c r="J60" s="7" t="s">
        <v>71</v>
      </c>
      <c r="K60" s="7"/>
      <c r="L60" s="8">
        <v>72</v>
      </c>
      <c r="M60" s="8">
        <f>VLOOKUP(Table1[[#This Row],[BL NO.]],'BL NCs'!$E$3:$K$78,7,0)</f>
        <v>56</v>
      </c>
      <c r="N60" s="7"/>
      <c r="O60" s="132">
        <v>135</v>
      </c>
      <c r="P60" s="9">
        <v>22</v>
      </c>
      <c r="Q60" s="9">
        <v>6</v>
      </c>
      <c r="R60" s="9">
        <f>Table1[[#This Row],[Torn QTY]]-Table1[[#This Row],[loss]]</f>
        <v>16</v>
      </c>
      <c r="S60" s="7" t="s">
        <v>67</v>
      </c>
      <c r="T60" s="7" t="s">
        <v>200</v>
      </c>
      <c r="U60" s="7" t="s">
        <v>198</v>
      </c>
      <c r="V60" s="7" t="s">
        <v>49</v>
      </c>
      <c r="W60" s="10" t="s">
        <v>423</v>
      </c>
      <c r="X60" s="24" t="s">
        <v>147</v>
      </c>
      <c r="Y60" s="11">
        <v>15.465027932960894</v>
      </c>
      <c r="Z60" s="11">
        <f t="shared" ref="Z60:Z62" si="22">Y60*M60</f>
        <v>866.04156424581004</v>
      </c>
      <c r="AA60" s="12">
        <f t="shared" si="17"/>
        <v>54668.87374301676</v>
      </c>
      <c r="AB60" s="12">
        <f t="shared" si="12"/>
        <v>3061456.9296089387</v>
      </c>
      <c r="AC60" s="19">
        <v>63416</v>
      </c>
      <c r="AD60" s="12">
        <f t="shared" si="11"/>
        <v>3551296</v>
      </c>
      <c r="AE60" s="11">
        <v>0</v>
      </c>
      <c r="AF60" s="23">
        <v>3535</v>
      </c>
      <c r="AG60" s="10" t="s">
        <v>206</v>
      </c>
      <c r="AH60" s="25" t="s">
        <v>40</v>
      </c>
      <c r="AI60" s="27" t="s">
        <v>110</v>
      </c>
      <c r="AJ60" s="10" t="s">
        <v>176</v>
      </c>
      <c r="AK60" s="27" t="s">
        <v>54</v>
      </c>
      <c r="AL60" s="14"/>
      <c r="AM60" s="14" t="s">
        <v>41</v>
      </c>
      <c r="AN60" s="20" t="s">
        <v>42</v>
      </c>
      <c r="AO60" s="14" t="s">
        <v>417</v>
      </c>
      <c r="AP60" s="19"/>
      <c r="AQ60" s="26">
        <f>Z60</f>
        <v>866.04156424581004</v>
      </c>
      <c r="AR60" s="28">
        <v>0</v>
      </c>
      <c r="AS60" s="13">
        <f t="shared" si="21"/>
        <v>866.04156424581004</v>
      </c>
      <c r="AT60" s="29">
        <f t="shared" si="9"/>
        <v>1</v>
      </c>
      <c r="AU60" s="14" t="s">
        <v>446</v>
      </c>
    </row>
    <row r="61" spans="1:47" x14ac:dyDescent="0.25">
      <c r="A61" s="90">
        <v>46120</v>
      </c>
      <c r="B61" s="6"/>
      <c r="C61" s="6" t="s">
        <v>265</v>
      </c>
      <c r="D61" s="39">
        <v>2026</v>
      </c>
      <c r="E61" s="6">
        <v>59</v>
      </c>
      <c r="F61" s="6" t="s">
        <v>250</v>
      </c>
      <c r="G61" s="6" t="s">
        <v>153</v>
      </c>
      <c r="H61" s="21" t="s">
        <v>396</v>
      </c>
      <c r="I61" s="7">
        <v>4000000058</v>
      </c>
      <c r="J61" s="7" t="s">
        <v>71</v>
      </c>
      <c r="K61" s="7"/>
      <c r="L61" s="8">
        <v>206</v>
      </c>
      <c r="M61" s="8">
        <f>VLOOKUP(Table1[[#This Row],[BL NO.]],'BL NCs'!$E$3:$K$78,7,0)</f>
        <v>16</v>
      </c>
      <c r="N61" s="7"/>
      <c r="O61" s="132">
        <v>126</v>
      </c>
      <c r="P61" s="9">
        <v>49</v>
      </c>
      <c r="Q61" s="9">
        <v>13</v>
      </c>
      <c r="R61" s="9">
        <f>Table1[[#This Row],[Torn QTY]]-Table1[[#This Row],[loss]]</f>
        <v>36</v>
      </c>
      <c r="S61" s="7" t="s">
        <v>67</v>
      </c>
      <c r="T61" s="7" t="s">
        <v>200</v>
      </c>
      <c r="U61" s="7" t="s">
        <v>198</v>
      </c>
      <c r="V61" s="7" t="s">
        <v>49</v>
      </c>
      <c r="W61" s="10" t="s">
        <v>150</v>
      </c>
      <c r="X61" s="24" t="s">
        <v>130</v>
      </c>
      <c r="Y61" s="11">
        <v>15.465</v>
      </c>
      <c r="Z61" s="11">
        <f t="shared" si="22"/>
        <v>247.44</v>
      </c>
      <c r="AA61" s="12">
        <f t="shared" si="17"/>
        <v>54668.775000000001</v>
      </c>
      <c r="AB61" s="12">
        <f t="shared" si="12"/>
        <v>874700.4</v>
      </c>
      <c r="AC61" s="19">
        <v>63416</v>
      </c>
      <c r="AD61" s="12">
        <f t="shared" si="11"/>
        <v>1014656</v>
      </c>
      <c r="AE61" s="11">
        <v>0</v>
      </c>
      <c r="AF61" s="23">
        <v>3535</v>
      </c>
      <c r="AG61" s="10" t="s">
        <v>206</v>
      </c>
      <c r="AH61" s="25" t="s">
        <v>45</v>
      </c>
      <c r="AI61" s="27" t="s">
        <v>151</v>
      </c>
      <c r="AJ61" s="10" t="s">
        <v>176</v>
      </c>
      <c r="AK61" s="27" t="s">
        <v>54</v>
      </c>
      <c r="AL61" s="14"/>
      <c r="AM61" s="14" t="s">
        <v>41</v>
      </c>
      <c r="AN61" s="20" t="s">
        <v>42</v>
      </c>
      <c r="AO61" s="14" t="s">
        <v>417</v>
      </c>
      <c r="AP61" s="19"/>
      <c r="AQ61" s="26">
        <v>3185.79</v>
      </c>
      <c r="AR61" s="28">
        <v>0</v>
      </c>
      <c r="AS61" s="13">
        <f t="shared" si="21"/>
        <v>3185.79</v>
      </c>
      <c r="AT61" s="29">
        <f t="shared" si="9"/>
        <v>1</v>
      </c>
      <c r="AU61" s="14" t="s">
        <v>446</v>
      </c>
    </row>
    <row r="62" spans="1:47" x14ac:dyDescent="0.25">
      <c r="A62" s="90">
        <v>46120</v>
      </c>
      <c r="B62" s="6"/>
      <c r="C62" s="6" t="s">
        <v>265</v>
      </c>
      <c r="D62" s="39">
        <v>2026</v>
      </c>
      <c r="E62" s="6">
        <v>60</v>
      </c>
      <c r="F62" s="6" t="s">
        <v>241</v>
      </c>
      <c r="G62" s="6" t="s">
        <v>153</v>
      </c>
      <c r="H62" s="21" t="s">
        <v>396</v>
      </c>
      <c r="I62" s="7">
        <v>4000000058</v>
      </c>
      <c r="J62" s="7" t="s">
        <v>71</v>
      </c>
      <c r="K62" s="7"/>
      <c r="L62" s="8">
        <v>66</v>
      </c>
      <c r="M62" s="8">
        <f>VLOOKUP(Table1[[#This Row],[BL NO.]],'BL NCs'!$E$3:$K$78,7,0)</f>
        <v>17</v>
      </c>
      <c r="N62" s="7"/>
      <c r="O62" s="132">
        <v>127</v>
      </c>
      <c r="P62" s="9">
        <v>66</v>
      </c>
      <c r="Q62" s="9">
        <v>17</v>
      </c>
      <c r="R62" s="9">
        <f>Table1[[#This Row],[Torn QTY]]-Table1[[#This Row],[loss]]</f>
        <v>49</v>
      </c>
      <c r="S62" s="7" t="s">
        <v>67</v>
      </c>
      <c r="T62" s="7" t="s">
        <v>200</v>
      </c>
      <c r="U62" s="7" t="s">
        <v>198</v>
      </c>
      <c r="V62" s="7" t="s">
        <v>49</v>
      </c>
      <c r="W62" s="10" t="s">
        <v>441</v>
      </c>
      <c r="X62" s="24" t="s">
        <v>74</v>
      </c>
      <c r="Y62" s="11">
        <v>15.465</v>
      </c>
      <c r="Z62" s="11">
        <f t="shared" si="22"/>
        <v>262.90499999999997</v>
      </c>
      <c r="AA62" s="12">
        <f t="shared" si="17"/>
        <v>54668.775000000001</v>
      </c>
      <c r="AB62" s="12">
        <f t="shared" si="12"/>
        <v>929369.17500000005</v>
      </c>
      <c r="AC62" s="19">
        <v>63416</v>
      </c>
      <c r="AD62" s="12">
        <f t="shared" si="11"/>
        <v>1078072</v>
      </c>
      <c r="AE62" s="11">
        <v>0</v>
      </c>
      <c r="AF62" s="23">
        <v>3535</v>
      </c>
      <c r="AG62" s="10" t="s">
        <v>206</v>
      </c>
      <c r="AH62" s="25" t="s">
        <v>45</v>
      </c>
      <c r="AI62" s="27" t="s">
        <v>151</v>
      </c>
      <c r="AJ62" s="10" t="s">
        <v>176</v>
      </c>
      <c r="AK62" s="27" t="s">
        <v>54</v>
      </c>
      <c r="AL62" s="14"/>
      <c r="AM62" s="14" t="s">
        <v>41</v>
      </c>
      <c r="AN62" s="20" t="s">
        <v>42</v>
      </c>
      <c r="AO62" s="14" t="s">
        <v>416</v>
      </c>
      <c r="AP62" s="19"/>
      <c r="AQ62" s="26">
        <v>1020.6899999999999</v>
      </c>
      <c r="AR62" s="28">
        <v>0</v>
      </c>
      <c r="AS62" s="13">
        <f t="shared" si="21"/>
        <v>1020.6899999999999</v>
      </c>
      <c r="AT62" s="29">
        <f t="shared" si="9"/>
        <v>1</v>
      </c>
      <c r="AU62" s="14" t="s">
        <v>416</v>
      </c>
    </row>
    <row r="63" spans="1:47" x14ac:dyDescent="0.25">
      <c r="A63" s="90">
        <v>46120</v>
      </c>
      <c r="B63" s="6"/>
      <c r="C63" s="6" t="s">
        <v>265</v>
      </c>
      <c r="D63" s="39">
        <v>2026</v>
      </c>
      <c r="E63" s="6">
        <v>61</v>
      </c>
      <c r="F63" s="6" t="s">
        <v>251</v>
      </c>
      <c r="G63" s="6" t="s">
        <v>153</v>
      </c>
      <c r="H63" s="21" t="s">
        <v>396</v>
      </c>
      <c r="I63" s="7">
        <v>4000000088</v>
      </c>
      <c r="J63" s="7" t="s">
        <v>160</v>
      </c>
      <c r="K63" s="7"/>
      <c r="L63" s="8">
        <v>149</v>
      </c>
      <c r="M63" s="8">
        <f>VLOOKUP(Table1[[#This Row],[BL NO.]],'BL NCs'!$E$3:$K$78,7,0)</f>
        <v>116</v>
      </c>
      <c r="N63" s="7"/>
      <c r="O63" s="132">
        <v>130</v>
      </c>
      <c r="P63" s="9">
        <v>48</v>
      </c>
      <c r="Q63" s="9">
        <v>0</v>
      </c>
      <c r="R63" s="9">
        <f>Table1[[#This Row],[Torn QTY]]-Table1[[#This Row],[loss]]</f>
        <v>48</v>
      </c>
      <c r="S63" s="7" t="s">
        <v>67</v>
      </c>
      <c r="T63" s="7" t="s">
        <v>200</v>
      </c>
      <c r="U63" s="7" t="s">
        <v>198</v>
      </c>
      <c r="V63" s="7" t="s">
        <v>49</v>
      </c>
      <c r="W63" s="10" t="s">
        <v>273</v>
      </c>
      <c r="X63" s="24" t="s">
        <v>155</v>
      </c>
      <c r="Y63" s="11">
        <v>7.9624832214765107</v>
      </c>
      <c r="Z63" s="11">
        <f t="shared" ref="Z63:Z66" si="23">Y63*M63</f>
        <v>923.64805369127521</v>
      </c>
      <c r="AA63" s="12">
        <f t="shared" ref="AA63:AA66" si="24">Y63*AF63</f>
        <v>28147.378187919465</v>
      </c>
      <c r="AB63" s="12">
        <f t="shared" ref="AB63:AB66" si="25">AA63*M63</f>
        <v>3265095.869798658</v>
      </c>
      <c r="AC63" s="19">
        <v>34287.78</v>
      </c>
      <c r="AD63" s="12">
        <f t="shared" ref="AD63:AD66" si="26">AC63*M63</f>
        <v>3977382.48</v>
      </c>
      <c r="AE63" s="11">
        <v>0</v>
      </c>
      <c r="AF63" s="23">
        <v>3535</v>
      </c>
      <c r="AG63" s="10" t="s">
        <v>206</v>
      </c>
      <c r="AH63" s="25" t="s">
        <v>50</v>
      </c>
      <c r="AI63" s="27" t="s">
        <v>110</v>
      </c>
      <c r="AJ63" s="10" t="s">
        <v>176</v>
      </c>
      <c r="AK63" s="27" t="s">
        <v>54</v>
      </c>
      <c r="AL63" s="14"/>
      <c r="AM63" s="14" t="s">
        <v>41</v>
      </c>
      <c r="AN63" s="20" t="s">
        <v>42</v>
      </c>
      <c r="AO63" s="14" t="s">
        <v>417</v>
      </c>
      <c r="AP63" s="19"/>
      <c r="AQ63" s="26">
        <v>1186.4100000000001</v>
      </c>
      <c r="AR63" s="28">
        <v>0</v>
      </c>
      <c r="AS63" s="13">
        <f t="shared" si="21"/>
        <v>1186.4100000000001</v>
      </c>
      <c r="AT63" s="29">
        <f t="shared" si="9"/>
        <v>1</v>
      </c>
      <c r="AU63" s="14" t="s">
        <v>446</v>
      </c>
    </row>
    <row r="64" spans="1:47" x14ac:dyDescent="0.25">
      <c r="A64" s="90">
        <v>46152</v>
      </c>
      <c r="B64" s="6"/>
      <c r="C64" s="6" t="s">
        <v>264</v>
      </c>
      <c r="D64" s="39">
        <v>2026</v>
      </c>
      <c r="E64" s="6">
        <v>62</v>
      </c>
      <c r="F64" s="6" t="s">
        <v>271</v>
      </c>
      <c r="G64" s="6" t="s">
        <v>136</v>
      </c>
      <c r="H64" s="21" t="s">
        <v>137</v>
      </c>
      <c r="I64" s="7">
        <v>4000000058</v>
      </c>
      <c r="J64" s="7" t="s">
        <v>71</v>
      </c>
      <c r="K64" s="7"/>
      <c r="L64" s="8">
        <v>122</v>
      </c>
      <c r="M64" s="8">
        <f>VLOOKUP(Table1[[#This Row],[BL NO.]],'BL NCs'!$E$3:$K$78,7,0)</f>
        <v>57</v>
      </c>
      <c r="N64" s="7"/>
      <c r="O64" s="132">
        <v>139</v>
      </c>
      <c r="P64" s="9">
        <v>77</v>
      </c>
      <c r="Q64" s="9">
        <v>0</v>
      </c>
      <c r="R64" s="9">
        <f>Table1[[#This Row],[Torn QTY]]-Table1[[#This Row],[loss]]</f>
        <v>77</v>
      </c>
      <c r="S64" s="7" t="s">
        <v>67</v>
      </c>
      <c r="T64" s="7" t="s">
        <v>200</v>
      </c>
      <c r="U64" s="7" t="s">
        <v>198</v>
      </c>
      <c r="V64" s="7" t="s">
        <v>49</v>
      </c>
      <c r="W64" s="10" t="s">
        <v>442</v>
      </c>
      <c r="X64" s="24" t="s">
        <v>83</v>
      </c>
      <c r="Y64" s="11">
        <v>15.47</v>
      </c>
      <c r="Z64" s="11">
        <f t="shared" si="23"/>
        <v>881.79000000000008</v>
      </c>
      <c r="AA64" s="12">
        <f t="shared" si="24"/>
        <v>62808.200000000004</v>
      </c>
      <c r="AB64" s="12">
        <f t="shared" si="25"/>
        <v>3580067.4000000004</v>
      </c>
      <c r="AC64" s="19">
        <v>69278</v>
      </c>
      <c r="AD64" s="12">
        <f t="shared" si="26"/>
        <v>3948846</v>
      </c>
      <c r="AE64" s="11">
        <v>0</v>
      </c>
      <c r="AF64" s="23">
        <v>4060</v>
      </c>
      <c r="AG64" s="10" t="s">
        <v>206</v>
      </c>
      <c r="AH64" s="25" t="s">
        <v>45</v>
      </c>
      <c r="AI64" s="27" t="s">
        <v>110</v>
      </c>
      <c r="AJ64" s="10" t="s">
        <v>176</v>
      </c>
      <c r="AK64" s="27" t="s">
        <v>54</v>
      </c>
      <c r="AL64" s="14"/>
      <c r="AM64" s="14" t="s">
        <v>41</v>
      </c>
      <c r="AN64" s="20" t="s">
        <v>42</v>
      </c>
      <c r="AO64" s="14" t="s">
        <v>417</v>
      </c>
      <c r="AP64" s="19"/>
      <c r="AQ64" s="26">
        <f>Table1[[#This Row],[Total Value USD]]</f>
        <v>881.79000000000008</v>
      </c>
      <c r="AR64" s="28">
        <v>0</v>
      </c>
      <c r="AS64" s="13">
        <f t="shared" si="21"/>
        <v>881.79000000000008</v>
      </c>
      <c r="AT64" s="29">
        <f t="shared" si="9"/>
        <v>1</v>
      </c>
      <c r="AU64" s="14" t="s">
        <v>446</v>
      </c>
    </row>
    <row r="65" spans="1:47" x14ac:dyDescent="0.25">
      <c r="A65" s="90">
        <v>46152</v>
      </c>
      <c r="B65" s="6"/>
      <c r="C65" s="6" t="s">
        <v>264</v>
      </c>
      <c r="D65" s="39">
        <v>2026</v>
      </c>
      <c r="E65" s="6">
        <v>63</v>
      </c>
      <c r="F65" s="6" t="s">
        <v>274</v>
      </c>
      <c r="G65" s="6" t="s">
        <v>136</v>
      </c>
      <c r="H65" s="21" t="s">
        <v>137</v>
      </c>
      <c r="I65" s="7">
        <v>4000000058</v>
      </c>
      <c r="J65" s="7" t="s">
        <v>71</v>
      </c>
      <c r="K65" s="7"/>
      <c r="L65" s="8">
        <v>94</v>
      </c>
      <c r="M65" s="8">
        <f>VLOOKUP(Table1[[#This Row],[BL NO.]],'BL NCs'!$E$3:$K$78,7,0)</f>
        <v>66</v>
      </c>
      <c r="N65" s="7"/>
      <c r="O65" s="132" t="s">
        <v>322</v>
      </c>
      <c r="P65" s="9">
        <v>39</v>
      </c>
      <c r="Q65" s="9">
        <v>0</v>
      </c>
      <c r="R65" s="9">
        <f>Table1[[#This Row],[Torn QTY]]-Table1[[#This Row],[loss]]</f>
        <v>39</v>
      </c>
      <c r="S65" s="7" t="s">
        <v>67</v>
      </c>
      <c r="T65" s="7" t="s">
        <v>200</v>
      </c>
      <c r="U65" s="7" t="s">
        <v>198</v>
      </c>
      <c r="V65" s="7" t="s">
        <v>49</v>
      </c>
      <c r="W65" s="10" t="s">
        <v>433</v>
      </c>
      <c r="X65" s="24" t="s">
        <v>83</v>
      </c>
      <c r="Y65" s="11">
        <v>15.47</v>
      </c>
      <c r="Z65" s="11">
        <f t="shared" si="23"/>
        <v>1021.0200000000001</v>
      </c>
      <c r="AA65" s="12">
        <f t="shared" si="24"/>
        <v>62808.200000000004</v>
      </c>
      <c r="AB65" s="12">
        <f t="shared" si="25"/>
        <v>4145341.2</v>
      </c>
      <c r="AC65" s="19">
        <v>69278</v>
      </c>
      <c r="AD65" s="12">
        <f t="shared" si="26"/>
        <v>4572348</v>
      </c>
      <c r="AE65" s="11">
        <v>0</v>
      </c>
      <c r="AF65" s="23">
        <v>4060</v>
      </c>
      <c r="AG65" s="10" t="s">
        <v>50</v>
      </c>
      <c r="AH65" s="25" t="s">
        <v>45</v>
      </c>
      <c r="AI65" s="27" t="s">
        <v>110</v>
      </c>
      <c r="AJ65" s="10" t="s">
        <v>176</v>
      </c>
      <c r="AK65" s="27" t="s">
        <v>54</v>
      </c>
      <c r="AL65" s="14"/>
      <c r="AM65" s="14" t="s">
        <v>41</v>
      </c>
      <c r="AN65" s="20" t="s">
        <v>42</v>
      </c>
      <c r="AO65" s="14" t="s">
        <v>417</v>
      </c>
      <c r="AP65" s="19"/>
      <c r="AQ65" s="26">
        <f>Table1[[#This Row],[Total Value USD]]</f>
        <v>1021.0200000000001</v>
      </c>
      <c r="AR65" s="28">
        <v>0</v>
      </c>
      <c r="AS65" s="13">
        <f t="shared" si="21"/>
        <v>1021.0200000000001</v>
      </c>
      <c r="AT65" s="29">
        <f t="shared" si="9"/>
        <v>1</v>
      </c>
      <c r="AU65" s="14" t="s">
        <v>446</v>
      </c>
    </row>
    <row r="66" spans="1:47" x14ac:dyDescent="0.25">
      <c r="A66" s="90">
        <v>46152</v>
      </c>
      <c r="B66" s="6"/>
      <c r="C66" s="6" t="s">
        <v>264</v>
      </c>
      <c r="D66" s="39">
        <v>2026</v>
      </c>
      <c r="E66" s="6">
        <v>64</v>
      </c>
      <c r="F66" s="6" t="s">
        <v>275</v>
      </c>
      <c r="G66" s="6" t="s">
        <v>153</v>
      </c>
      <c r="H66" s="21" t="s">
        <v>154</v>
      </c>
      <c r="I66" s="7">
        <v>4000000058</v>
      </c>
      <c r="J66" s="7" t="s">
        <v>71</v>
      </c>
      <c r="K66" s="7"/>
      <c r="L66" s="8">
        <v>182</v>
      </c>
      <c r="M66" s="8">
        <f>VLOOKUP(Table1[[#This Row],[BL NO.]],'BL NCs'!$E$3:$K$78,7,0)</f>
        <v>156</v>
      </c>
      <c r="N66" s="7"/>
      <c r="O66" s="132">
        <v>141</v>
      </c>
      <c r="P66" s="9">
        <v>39</v>
      </c>
      <c r="Q66" s="9">
        <v>13</v>
      </c>
      <c r="R66" s="9">
        <f>Table1[[#This Row],[Torn QTY]]-Table1[[#This Row],[loss]]</f>
        <v>26</v>
      </c>
      <c r="S66" s="7" t="s">
        <v>67</v>
      </c>
      <c r="T66" s="7" t="s">
        <v>200</v>
      </c>
      <c r="U66" s="7" t="s">
        <v>198</v>
      </c>
      <c r="V66" s="7" t="s">
        <v>49</v>
      </c>
      <c r="W66" s="10" t="s">
        <v>432</v>
      </c>
      <c r="X66" s="24" t="s">
        <v>83</v>
      </c>
      <c r="Y66" s="11">
        <v>15.25</v>
      </c>
      <c r="Z66" s="11">
        <f t="shared" si="23"/>
        <v>2379</v>
      </c>
      <c r="AA66" s="12">
        <f t="shared" si="24"/>
        <v>61915</v>
      </c>
      <c r="AB66" s="12">
        <f t="shared" si="25"/>
        <v>9658740</v>
      </c>
      <c r="AC66" s="19">
        <v>69278</v>
      </c>
      <c r="AD66" s="12">
        <f t="shared" si="26"/>
        <v>10807368</v>
      </c>
      <c r="AE66" s="11">
        <v>0</v>
      </c>
      <c r="AF66" s="23">
        <v>4060</v>
      </c>
      <c r="AG66" s="10" t="s">
        <v>50</v>
      </c>
      <c r="AH66" s="25" t="s">
        <v>45</v>
      </c>
      <c r="AI66" s="27" t="s">
        <v>110</v>
      </c>
      <c r="AJ66" s="10" t="s">
        <v>176</v>
      </c>
      <c r="AK66" s="27" t="s">
        <v>54</v>
      </c>
      <c r="AL66" s="14"/>
      <c r="AM66" s="14" t="s">
        <v>41</v>
      </c>
      <c r="AN66" s="20" t="s">
        <v>42</v>
      </c>
      <c r="AO66" s="14" t="s">
        <v>417</v>
      </c>
      <c r="AP66" s="19"/>
      <c r="AQ66" s="26">
        <f>Table1[[#This Row],[Total Value USD]]</f>
        <v>2379</v>
      </c>
      <c r="AR66" s="28">
        <v>0</v>
      </c>
      <c r="AS66" s="13">
        <f t="shared" si="21"/>
        <v>2379</v>
      </c>
      <c r="AT66" s="29">
        <f t="shared" si="9"/>
        <v>1</v>
      </c>
      <c r="AU66" s="14" t="s">
        <v>446</v>
      </c>
    </row>
    <row r="67" spans="1:47" x14ac:dyDescent="0.25">
      <c r="A67" s="89">
        <v>46153</v>
      </c>
      <c r="B67" s="6"/>
      <c r="C67" s="6" t="s">
        <v>264</v>
      </c>
      <c r="D67" s="39">
        <v>2026</v>
      </c>
      <c r="E67" s="6">
        <v>65</v>
      </c>
      <c r="F67" s="6" t="s">
        <v>278</v>
      </c>
      <c r="G67" s="6" t="s">
        <v>136</v>
      </c>
      <c r="H67" s="21" t="s">
        <v>137</v>
      </c>
      <c r="I67" s="7">
        <v>4000000058</v>
      </c>
      <c r="J67" s="7" t="s">
        <v>71</v>
      </c>
      <c r="K67" s="7"/>
      <c r="L67" s="8">
        <v>69</v>
      </c>
      <c r="M67" s="8">
        <f>VLOOKUP(Table1[[#This Row],[BL NO.]],'BL NCs'!$E$3:$K$78,7,0)</f>
        <v>50</v>
      </c>
      <c r="N67" s="7"/>
      <c r="O67" s="132">
        <v>142</v>
      </c>
      <c r="P67" s="9">
        <v>25</v>
      </c>
      <c r="Q67" s="9">
        <v>7</v>
      </c>
      <c r="R67" s="9">
        <f>Table1[[#This Row],[Torn QTY]]-Table1[[#This Row],[loss]]</f>
        <v>18</v>
      </c>
      <c r="S67" s="7" t="s">
        <v>67</v>
      </c>
      <c r="T67" s="7" t="s">
        <v>200</v>
      </c>
      <c r="U67" s="7" t="s">
        <v>198</v>
      </c>
      <c r="V67" s="7" t="s">
        <v>49</v>
      </c>
      <c r="W67" s="10" t="s">
        <v>279</v>
      </c>
      <c r="X67" s="24" t="s">
        <v>83</v>
      </c>
      <c r="Y67" s="11">
        <v>15.41</v>
      </c>
      <c r="Z67" s="11">
        <f t="shared" ref="Z67:Z74" si="27">Y67*M67</f>
        <v>770.5</v>
      </c>
      <c r="AA67" s="12">
        <f t="shared" ref="AA67:AA68" si="28">Y67*AF67</f>
        <v>62564.6</v>
      </c>
      <c r="AB67" s="12">
        <f t="shared" ref="AB67:AB68" si="29">AA67*M67</f>
        <v>3128230</v>
      </c>
      <c r="AC67" s="19">
        <v>69278</v>
      </c>
      <c r="AD67" s="12">
        <f t="shared" ref="AD67" si="30">AC67*M67</f>
        <v>3463900</v>
      </c>
      <c r="AE67" s="11">
        <v>0</v>
      </c>
      <c r="AF67" s="23">
        <v>4060</v>
      </c>
      <c r="AG67" s="10" t="s">
        <v>50</v>
      </c>
      <c r="AH67" s="25" t="s">
        <v>45</v>
      </c>
      <c r="AI67" s="27" t="s">
        <v>110</v>
      </c>
      <c r="AJ67" s="10" t="s">
        <v>176</v>
      </c>
      <c r="AK67" s="27" t="s">
        <v>54</v>
      </c>
      <c r="AL67" s="14"/>
      <c r="AM67" s="14" t="s">
        <v>50</v>
      </c>
      <c r="AN67" s="20" t="s">
        <v>50</v>
      </c>
      <c r="AO67" s="14" t="s">
        <v>207</v>
      </c>
      <c r="AP67" s="19"/>
      <c r="AQ67" s="26">
        <f>Table1[[#This Row],[Total Value USD]]</f>
        <v>770.5</v>
      </c>
      <c r="AR67" s="28">
        <v>0</v>
      </c>
      <c r="AS67" s="13">
        <f t="shared" ref="AS67" si="31">AQ67-AR67</f>
        <v>770.5</v>
      </c>
      <c r="AT67" s="29">
        <f t="shared" ref="AT67" si="32">(AR67/AQ67-1)*-1</f>
        <v>1</v>
      </c>
      <c r="AU67" s="14" t="s">
        <v>55</v>
      </c>
    </row>
    <row r="68" spans="1:47" x14ac:dyDescent="0.25">
      <c r="A68" s="89">
        <v>46188</v>
      </c>
      <c r="B68" s="6"/>
      <c r="C68" s="6" t="str">
        <f t="shared" ref="C68:C73" si="33">TEXT(A68,"MMM")</f>
        <v>Jun</v>
      </c>
      <c r="D68" s="39">
        <f t="shared" ref="D68:D73" si="34">YEAR(A68)</f>
        <v>2026</v>
      </c>
      <c r="E68" s="6">
        <v>66</v>
      </c>
      <c r="F68" s="6" t="s">
        <v>281</v>
      </c>
      <c r="G68" s="6" t="s">
        <v>153</v>
      </c>
      <c r="H68" s="21" t="s">
        <v>396</v>
      </c>
      <c r="I68" s="7">
        <v>4000000088</v>
      </c>
      <c r="J68" s="7" t="s">
        <v>160</v>
      </c>
      <c r="K68" s="7"/>
      <c r="L68" s="8">
        <v>160</v>
      </c>
      <c r="M68" s="8">
        <f>VLOOKUP(Table1[[#This Row],[BL NO.]],'BL NCs'!$E$3:$K$78,7,0)</f>
        <v>15</v>
      </c>
      <c r="N68" s="7"/>
      <c r="O68" s="132">
        <v>123</v>
      </c>
      <c r="P68" s="9">
        <v>160</v>
      </c>
      <c r="Q68" s="9">
        <v>15</v>
      </c>
      <c r="R68" s="9">
        <f>Table1[[#This Row],[Torn QTY]]-Table1[[#This Row],[loss]]</f>
        <v>145</v>
      </c>
      <c r="S68" s="7" t="s">
        <v>67</v>
      </c>
      <c r="T68" s="7" t="s">
        <v>200</v>
      </c>
      <c r="U68" s="7" t="s">
        <v>198</v>
      </c>
      <c r="V68" s="7" t="s">
        <v>49</v>
      </c>
      <c r="W68" s="10" t="s">
        <v>412</v>
      </c>
      <c r="X68" s="24" t="s">
        <v>287</v>
      </c>
      <c r="Y68" s="11">
        <v>7.7991825613079024</v>
      </c>
      <c r="Z68" s="11">
        <f t="shared" si="27"/>
        <v>116.98773841961854</v>
      </c>
      <c r="AA68" s="12">
        <f t="shared" si="28"/>
        <v>35750.906918256136</v>
      </c>
      <c r="AB68" s="12">
        <f t="shared" si="29"/>
        <v>536263.6037738421</v>
      </c>
      <c r="AC68" s="19">
        <v>69836.240000000005</v>
      </c>
      <c r="AD68" s="12">
        <f>AC68*M68</f>
        <v>1047543.6000000001</v>
      </c>
      <c r="AE68" s="11">
        <v>0</v>
      </c>
      <c r="AF68" s="23">
        <v>4583.93</v>
      </c>
      <c r="AG68" s="10" t="s">
        <v>206</v>
      </c>
      <c r="AH68" s="25" t="s">
        <v>45</v>
      </c>
      <c r="AI68" s="27" t="s">
        <v>110</v>
      </c>
      <c r="AJ68" s="10" t="s">
        <v>176</v>
      </c>
      <c r="AK68" s="27" t="s">
        <v>54</v>
      </c>
      <c r="AL68" s="14"/>
      <c r="AM68" s="14" t="s">
        <v>65</v>
      </c>
      <c r="AN68" s="20" t="s">
        <v>42</v>
      </c>
      <c r="AO68" s="14" t="s">
        <v>416</v>
      </c>
      <c r="AP68" s="19"/>
      <c r="AQ68" s="26">
        <f t="shared" ref="AQ68:AQ74" si="35">Z68</f>
        <v>116.98773841961854</v>
      </c>
      <c r="AR68" s="28">
        <v>0</v>
      </c>
      <c r="AS68" s="13">
        <f t="shared" ref="AS68:AS74" si="36">AQ68-AR68</f>
        <v>116.98773841961854</v>
      </c>
      <c r="AT68" s="29">
        <f t="shared" ref="AT68:AT74" si="37">(AR68/AQ68-1)*-1</f>
        <v>1</v>
      </c>
      <c r="AU68" s="14" t="s">
        <v>416</v>
      </c>
    </row>
    <row r="69" spans="1:47" x14ac:dyDescent="0.25">
      <c r="A69" s="89">
        <v>46197</v>
      </c>
      <c r="B69" s="6"/>
      <c r="C69" s="6" t="str">
        <f t="shared" si="33"/>
        <v>Jun</v>
      </c>
      <c r="D69" s="39">
        <f t="shared" si="34"/>
        <v>2026</v>
      </c>
      <c r="E69" s="6">
        <v>67</v>
      </c>
      <c r="F69" s="6" t="s">
        <v>282</v>
      </c>
      <c r="G69" s="6" t="s">
        <v>153</v>
      </c>
      <c r="H69" s="21" t="s">
        <v>396</v>
      </c>
      <c r="I69" s="7">
        <v>4000000058</v>
      </c>
      <c r="J69" s="7" t="s">
        <v>71</v>
      </c>
      <c r="K69" s="7"/>
      <c r="L69" s="8">
        <v>53</v>
      </c>
      <c r="M69" s="8">
        <f>VLOOKUP(Table1[[#This Row],[BL NO.]],'BL NCs'!$E$3:$K$78,7,0)</f>
        <v>0</v>
      </c>
      <c r="N69" s="7"/>
      <c r="O69" s="132">
        <v>160</v>
      </c>
      <c r="P69" s="9">
        <v>40</v>
      </c>
      <c r="Q69" s="9">
        <v>0</v>
      </c>
      <c r="R69" s="9">
        <f>Table1[[#This Row],[Torn QTY]]-Table1[[#This Row],[loss]]</f>
        <v>40</v>
      </c>
      <c r="S69" s="7" t="s">
        <v>67</v>
      </c>
      <c r="T69" s="7" t="s">
        <v>200</v>
      </c>
      <c r="U69" s="7" t="s">
        <v>198</v>
      </c>
      <c r="V69" s="7" t="s">
        <v>49</v>
      </c>
      <c r="W69" s="10" t="s">
        <v>288</v>
      </c>
      <c r="X69" s="24" t="s">
        <v>287</v>
      </c>
      <c r="Y69" s="11">
        <v>15.25356948228883</v>
      </c>
      <c r="Z69" s="11">
        <f t="shared" si="27"/>
        <v>0</v>
      </c>
      <c r="AA69" s="12">
        <f>Y69*AF69</f>
        <v>69921.294756948235</v>
      </c>
      <c r="AB69" s="12">
        <f t="shared" ref="AB69:AB74" si="38">AA69*M69</f>
        <v>0</v>
      </c>
      <c r="AC69" s="19">
        <v>69836.240000000005</v>
      </c>
      <c r="AD69" s="12">
        <f t="shared" ref="AD69:AD72" si="39">AC69*M69</f>
        <v>0</v>
      </c>
      <c r="AE69" s="11">
        <v>0</v>
      </c>
      <c r="AF69" s="23">
        <v>4583.93</v>
      </c>
      <c r="AG69" s="10" t="s">
        <v>50</v>
      </c>
      <c r="AH69" s="25" t="s">
        <v>45</v>
      </c>
      <c r="AI69" s="27" t="s">
        <v>110</v>
      </c>
      <c r="AJ69" s="10" t="s">
        <v>176</v>
      </c>
      <c r="AK69" s="27" t="s">
        <v>54</v>
      </c>
      <c r="AL69" s="14"/>
      <c r="AM69" s="14" t="s">
        <v>50</v>
      </c>
      <c r="AN69" s="20" t="s">
        <v>50</v>
      </c>
      <c r="AO69" s="14" t="s">
        <v>207</v>
      </c>
      <c r="AP69" s="19"/>
      <c r="AQ69" s="26">
        <f t="shared" si="35"/>
        <v>0</v>
      </c>
      <c r="AR69" s="28">
        <v>0</v>
      </c>
      <c r="AS69" s="13">
        <f t="shared" si="36"/>
        <v>0</v>
      </c>
      <c r="AT69" s="29" t="e">
        <f t="shared" si="37"/>
        <v>#DIV/0!</v>
      </c>
      <c r="AU69" s="14" t="s">
        <v>55</v>
      </c>
    </row>
    <row r="70" spans="1:47" x14ac:dyDescent="0.25">
      <c r="A70" s="89">
        <v>46197</v>
      </c>
      <c r="B70" s="6"/>
      <c r="C70" s="6" t="str">
        <f t="shared" si="33"/>
        <v>Jun</v>
      </c>
      <c r="D70" s="39">
        <f t="shared" si="34"/>
        <v>2026</v>
      </c>
      <c r="E70" s="6">
        <v>68</v>
      </c>
      <c r="F70" s="6" t="s">
        <v>283</v>
      </c>
      <c r="G70" s="6" t="s">
        <v>153</v>
      </c>
      <c r="H70" s="21" t="s">
        <v>396</v>
      </c>
      <c r="I70" s="7">
        <v>4000000058</v>
      </c>
      <c r="J70" s="7" t="s">
        <v>71</v>
      </c>
      <c r="K70" s="7"/>
      <c r="L70" s="8">
        <v>29</v>
      </c>
      <c r="M70" s="8">
        <f>VLOOKUP(Table1[[#This Row],[BL NO.]],'BL NCs'!$E$3:$K$78,7,0)</f>
        <v>0</v>
      </c>
      <c r="N70" s="7"/>
      <c r="O70" s="132">
        <v>161</v>
      </c>
      <c r="P70" s="9">
        <v>29</v>
      </c>
      <c r="Q70" s="9">
        <v>0</v>
      </c>
      <c r="R70" s="9">
        <f>Table1[[#This Row],[Torn QTY]]-Table1[[#This Row],[loss]]</f>
        <v>29</v>
      </c>
      <c r="S70" s="7" t="s">
        <v>67</v>
      </c>
      <c r="T70" s="7" t="s">
        <v>200</v>
      </c>
      <c r="U70" s="7" t="s">
        <v>198</v>
      </c>
      <c r="V70" s="7" t="s">
        <v>49</v>
      </c>
      <c r="W70" s="10" t="s">
        <v>289</v>
      </c>
      <c r="X70" s="24" t="s">
        <v>287</v>
      </c>
      <c r="Y70" s="11">
        <v>15.25356948228883</v>
      </c>
      <c r="Z70" s="11">
        <f t="shared" si="27"/>
        <v>0</v>
      </c>
      <c r="AA70" s="12">
        <f>Y70*AF70</f>
        <v>69921.294756948235</v>
      </c>
      <c r="AB70" s="12">
        <f t="shared" si="38"/>
        <v>0</v>
      </c>
      <c r="AC70" s="19">
        <v>69836.240000000005</v>
      </c>
      <c r="AD70" s="12">
        <f t="shared" si="39"/>
        <v>0</v>
      </c>
      <c r="AE70" s="11">
        <v>0</v>
      </c>
      <c r="AF70" s="23">
        <v>4583.93</v>
      </c>
      <c r="AG70" s="10" t="s">
        <v>50</v>
      </c>
      <c r="AH70" s="25" t="s">
        <v>45</v>
      </c>
      <c r="AI70" s="27" t="s">
        <v>110</v>
      </c>
      <c r="AJ70" s="10" t="s">
        <v>176</v>
      </c>
      <c r="AK70" s="27" t="s">
        <v>54</v>
      </c>
      <c r="AL70" s="14"/>
      <c r="AM70" s="14" t="s">
        <v>50</v>
      </c>
      <c r="AN70" s="20" t="s">
        <v>50</v>
      </c>
      <c r="AO70" s="14" t="s">
        <v>207</v>
      </c>
      <c r="AP70" s="19"/>
      <c r="AQ70" s="26">
        <f t="shared" si="35"/>
        <v>0</v>
      </c>
      <c r="AR70" s="28">
        <v>0</v>
      </c>
      <c r="AS70" s="13">
        <f t="shared" si="36"/>
        <v>0</v>
      </c>
      <c r="AT70" s="29" t="e">
        <f t="shared" si="37"/>
        <v>#DIV/0!</v>
      </c>
      <c r="AU70" s="14" t="s">
        <v>55</v>
      </c>
    </row>
    <row r="71" spans="1:47" x14ac:dyDescent="0.25">
      <c r="A71" s="89">
        <v>46197</v>
      </c>
      <c r="B71" s="6"/>
      <c r="C71" s="6" t="str">
        <f t="shared" si="33"/>
        <v>Jun</v>
      </c>
      <c r="D71" s="39">
        <f t="shared" si="34"/>
        <v>2026</v>
      </c>
      <c r="E71" s="6">
        <v>69</v>
      </c>
      <c r="F71" s="6" t="s">
        <v>284</v>
      </c>
      <c r="G71" s="6" t="s">
        <v>153</v>
      </c>
      <c r="H71" s="21" t="s">
        <v>396</v>
      </c>
      <c r="I71" s="7">
        <v>4000000058</v>
      </c>
      <c r="J71" s="7" t="s">
        <v>71</v>
      </c>
      <c r="K71" s="7"/>
      <c r="L71" s="8">
        <v>92</v>
      </c>
      <c r="M71" s="8">
        <f>VLOOKUP(Table1[[#This Row],[BL NO.]],'BL NCs'!$E$3:$K$78,7,0)</f>
        <v>2</v>
      </c>
      <c r="N71" s="7"/>
      <c r="O71" s="132">
        <v>162</v>
      </c>
      <c r="P71" s="9">
        <v>90</v>
      </c>
      <c r="Q71" s="9">
        <v>0</v>
      </c>
      <c r="R71" s="9">
        <f>Table1[[#This Row],[Torn QTY]]-Table1[[#This Row],[loss]]</f>
        <v>90</v>
      </c>
      <c r="S71" s="7" t="s">
        <v>67</v>
      </c>
      <c r="T71" s="7" t="s">
        <v>200</v>
      </c>
      <c r="U71" s="7" t="s">
        <v>198</v>
      </c>
      <c r="V71" s="7" t="s">
        <v>49</v>
      </c>
      <c r="W71" s="10" t="s">
        <v>290</v>
      </c>
      <c r="X71" s="24" t="s">
        <v>287</v>
      </c>
      <c r="Y71" s="11">
        <v>15.25356948228883</v>
      </c>
      <c r="Z71" s="11">
        <f t="shared" si="27"/>
        <v>30.50713896457766</v>
      </c>
      <c r="AA71" s="12">
        <f>Y71*AF71</f>
        <v>69921.294756948235</v>
      </c>
      <c r="AB71" s="12">
        <f t="shared" si="38"/>
        <v>139842.58951389647</v>
      </c>
      <c r="AC71" s="19">
        <v>69836.240000000005</v>
      </c>
      <c r="AD71" s="12">
        <f t="shared" si="39"/>
        <v>139672.48000000001</v>
      </c>
      <c r="AE71" s="11">
        <v>0</v>
      </c>
      <c r="AF71" s="23">
        <v>4583.93</v>
      </c>
      <c r="AG71" s="10" t="s">
        <v>50</v>
      </c>
      <c r="AH71" s="25" t="s">
        <v>45</v>
      </c>
      <c r="AI71" s="27" t="s">
        <v>110</v>
      </c>
      <c r="AJ71" s="10" t="s">
        <v>176</v>
      </c>
      <c r="AK71" s="27" t="s">
        <v>54</v>
      </c>
      <c r="AL71" s="14"/>
      <c r="AM71" s="14" t="s">
        <v>50</v>
      </c>
      <c r="AN71" s="20" t="s">
        <v>50</v>
      </c>
      <c r="AO71" s="14" t="s">
        <v>207</v>
      </c>
      <c r="AP71" s="19"/>
      <c r="AQ71" s="26">
        <f t="shared" si="35"/>
        <v>30.50713896457766</v>
      </c>
      <c r="AR71" s="28">
        <v>0</v>
      </c>
      <c r="AS71" s="13">
        <f t="shared" si="36"/>
        <v>30.50713896457766</v>
      </c>
      <c r="AT71" s="29">
        <f t="shared" si="37"/>
        <v>1</v>
      </c>
      <c r="AU71" s="14" t="s">
        <v>55</v>
      </c>
    </row>
    <row r="72" spans="1:47" x14ac:dyDescent="0.25">
      <c r="A72" s="89">
        <v>46197</v>
      </c>
      <c r="B72" s="6"/>
      <c r="C72" s="6" t="str">
        <f t="shared" si="33"/>
        <v>Jun</v>
      </c>
      <c r="D72" s="39">
        <f t="shared" si="34"/>
        <v>2026</v>
      </c>
      <c r="E72" s="6">
        <v>70</v>
      </c>
      <c r="F72" s="6" t="s">
        <v>285</v>
      </c>
      <c r="G72" s="6" t="s">
        <v>153</v>
      </c>
      <c r="H72" s="21" t="s">
        <v>396</v>
      </c>
      <c r="I72" s="7">
        <v>4000000058</v>
      </c>
      <c r="J72" s="7" t="s">
        <v>71</v>
      </c>
      <c r="K72" s="7"/>
      <c r="L72" s="8">
        <v>118</v>
      </c>
      <c r="M72" s="8">
        <f>VLOOKUP(Table1[[#This Row],[BL NO.]],'BL NCs'!$E$3:$K$78,7,0)</f>
        <v>39</v>
      </c>
      <c r="N72" s="7"/>
      <c r="O72" s="132" t="s">
        <v>314</v>
      </c>
      <c r="P72" s="9">
        <v>79</v>
      </c>
      <c r="Q72" s="9">
        <v>0</v>
      </c>
      <c r="R72" s="9">
        <f>Table1[[#This Row],[Torn QTY]]-Table1[[#This Row],[loss]]</f>
        <v>79</v>
      </c>
      <c r="S72" s="7" t="s">
        <v>67</v>
      </c>
      <c r="T72" s="7" t="s">
        <v>200</v>
      </c>
      <c r="U72" s="7" t="s">
        <v>198</v>
      </c>
      <c r="V72" s="7" t="s">
        <v>49</v>
      </c>
      <c r="W72" s="10" t="s">
        <v>291</v>
      </c>
      <c r="X72" s="24" t="s">
        <v>287</v>
      </c>
      <c r="Y72" s="11">
        <v>15.25356948228883</v>
      </c>
      <c r="Z72" s="11">
        <f t="shared" si="27"/>
        <v>594.88920980926434</v>
      </c>
      <c r="AA72" s="12">
        <f>Y72*AF72</f>
        <v>69921.294756948235</v>
      </c>
      <c r="AB72" s="12">
        <f t="shared" si="38"/>
        <v>2726930.495520981</v>
      </c>
      <c r="AC72" s="19">
        <v>69836.240000000005</v>
      </c>
      <c r="AD72" s="12">
        <f t="shared" si="39"/>
        <v>2723613.3600000003</v>
      </c>
      <c r="AE72" s="11">
        <v>0</v>
      </c>
      <c r="AF72" s="23">
        <v>4583.93</v>
      </c>
      <c r="AG72" s="10" t="s">
        <v>50</v>
      </c>
      <c r="AH72" s="25" t="s">
        <v>45</v>
      </c>
      <c r="AI72" s="27" t="s">
        <v>110</v>
      </c>
      <c r="AJ72" s="10" t="s">
        <v>176</v>
      </c>
      <c r="AK72" s="27" t="s">
        <v>54</v>
      </c>
      <c r="AL72" s="14"/>
      <c r="AM72" s="14" t="s">
        <v>50</v>
      </c>
      <c r="AN72" s="20" t="s">
        <v>50</v>
      </c>
      <c r="AO72" s="14" t="s">
        <v>207</v>
      </c>
      <c r="AP72" s="19"/>
      <c r="AQ72" s="26">
        <f t="shared" si="35"/>
        <v>594.88920980926434</v>
      </c>
      <c r="AR72" s="28">
        <v>0</v>
      </c>
      <c r="AS72" s="13">
        <f t="shared" si="36"/>
        <v>594.88920980926434</v>
      </c>
      <c r="AT72" s="29">
        <f t="shared" si="37"/>
        <v>1</v>
      </c>
      <c r="AU72" s="14" t="s">
        <v>55</v>
      </c>
    </row>
    <row r="73" spans="1:47" x14ac:dyDescent="0.25">
      <c r="A73" s="89">
        <v>46222</v>
      </c>
      <c r="B73" s="6"/>
      <c r="C73" s="6" t="str">
        <f t="shared" si="33"/>
        <v>Jul</v>
      </c>
      <c r="D73" s="39">
        <f t="shared" si="34"/>
        <v>2026</v>
      </c>
      <c r="E73" s="6">
        <v>71</v>
      </c>
      <c r="F73" s="6" t="s">
        <v>394</v>
      </c>
      <c r="G73" s="6" t="s">
        <v>153</v>
      </c>
      <c r="H73" s="21" t="s">
        <v>396</v>
      </c>
      <c r="I73" s="7">
        <v>4000000058</v>
      </c>
      <c r="J73" s="7" t="s">
        <v>71</v>
      </c>
      <c r="K73" s="7"/>
      <c r="L73" s="8">
        <v>32</v>
      </c>
      <c r="M73" s="8">
        <f>VLOOKUP(Table1[[#This Row],[BL NO.]],'BL NCs'!$E$3:$K$78,7,0)</f>
        <v>1</v>
      </c>
      <c r="N73" s="7"/>
      <c r="O73" s="132"/>
      <c r="P73" s="9"/>
      <c r="Q73" s="9"/>
      <c r="R73" s="9">
        <f>Table1[[#This Row],[Torn QTY]]-Table1[[#This Row],[loss]]</f>
        <v>0</v>
      </c>
      <c r="S73" s="7" t="s">
        <v>67</v>
      </c>
      <c r="T73" s="7" t="s">
        <v>200</v>
      </c>
      <c r="U73" s="7" t="s">
        <v>198</v>
      </c>
      <c r="V73" s="7" t="s">
        <v>49</v>
      </c>
      <c r="W73" s="10" t="s">
        <v>428</v>
      </c>
      <c r="X73" s="24" t="s">
        <v>83</v>
      </c>
      <c r="Y73" s="11">
        <v>15.75</v>
      </c>
      <c r="Z73" s="11">
        <f t="shared" si="27"/>
        <v>15.75</v>
      </c>
      <c r="AA73" s="12">
        <f t="shared" ref="AA73" si="40">Y73*AF73</f>
        <v>88578</v>
      </c>
      <c r="AB73" s="12">
        <f t="shared" si="38"/>
        <v>88578</v>
      </c>
      <c r="AC73" s="19">
        <v>84257.98</v>
      </c>
      <c r="AD73" s="12">
        <f t="shared" ref="AD73:AD74" si="41">AC73*M73</f>
        <v>84257.98</v>
      </c>
      <c r="AE73" s="11">
        <v>0</v>
      </c>
      <c r="AF73" s="23">
        <v>5624</v>
      </c>
      <c r="AG73" s="10" t="s">
        <v>206</v>
      </c>
      <c r="AH73" s="25" t="s">
        <v>45</v>
      </c>
      <c r="AI73" s="27" t="s">
        <v>151</v>
      </c>
      <c r="AJ73" s="10" t="s">
        <v>176</v>
      </c>
      <c r="AK73" s="27" t="s">
        <v>54</v>
      </c>
      <c r="AL73" s="14"/>
      <c r="AM73" s="14" t="s">
        <v>41</v>
      </c>
      <c r="AN73" s="20" t="s">
        <v>42</v>
      </c>
      <c r="AO73" s="14" t="s">
        <v>417</v>
      </c>
      <c r="AP73" s="19"/>
      <c r="AQ73" s="26">
        <f t="shared" si="35"/>
        <v>15.75</v>
      </c>
      <c r="AR73" s="28">
        <v>0</v>
      </c>
      <c r="AS73" s="13">
        <f t="shared" si="36"/>
        <v>15.75</v>
      </c>
      <c r="AT73" s="29">
        <f t="shared" si="37"/>
        <v>1</v>
      </c>
      <c r="AU73" s="14" t="s">
        <v>446</v>
      </c>
    </row>
    <row r="74" spans="1:47" x14ac:dyDescent="0.25">
      <c r="A74" s="89">
        <v>46222</v>
      </c>
      <c r="B74" s="6"/>
      <c r="C74" s="6" t="str">
        <f t="shared" ref="C74" si="42">TEXT(A74,"MMM")</f>
        <v>Jul</v>
      </c>
      <c r="D74" s="39">
        <f t="shared" ref="D74" si="43">YEAR(A74)</f>
        <v>2026</v>
      </c>
      <c r="E74" s="6">
        <v>72</v>
      </c>
      <c r="F74" s="6" t="s">
        <v>395</v>
      </c>
      <c r="G74" s="6" t="s">
        <v>153</v>
      </c>
      <c r="H74" s="21" t="s">
        <v>396</v>
      </c>
      <c r="I74" s="7">
        <v>4000000058</v>
      </c>
      <c r="J74" s="7" t="s">
        <v>71</v>
      </c>
      <c r="K74" s="7"/>
      <c r="L74" s="8">
        <v>25</v>
      </c>
      <c r="M74" s="8">
        <f>VLOOKUP(Table1[[#This Row],[BL NO.]],'BL NCs'!$E$3:$K$78,7,0)</f>
        <v>0</v>
      </c>
      <c r="N74" s="7"/>
      <c r="O74" s="132"/>
      <c r="P74" s="9"/>
      <c r="Q74" s="9"/>
      <c r="R74" s="9">
        <f>Table1[[#This Row],[Torn QTY]]-Table1[[#This Row],[loss]]</f>
        <v>0</v>
      </c>
      <c r="S74" s="7" t="s">
        <v>67</v>
      </c>
      <c r="T74" s="7" t="s">
        <v>200</v>
      </c>
      <c r="U74" s="7" t="s">
        <v>198</v>
      </c>
      <c r="V74" s="7" t="s">
        <v>49</v>
      </c>
      <c r="W74" s="10" t="s">
        <v>426</v>
      </c>
      <c r="X74" s="24" t="s">
        <v>83</v>
      </c>
      <c r="Y74" s="11">
        <v>15.75</v>
      </c>
      <c r="Z74" s="11">
        <f t="shared" si="27"/>
        <v>0</v>
      </c>
      <c r="AA74" s="12">
        <f t="shared" ref="AA74" si="44">Y74*AF74</f>
        <v>88578</v>
      </c>
      <c r="AB74" s="12">
        <f t="shared" si="38"/>
        <v>0</v>
      </c>
      <c r="AC74" s="19">
        <v>84257.98</v>
      </c>
      <c r="AD74" s="12">
        <f t="shared" si="41"/>
        <v>0</v>
      </c>
      <c r="AE74" s="11">
        <v>0</v>
      </c>
      <c r="AF74" s="23">
        <v>5624</v>
      </c>
      <c r="AG74" s="10" t="s">
        <v>206</v>
      </c>
      <c r="AH74" s="25" t="s">
        <v>45</v>
      </c>
      <c r="AI74" s="27" t="s">
        <v>151</v>
      </c>
      <c r="AJ74" s="10" t="s">
        <v>176</v>
      </c>
      <c r="AK74" s="27" t="s">
        <v>54</v>
      </c>
      <c r="AL74" s="14"/>
      <c r="AM74" s="14" t="s">
        <v>41</v>
      </c>
      <c r="AN74" s="20" t="s">
        <v>42</v>
      </c>
      <c r="AO74" s="14" t="s">
        <v>416</v>
      </c>
      <c r="AP74" s="19"/>
      <c r="AQ74" s="26">
        <f t="shared" si="35"/>
        <v>0</v>
      </c>
      <c r="AR74" s="28">
        <v>0</v>
      </c>
      <c r="AS74" s="13">
        <f t="shared" si="36"/>
        <v>0</v>
      </c>
      <c r="AT74" s="29" t="e">
        <f t="shared" si="37"/>
        <v>#DIV/0!</v>
      </c>
      <c r="AU74" s="14" t="s">
        <v>416</v>
      </c>
    </row>
    <row r="75" spans="1:47" x14ac:dyDescent="0.25">
      <c r="A75" s="89">
        <v>46225</v>
      </c>
      <c r="B75" s="6"/>
      <c r="C75" s="6" t="str">
        <f>TEXT(A75,"MMM")</f>
        <v>Jul</v>
      </c>
      <c r="D75" s="39">
        <f>YEAR(A75)</f>
        <v>2026</v>
      </c>
      <c r="E75" s="6">
        <v>73</v>
      </c>
      <c r="F75" s="6" t="s">
        <v>470</v>
      </c>
      <c r="G75" s="6" t="s">
        <v>136</v>
      </c>
      <c r="H75" s="21" t="s">
        <v>137</v>
      </c>
      <c r="I75" s="7">
        <v>4000000058</v>
      </c>
      <c r="J75" s="7" t="s">
        <v>71</v>
      </c>
      <c r="K75" s="7"/>
      <c r="L75" s="8">
        <f>56+23</f>
        <v>79</v>
      </c>
      <c r="M75" s="8">
        <f>VLOOKUP(Table1[[#This Row],[BL NO.]],'BL NCs'!$E$3:$K$78,7,0)</f>
        <v>0</v>
      </c>
      <c r="N75" s="7"/>
      <c r="O75" s="132"/>
      <c r="P75" s="9"/>
      <c r="Q75" s="9"/>
      <c r="R75" s="9">
        <f>Table1[[#This Row],[Torn QTY]]-Table1[[#This Row],[loss]]</f>
        <v>0</v>
      </c>
      <c r="S75" s="7" t="s">
        <v>67</v>
      </c>
      <c r="T75" s="7" t="s">
        <v>200</v>
      </c>
      <c r="U75" s="7" t="s">
        <v>198</v>
      </c>
      <c r="V75" s="7" t="s">
        <v>49</v>
      </c>
      <c r="W75" s="10" t="s">
        <v>471</v>
      </c>
      <c r="X75" s="24" t="s">
        <v>83</v>
      </c>
      <c r="Y75" s="11">
        <v>15.260108991825614</v>
      </c>
      <c r="Z75" s="11">
        <f>Y75*M75</f>
        <v>0</v>
      </c>
      <c r="AA75" s="12">
        <f>Y75*AF75</f>
        <v>85822.852970027248</v>
      </c>
      <c r="AB75" s="12">
        <f t="shared" ref="AB75" si="45">AA75*M75</f>
        <v>0</v>
      </c>
      <c r="AC75" s="19">
        <v>84257.98</v>
      </c>
      <c r="AD75" s="12">
        <f t="shared" ref="AD75" si="46">AC75*M75</f>
        <v>0</v>
      </c>
      <c r="AE75" s="44">
        <v>0</v>
      </c>
      <c r="AF75" s="23">
        <v>5624</v>
      </c>
      <c r="AG75" s="10" t="s">
        <v>50</v>
      </c>
      <c r="AH75" s="25" t="s">
        <v>45</v>
      </c>
      <c r="AI75" s="27" t="s">
        <v>110</v>
      </c>
      <c r="AJ75" s="10" t="s">
        <v>176</v>
      </c>
      <c r="AK75" s="27" t="s">
        <v>54</v>
      </c>
      <c r="AL75" s="14"/>
      <c r="AM75" s="14" t="s">
        <v>50</v>
      </c>
      <c r="AN75" s="20" t="s">
        <v>50</v>
      </c>
      <c r="AO75" s="14" t="s">
        <v>417</v>
      </c>
      <c r="AP75" s="19"/>
      <c r="AQ75" s="26">
        <f t="shared" ref="AQ75" si="47">Z75</f>
        <v>0</v>
      </c>
      <c r="AR75" s="28">
        <v>0</v>
      </c>
      <c r="AS75" s="13">
        <f t="shared" ref="AS75" si="48">AQ75-AR75</f>
        <v>0</v>
      </c>
      <c r="AT75" s="29" t="e">
        <f t="shared" ref="AT75" si="49">(AR75/AQ75-1)*-1</f>
        <v>#DIV/0!</v>
      </c>
      <c r="AU75" s="14" t="s">
        <v>55</v>
      </c>
    </row>
    <row r="76" spans="1:47" x14ac:dyDescent="0.25">
      <c r="A76" s="89">
        <v>46244</v>
      </c>
      <c r="B76" s="6"/>
      <c r="C76" s="6" t="str">
        <f>TEXT(A76,"MMM")</f>
        <v>Aug</v>
      </c>
      <c r="D76" s="39">
        <f>YEAR(A76)</f>
        <v>2026</v>
      </c>
      <c r="E76" s="6">
        <v>74</v>
      </c>
      <c r="F76" s="6" t="s">
        <v>472</v>
      </c>
      <c r="G76" s="6" t="s">
        <v>153</v>
      </c>
      <c r="H76" s="21" t="s">
        <v>396</v>
      </c>
      <c r="I76" s="7">
        <v>4000000058</v>
      </c>
      <c r="J76" s="7" t="s">
        <v>71</v>
      </c>
      <c r="K76" s="7"/>
      <c r="L76" s="8">
        <v>18</v>
      </c>
      <c r="M76" s="8">
        <f>VLOOKUP(Table1[[#This Row],[BL NO.]],'BL NCs'!$E$3:$K$78,7,0)</f>
        <v>0</v>
      </c>
      <c r="N76" s="7"/>
      <c r="O76" s="132"/>
      <c r="P76" s="9"/>
      <c r="Q76" s="9"/>
      <c r="R76" s="9">
        <f>Table1[[#This Row],[Torn QTY]]-Table1[[#This Row],[loss]]</f>
        <v>0</v>
      </c>
      <c r="S76" s="7" t="s">
        <v>67</v>
      </c>
      <c r="T76" s="7" t="s">
        <v>200</v>
      </c>
      <c r="U76" s="7" t="s">
        <v>198</v>
      </c>
      <c r="V76" s="7" t="s">
        <v>49</v>
      </c>
      <c r="W76" s="10" t="s">
        <v>474</v>
      </c>
      <c r="X76" s="24" t="s">
        <v>83</v>
      </c>
      <c r="Y76" s="11">
        <v>16.020871934604905</v>
      </c>
      <c r="Z76" s="11">
        <f t="shared" ref="Z76:Z77" si="50">Y76*M76</f>
        <v>0</v>
      </c>
      <c r="AA76" s="12">
        <f>Y76*AF76</f>
        <v>94587.227901907361</v>
      </c>
      <c r="AB76" s="12">
        <f>AA76*M76</f>
        <v>0</v>
      </c>
      <c r="AC76" s="19">
        <v>90450.49</v>
      </c>
      <c r="AD76" s="12">
        <f>AC76*M76</f>
        <v>0</v>
      </c>
      <c r="AE76" s="11"/>
      <c r="AF76" s="23">
        <v>5904</v>
      </c>
      <c r="AG76" s="10" t="s">
        <v>50</v>
      </c>
      <c r="AH76" s="25" t="s">
        <v>45</v>
      </c>
      <c r="AI76" s="27" t="s">
        <v>110</v>
      </c>
      <c r="AJ76" s="10" t="s">
        <v>176</v>
      </c>
      <c r="AK76" s="27" t="s">
        <v>54</v>
      </c>
      <c r="AL76" s="14"/>
      <c r="AM76" s="14" t="s">
        <v>50</v>
      </c>
      <c r="AN76" s="20" t="s">
        <v>50</v>
      </c>
      <c r="AO76" s="14" t="s">
        <v>417</v>
      </c>
      <c r="AP76" s="19"/>
      <c r="AQ76" s="26">
        <f t="shared" ref="AQ76:AQ77" si="51">Z76</f>
        <v>0</v>
      </c>
      <c r="AR76" s="28">
        <v>0</v>
      </c>
      <c r="AS76" s="13">
        <f t="shared" ref="AS76:AS77" si="52">AQ76-AR76</f>
        <v>0</v>
      </c>
      <c r="AT76" s="29" t="e">
        <f t="shared" ref="AT76:AT77" si="53">(AR76/AQ76-1)*-1</f>
        <v>#DIV/0!</v>
      </c>
      <c r="AU76" s="14" t="s">
        <v>55</v>
      </c>
    </row>
    <row r="77" spans="1:47" x14ac:dyDescent="0.25">
      <c r="A77" s="89">
        <v>46244</v>
      </c>
      <c r="B77" s="6"/>
      <c r="C77" s="6" t="str">
        <f>TEXT(A77,"MMM")</f>
        <v>Aug</v>
      </c>
      <c r="D77" s="39">
        <f>YEAR(A77)</f>
        <v>2026</v>
      </c>
      <c r="E77" s="6">
        <v>75</v>
      </c>
      <c r="F77" s="6" t="s">
        <v>473</v>
      </c>
      <c r="G77" s="6" t="s">
        <v>153</v>
      </c>
      <c r="H77" s="21" t="s">
        <v>396</v>
      </c>
      <c r="I77" s="7">
        <v>4000000058</v>
      </c>
      <c r="J77" s="7" t="s">
        <v>71</v>
      </c>
      <c r="K77" s="7"/>
      <c r="L77" s="8">
        <v>28</v>
      </c>
      <c r="M77" s="8">
        <f>VLOOKUP(Table1[[#This Row],[BL NO.]],'BL NCs'!$E$3:$K$78,7,0)</f>
        <v>0</v>
      </c>
      <c r="N77" s="7"/>
      <c r="O77" s="132"/>
      <c r="P77" s="9"/>
      <c r="Q77" s="9"/>
      <c r="R77" s="9">
        <f>Table1[[#This Row],[Torn QTY]]-Table1[[#This Row],[loss]]</f>
        <v>0</v>
      </c>
      <c r="S77" s="7" t="s">
        <v>67</v>
      </c>
      <c r="T77" s="7" t="s">
        <v>200</v>
      </c>
      <c r="U77" s="7" t="s">
        <v>198</v>
      </c>
      <c r="V77" s="7" t="s">
        <v>49</v>
      </c>
      <c r="W77" s="10" t="s">
        <v>475</v>
      </c>
      <c r="X77" s="24" t="s">
        <v>83</v>
      </c>
      <c r="Y77" s="11">
        <v>16.020871934604905</v>
      </c>
      <c r="Z77" s="11">
        <f t="shared" si="50"/>
        <v>0</v>
      </c>
      <c r="AA77" s="12">
        <f>Y77*AF77</f>
        <v>94587.227901907361</v>
      </c>
      <c r="AB77" s="12">
        <f>AA77*M77</f>
        <v>0</v>
      </c>
      <c r="AC77" s="19">
        <v>90450.49</v>
      </c>
      <c r="AD77" s="12">
        <f>AC77*M77</f>
        <v>0</v>
      </c>
      <c r="AE77" s="11"/>
      <c r="AF77" s="23">
        <v>5904</v>
      </c>
      <c r="AG77" s="10" t="s">
        <v>50</v>
      </c>
      <c r="AH77" s="25" t="s">
        <v>45</v>
      </c>
      <c r="AI77" s="27" t="s">
        <v>110</v>
      </c>
      <c r="AJ77" s="10" t="s">
        <v>176</v>
      </c>
      <c r="AK77" s="27" t="s">
        <v>54</v>
      </c>
      <c r="AL77" s="14"/>
      <c r="AM77" s="14" t="s">
        <v>50</v>
      </c>
      <c r="AN77" s="20" t="s">
        <v>50</v>
      </c>
      <c r="AO77" s="14" t="s">
        <v>417</v>
      </c>
      <c r="AP77" s="19"/>
      <c r="AQ77" s="26">
        <f t="shared" si="51"/>
        <v>0</v>
      </c>
      <c r="AR77" s="28">
        <v>0</v>
      </c>
      <c r="AS77" s="13">
        <f t="shared" si="52"/>
        <v>0</v>
      </c>
      <c r="AT77" s="29" t="e">
        <f t="shared" si="53"/>
        <v>#DIV/0!</v>
      </c>
      <c r="AU77" s="14" t="s">
        <v>55</v>
      </c>
    </row>
  </sheetData>
  <phoneticPr fontId="13" type="noConversion"/>
  <conditionalFormatting sqref="M2:M59">
    <cfRule type="expression" dxfId="2" priority="1">
      <formula>$CC2="Pending"</formula>
    </cfRule>
  </conditionalFormatting>
  <pageMargins left="0.7" right="0.7" top="0.75" bottom="0.75" header="0.3" footer="0.3"/>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5" id="{24127288-7735-4785-BE1D-C0090E8FF69A}">
            <xm:f>_xlfn.XLOOKUP($F60,'BL NCs'!$E:$E,'BL NCs'!$CD:$CD="Pending")</xm:f>
            <x14:dxf>
              <fill>
                <patternFill>
                  <bgColor rgb="FFFE0000"/>
                </patternFill>
              </fill>
            </x14:dxf>
          </x14:cfRule>
          <xm:sqref>M60:M77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94A2-16A8-4E6A-A3D7-E0C06423958E}">
  <dimension ref="A1:CD78"/>
  <sheetViews>
    <sheetView workbookViewId="0">
      <pane ySplit="2" topLeftCell="A58" activePane="bottomLeft" state="frozen"/>
      <selection activeCell="E9" sqref="E9:E11"/>
      <selection pane="bottomLeft" activeCell="F2" sqref="F2"/>
    </sheetView>
  </sheetViews>
  <sheetFormatPr defaultRowHeight="15" x14ac:dyDescent="0.25"/>
  <cols>
    <col min="1" max="1" width="11.85546875" bestFit="1" customWidth="1"/>
    <col min="4" max="4" width="12.28515625" bestFit="1" customWidth="1"/>
    <col min="5" max="5" width="19.140625" bestFit="1" customWidth="1"/>
    <col min="7" max="7" width="16.85546875" bestFit="1" customWidth="1"/>
    <col min="8" max="8" width="11" bestFit="1" customWidth="1"/>
    <col min="9" max="9" width="32" bestFit="1" customWidth="1"/>
    <col min="10" max="10" width="15.7109375" bestFit="1" customWidth="1"/>
    <col min="11" max="11" width="29.28515625" customWidth="1"/>
    <col min="12" max="12" width="16.7109375" hidden="1" customWidth="1"/>
    <col min="13" max="13" width="20.85546875" bestFit="1" customWidth="1"/>
    <col min="14" max="14" width="40.42578125" customWidth="1"/>
    <col min="15" max="17" width="20.85546875" customWidth="1"/>
    <col min="18" max="18" width="34.7109375" bestFit="1" customWidth="1"/>
    <col min="20" max="20" width="19.7109375" style="159" bestFit="1" customWidth="1"/>
    <col min="21" max="21" width="24.42578125" style="102" bestFit="1" customWidth="1"/>
    <col min="22" max="24" width="24.42578125" style="102" customWidth="1"/>
    <col min="25" max="25" width="30.7109375" style="102" bestFit="1" customWidth="1"/>
    <col min="26" max="26" width="24.42578125" style="102" customWidth="1"/>
    <col min="27" max="27" width="25.7109375" style="102" bestFit="1" customWidth="1"/>
    <col min="28" max="30" width="25.7109375" style="102" customWidth="1"/>
    <col min="31" max="31" width="25.7109375" style="102" hidden="1" customWidth="1"/>
    <col min="32" max="32" width="25.7109375" style="102" customWidth="1"/>
    <col min="33" max="33" width="17.5703125" style="135" bestFit="1" customWidth="1"/>
    <col min="34" max="34" width="17.5703125" style="135" customWidth="1"/>
    <col min="35" max="35" width="20.85546875" style="135" bestFit="1" customWidth="1"/>
    <col min="36" max="36" width="17.5703125" style="135" hidden="1" customWidth="1"/>
    <col min="37" max="37" width="26.85546875" style="45" bestFit="1" customWidth="1"/>
    <col min="38" max="38" width="17.5703125" style="135" customWidth="1"/>
    <col min="39" max="39" width="30.5703125" style="135" bestFit="1" customWidth="1"/>
    <col min="40" max="40" width="22.7109375" style="135" bestFit="1" customWidth="1"/>
    <col min="41" max="43" width="12.28515625" style="135" hidden="1" customWidth="1"/>
    <col min="44" max="44" width="6.85546875" style="135" hidden="1" customWidth="1"/>
    <col min="45" max="45" width="7.7109375" style="135" hidden="1" customWidth="1"/>
    <col min="46" max="46" width="18.7109375" hidden="1" customWidth="1"/>
    <col min="47" max="49" width="27.7109375" hidden="1" customWidth="1"/>
    <col min="50" max="50" width="15.7109375" hidden="1" customWidth="1"/>
    <col min="51" max="52" width="15.7109375" customWidth="1"/>
    <col min="53" max="53" width="12" customWidth="1"/>
    <col min="54" max="54" width="27.7109375" hidden="1" customWidth="1"/>
    <col min="55" max="55" width="15.140625" hidden="1" customWidth="1"/>
    <col min="56" max="56" width="6.5703125" hidden="1" customWidth="1"/>
    <col min="57" max="57" width="255.7109375" hidden="1" customWidth="1"/>
    <col min="58" max="58" width="41.5703125" hidden="1" customWidth="1"/>
    <col min="59" max="59" width="12.7109375" hidden="1" customWidth="1"/>
    <col min="60" max="60" width="15.85546875" hidden="1" customWidth="1"/>
    <col min="61" max="61" width="14" hidden="1" customWidth="1"/>
    <col min="62" max="62" width="17.5703125" hidden="1" customWidth="1"/>
    <col min="63" max="63" width="14" hidden="1" customWidth="1"/>
    <col min="64" max="64" width="17.5703125" hidden="1" customWidth="1"/>
    <col min="65" max="65" width="20" hidden="1" customWidth="1"/>
    <col min="66" max="66" width="13.28515625" hidden="1" customWidth="1"/>
    <col min="67" max="67" width="24.5703125" hidden="1" customWidth="1"/>
    <col min="68" max="68" width="12.7109375" hidden="1" customWidth="1"/>
    <col min="69" max="69" width="15.7109375" hidden="1" customWidth="1"/>
    <col min="70" max="70" width="11" hidden="1" customWidth="1"/>
    <col min="71" max="71" width="9.28515625" hidden="1" customWidth="1"/>
    <col min="72" max="72" width="7.42578125" hidden="1" customWidth="1"/>
    <col min="73" max="73" width="11.28515625" hidden="1" customWidth="1"/>
    <col min="74" max="74" width="8.7109375" hidden="1" customWidth="1"/>
    <col min="75" max="75" width="37.85546875" hidden="1" customWidth="1"/>
    <col min="76" max="76" width="16.28515625" hidden="1" customWidth="1"/>
    <col min="77" max="77" width="24.140625" hidden="1" customWidth="1"/>
    <col min="78" max="78" width="10.140625" hidden="1" customWidth="1"/>
    <col min="79" max="79" width="12.42578125" hidden="1" customWidth="1"/>
    <col min="80" max="80" width="107" hidden="1" customWidth="1"/>
    <col min="81" max="81" width="121.28515625" bestFit="1" customWidth="1"/>
    <col min="82" max="82" width="15.28515625" bestFit="1" customWidth="1"/>
  </cols>
  <sheetData>
    <row r="1" spans="1:82" ht="15.75" x14ac:dyDescent="0.25">
      <c r="N1" s="192" t="s">
        <v>464</v>
      </c>
      <c r="O1" s="193"/>
      <c r="P1" s="193"/>
      <c r="Q1" s="193"/>
      <c r="R1" s="193"/>
      <c r="S1" s="210" t="s">
        <v>467</v>
      </c>
      <c r="T1" s="210"/>
      <c r="U1" s="210"/>
      <c r="V1" s="211" t="s">
        <v>468</v>
      </c>
      <c r="W1" s="211"/>
      <c r="X1" s="211"/>
      <c r="Y1" s="209" t="s">
        <v>399</v>
      </c>
      <c r="Z1" s="209"/>
      <c r="AA1" s="209"/>
      <c r="AB1" s="207" t="s">
        <v>403</v>
      </c>
      <c r="AC1" s="207"/>
      <c r="AD1" s="207"/>
      <c r="AE1" s="207"/>
      <c r="AF1" s="207"/>
      <c r="AG1" s="207"/>
      <c r="AH1" s="207"/>
      <c r="AI1" s="207"/>
      <c r="AJ1" s="207"/>
      <c r="AK1" s="207"/>
      <c r="AL1" s="207"/>
      <c r="AM1" s="207"/>
      <c r="AN1" s="208" t="s">
        <v>408</v>
      </c>
      <c r="AO1" s="208"/>
      <c r="AP1" s="208"/>
      <c r="AQ1" s="208"/>
      <c r="AR1" s="208"/>
      <c r="AS1" s="208"/>
      <c r="AT1" s="208"/>
      <c r="AU1" s="208"/>
      <c r="AV1" s="208"/>
      <c r="AW1" s="208"/>
      <c r="AX1" s="208"/>
      <c r="AY1" s="208"/>
      <c r="AZ1" s="208"/>
    </row>
    <row r="2" spans="1:82" x14ac:dyDescent="0.25">
      <c r="A2" s="1" t="s">
        <v>0</v>
      </c>
      <c r="B2" s="1" t="s">
        <v>177</v>
      </c>
      <c r="C2" s="38" t="s">
        <v>2</v>
      </c>
      <c r="D2" s="1" t="s">
        <v>3</v>
      </c>
      <c r="E2" s="1" t="s">
        <v>210</v>
      </c>
      <c r="F2" s="1" t="s">
        <v>4</v>
      </c>
      <c r="G2" s="1" t="s">
        <v>5</v>
      </c>
      <c r="H2" s="1" t="s">
        <v>6</v>
      </c>
      <c r="I2" s="1" t="s">
        <v>7</v>
      </c>
      <c r="J2" s="1" t="s">
        <v>306</v>
      </c>
      <c r="K2" s="1" t="s">
        <v>465</v>
      </c>
      <c r="L2" s="1" t="s">
        <v>392</v>
      </c>
      <c r="M2" s="1" t="s">
        <v>310</v>
      </c>
      <c r="N2" s="190" t="s">
        <v>405</v>
      </c>
      <c r="O2" s="191" t="s">
        <v>301</v>
      </c>
      <c r="P2" s="191" t="s">
        <v>65</v>
      </c>
      <c r="Q2" s="191" t="s">
        <v>304</v>
      </c>
      <c r="R2" s="191" t="s">
        <v>406</v>
      </c>
      <c r="S2" s="165" t="s">
        <v>307</v>
      </c>
      <c r="T2" s="166" t="s">
        <v>401</v>
      </c>
      <c r="U2" s="165" t="s">
        <v>398</v>
      </c>
      <c r="V2" s="165" t="s">
        <v>307</v>
      </c>
      <c r="W2" s="165" t="s">
        <v>466</v>
      </c>
      <c r="X2" s="165" t="s">
        <v>398</v>
      </c>
      <c r="Y2" s="168" t="s">
        <v>465</v>
      </c>
      <c r="Z2" s="168" t="s">
        <v>400</v>
      </c>
      <c r="AA2" s="168" t="s">
        <v>407</v>
      </c>
      <c r="AB2" s="172" t="s">
        <v>402</v>
      </c>
      <c r="AC2" s="172" t="s">
        <v>480</v>
      </c>
      <c r="AD2" s="172" t="s">
        <v>404</v>
      </c>
      <c r="AE2" s="172" t="s">
        <v>400</v>
      </c>
      <c r="AF2" s="173" t="s">
        <v>410</v>
      </c>
      <c r="AG2" s="174" t="s">
        <v>409</v>
      </c>
      <c r="AH2" s="174" t="s">
        <v>480</v>
      </c>
      <c r="AI2" s="174" t="s">
        <v>404</v>
      </c>
      <c r="AJ2" s="174" t="s">
        <v>400</v>
      </c>
      <c r="AK2" s="175" t="s">
        <v>411</v>
      </c>
      <c r="AL2" s="176" t="s">
        <v>22</v>
      </c>
      <c r="AM2" s="176" t="s">
        <v>454</v>
      </c>
      <c r="AN2" s="164" t="s">
        <v>455</v>
      </c>
      <c r="AO2" s="137" t="s">
        <v>304</v>
      </c>
      <c r="AP2" s="137" t="s">
        <v>328</v>
      </c>
      <c r="AQ2" s="137" t="s">
        <v>307</v>
      </c>
      <c r="AR2" s="137" t="s">
        <v>301</v>
      </c>
      <c r="AS2" s="137" t="s">
        <v>65</v>
      </c>
      <c r="AT2" s="136" t="s">
        <v>329</v>
      </c>
      <c r="AU2" s="136" t="s">
        <v>305</v>
      </c>
      <c r="AV2" s="136" t="s">
        <v>330</v>
      </c>
      <c r="AW2" s="136" t="s">
        <v>331</v>
      </c>
      <c r="AX2" s="136" t="s">
        <v>18</v>
      </c>
      <c r="AY2" s="136" t="s">
        <v>458</v>
      </c>
      <c r="AZ2" s="136" t="s">
        <v>34</v>
      </c>
      <c r="BA2" s="1" t="s">
        <v>10</v>
      </c>
      <c r="BB2" s="1" t="s">
        <v>11</v>
      </c>
      <c r="BC2" s="115" t="s">
        <v>197</v>
      </c>
      <c r="BD2" s="115" t="s">
        <v>12</v>
      </c>
      <c r="BE2" s="1" t="s">
        <v>13</v>
      </c>
      <c r="BF2" s="1" t="s">
        <v>14</v>
      </c>
      <c r="BG2" s="1" t="s">
        <v>15</v>
      </c>
      <c r="BH2" s="138" t="s">
        <v>16</v>
      </c>
      <c r="BI2" s="1" t="s">
        <v>17</v>
      </c>
      <c r="BJ2" s="138" t="s">
        <v>18</v>
      </c>
      <c r="BK2" s="139" t="s">
        <v>19</v>
      </c>
      <c r="BL2" s="139" t="s">
        <v>20</v>
      </c>
      <c r="BM2" s="48" t="s">
        <v>21</v>
      </c>
      <c r="BN2" s="1" t="s">
        <v>22</v>
      </c>
      <c r="BO2" s="1" t="s">
        <v>23</v>
      </c>
      <c r="BP2" s="1" t="s">
        <v>24</v>
      </c>
      <c r="BQ2" s="1" t="s">
        <v>25</v>
      </c>
      <c r="BR2" s="1" t="s">
        <v>175</v>
      </c>
      <c r="BS2" s="1" t="s">
        <v>26</v>
      </c>
      <c r="BT2" s="1" t="s">
        <v>27</v>
      </c>
      <c r="BU2" s="115" t="s">
        <v>28</v>
      </c>
      <c r="BV2" s="1" t="s">
        <v>29</v>
      </c>
      <c r="BW2" s="115" t="s">
        <v>30</v>
      </c>
      <c r="BX2" s="139" t="s">
        <v>32</v>
      </c>
      <c r="BY2" s="139" t="s">
        <v>33</v>
      </c>
      <c r="BZ2" s="115" t="s">
        <v>34</v>
      </c>
      <c r="CA2" s="115" t="s">
        <v>35</v>
      </c>
      <c r="CB2" s="115" t="s">
        <v>36</v>
      </c>
      <c r="CC2" s="140" t="s">
        <v>27</v>
      </c>
      <c r="CD2" s="140" t="s">
        <v>393</v>
      </c>
    </row>
    <row r="3" spans="1:82" x14ac:dyDescent="0.25">
      <c r="A3" s="123">
        <v>45603</v>
      </c>
      <c r="B3" s="6" t="str">
        <f t="shared" ref="B3:B61" si="0">TEXT(A3,"MMM")</f>
        <v>Nov</v>
      </c>
      <c r="C3" s="39">
        <f t="shared" ref="C3:C61" si="1">YEAR(A3)</f>
        <v>2024</v>
      </c>
      <c r="D3" s="6">
        <v>1</v>
      </c>
      <c r="E3" s="6" t="s">
        <v>211</v>
      </c>
      <c r="F3" s="6" t="s">
        <v>69</v>
      </c>
      <c r="G3" s="7" t="s">
        <v>70</v>
      </c>
      <c r="H3" s="7" t="s">
        <v>52</v>
      </c>
      <c r="I3" s="7" t="s">
        <v>71</v>
      </c>
      <c r="J3" s="8">
        <v>0</v>
      </c>
      <c r="K3" s="8">
        <f>N3+O3+P3+S3+T3+V3+W3</f>
        <v>0</v>
      </c>
      <c r="L3" s="8">
        <v>0</v>
      </c>
      <c r="M3" s="141" t="s">
        <v>312</v>
      </c>
      <c r="N3" s="142">
        <v>0</v>
      </c>
      <c r="O3" s="142">
        <v>0</v>
      </c>
      <c r="P3" s="142">
        <v>0</v>
      </c>
      <c r="Q3" s="142">
        <v>0</v>
      </c>
      <c r="R3" s="142">
        <v>0</v>
      </c>
      <c r="S3" s="142">
        <v>0</v>
      </c>
      <c r="T3" s="143">
        <v>0</v>
      </c>
      <c r="U3" s="144">
        <f>R3-S3-T3</f>
        <v>0</v>
      </c>
      <c r="V3" s="144"/>
      <c r="W3" s="144"/>
      <c r="X3" s="144">
        <f>Q3-V3-W3</f>
        <v>0</v>
      </c>
      <c r="Y3" s="144">
        <f>N3+O3+P3+S3+T3+V3+W3</f>
        <v>0</v>
      </c>
      <c r="Z3" s="167">
        <v>0</v>
      </c>
      <c r="AA3" s="167">
        <f>Y3*Z3</f>
        <v>0</v>
      </c>
      <c r="AB3" s="142">
        <f t="shared" ref="AB3:AB66" si="2">N3+W3</f>
        <v>0</v>
      </c>
      <c r="AC3" s="142"/>
      <c r="AD3" s="142"/>
      <c r="AE3" s="142"/>
      <c r="AF3" s="169">
        <v>0</v>
      </c>
      <c r="AG3" s="142">
        <f t="shared" ref="AG3:AG34" si="3">T3</f>
        <v>0</v>
      </c>
      <c r="AH3" s="142"/>
      <c r="AI3" s="142"/>
      <c r="AJ3" s="142"/>
      <c r="AK3" s="169">
        <v>0</v>
      </c>
      <c r="AL3" s="142">
        <v>0</v>
      </c>
      <c r="AM3" s="169">
        <f t="shared" ref="AM3:AM34" si="4">AF3+AK3</f>
        <v>0</v>
      </c>
      <c r="AN3" s="142">
        <f t="shared" ref="AN3:AN34" si="5">AA3-AM3</f>
        <v>0</v>
      </c>
      <c r="AO3" s="142">
        <v>0</v>
      </c>
      <c r="AP3" s="142"/>
      <c r="AQ3" s="142"/>
      <c r="AR3" s="142">
        <v>0</v>
      </c>
      <c r="AS3" s="142">
        <v>0</v>
      </c>
      <c r="AT3" s="145"/>
      <c r="AU3" s="145"/>
      <c r="AV3" s="145"/>
      <c r="AW3" s="145"/>
      <c r="AX3" s="145"/>
      <c r="AY3" s="145">
        <f>VLOOKUP(E3,Table1[[BL NO.]:[Total Value USD]],21,0)</f>
        <v>0</v>
      </c>
      <c r="AZ3" s="145">
        <f>AN3-AY3</f>
        <v>0</v>
      </c>
      <c r="BA3" s="9" t="s">
        <v>67</v>
      </c>
      <c r="BB3" s="7" t="s">
        <v>200</v>
      </c>
      <c r="BC3" s="7" t="s">
        <v>198</v>
      </c>
      <c r="BD3" s="7" t="s">
        <v>49</v>
      </c>
      <c r="BE3" s="7" t="s">
        <v>73</v>
      </c>
      <c r="BF3" s="9" t="s">
        <v>74</v>
      </c>
      <c r="BG3" s="146">
        <v>0</v>
      </c>
      <c r="BH3" s="146">
        <f t="shared" ref="BH3:BH34" si="6">BG3*K3</f>
        <v>0</v>
      </c>
      <c r="BI3" s="147">
        <v>0</v>
      </c>
      <c r="BJ3" s="148">
        <f t="shared" ref="BJ3:BJ14" si="7">BI3*L3</f>
        <v>0</v>
      </c>
      <c r="BK3" s="148">
        <v>0</v>
      </c>
      <c r="BL3" s="148">
        <f t="shared" ref="BL3:BL14" si="8">BK3*L3</f>
        <v>0</v>
      </c>
      <c r="BM3" s="44">
        <f t="shared" ref="BM3:BM23" si="9">BY3</f>
        <v>0</v>
      </c>
      <c r="BN3" s="14">
        <v>0</v>
      </c>
      <c r="BO3" s="10" t="s">
        <v>208</v>
      </c>
      <c r="BP3" s="10" t="s">
        <v>45</v>
      </c>
      <c r="BQ3" s="10" t="s">
        <v>64</v>
      </c>
      <c r="BR3" s="10" t="s">
        <v>176</v>
      </c>
      <c r="BS3" s="27" t="s">
        <v>54</v>
      </c>
      <c r="BT3" s="10"/>
      <c r="BU3" s="14" t="s">
        <v>41</v>
      </c>
      <c r="BV3" s="149" t="s">
        <v>42</v>
      </c>
      <c r="BW3" s="22" t="s">
        <v>59</v>
      </c>
      <c r="BX3" s="150">
        <f>BH3</f>
        <v>0</v>
      </c>
      <c r="BY3" s="150">
        <v>0</v>
      </c>
      <c r="BZ3" s="13">
        <f t="shared" ref="BZ3:BZ66" si="10">BX3-BY3</f>
        <v>0</v>
      </c>
      <c r="CA3" s="15" t="e">
        <f t="shared" ref="CA3:CA66" si="11">(BY3/BX3-1)*-1</f>
        <v>#DIV/0!</v>
      </c>
      <c r="CB3" s="22" t="s">
        <v>59</v>
      </c>
      <c r="CC3" s="7"/>
      <c r="CD3" s="7"/>
    </row>
    <row r="4" spans="1:82" x14ac:dyDescent="0.25">
      <c r="A4" s="123">
        <v>45603</v>
      </c>
      <c r="B4" s="6" t="str">
        <f t="shared" si="0"/>
        <v>Nov</v>
      </c>
      <c r="C4" s="39">
        <f t="shared" si="1"/>
        <v>2024</v>
      </c>
      <c r="D4" s="6">
        <v>2</v>
      </c>
      <c r="E4" s="117" t="s">
        <v>212</v>
      </c>
      <c r="F4" s="6" t="s">
        <v>69</v>
      </c>
      <c r="G4" s="7" t="s">
        <v>70</v>
      </c>
      <c r="H4" s="7" t="s">
        <v>75</v>
      </c>
      <c r="I4" s="7" t="s">
        <v>160</v>
      </c>
      <c r="J4" s="8">
        <v>215</v>
      </c>
      <c r="K4" s="8">
        <f t="shared" ref="K4:K67" si="12">N4+O4+P4+S4+T4+V4+W4</f>
        <v>215</v>
      </c>
      <c r="L4" s="116">
        <v>215</v>
      </c>
      <c r="M4" s="160" t="s">
        <v>314</v>
      </c>
      <c r="N4" s="180">
        <v>215</v>
      </c>
      <c r="O4" s="180">
        <v>0</v>
      </c>
      <c r="P4" s="180">
        <v>0</v>
      </c>
      <c r="Q4" s="180">
        <v>0</v>
      </c>
      <c r="R4" s="180">
        <v>0</v>
      </c>
      <c r="S4" s="180">
        <v>0</v>
      </c>
      <c r="T4" s="181">
        <v>0</v>
      </c>
      <c r="U4" s="163">
        <f t="shared" ref="U4:U21" si="13">R4-S4-T4</f>
        <v>0</v>
      </c>
      <c r="V4" s="163"/>
      <c r="W4" s="163"/>
      <c r="X4" s="144">
        <f t="shared" ref="X4:X67" si="14">Q4-V4-W4</f>
        <v>0</v>
      </c>
      <c r="Y4" s="144">
        <f t="shared" ref="Y4:Y67" si="15">N4+O4+P4+S4+T4+V4+W4</f>
        <v>215</v>
      </c>
      <c r="Z4" s="182">
        <v>11.609302325581396</v>
      </c>
      <c r="AA4" s="182">
        <f t="shared" ref="AA4:AA67" si="16">Y4*Z4</f>
        <v>2496</v>
      </c>
      <c r="AB4" s="142">
        <f t="shared" si="2"/>
        <v>215</v>
      </c>
      <c r="AC4" s="180"/>
      <c r="AD4" s="180"/>
      <c r="AE4" s="180"/>
      <c r="AF4" s="183">
        <f>AD4/AL4</f>
        <v>0</v>
      </c>
      <c r="AG4" s="180">
        <f t="shared" si="3"/>
        <v>0</v>
      </c>
      <c r="AH4" s="180"/>
      <c r="AI4" s="180"/>
      <c r="AJ4" s="180"/>
      <c r="AK4" s="183">
        <f t="shared" ref="AK4:AK67" si="17">AI4/AL4</f>
        <v>0</v>
      </c>
      <c r="AL4" s="180">
        <v>2372</v>
      </c>
      <c r="AM4" s="183">
        <f t="shared" si="4"/>
        <v>0</v>
      </c>
      <c r="AN4" s="180">
        <f t="shared" si="5"/>
        <v>2496</v>
      </c>
      <c r="AO4" s="180">
        <v>0</v>
      </c>
      <c r="AP4" s="180"/>
      <c r="AQ4" s="180"/>
      <c r="AR4" s="180">
        <v>0</v>
      </c>
      <c r="AS4" s="180">
        <v>0</v>
      </c>
      <c r="AT4" s="184"/>
      <c r="AU4" s="184"/>
      <c r="AV4" s="184"/>
      <c r="AW4" s="184"/>
      <c r="AX4" s="184"/>
      <c r="AY4" s="184">
        <f>VLOOKUP(E4,Table1[[BL NO.]:[Total Value USD]],21,0)</f>
        <v>2496</v>
      </c>
      <c r="AZ4" s="184">
        <f t="shared" ref="AZ4:AZ67" si="18">AN4-AY4</f>
        <v>0</v>
      </c>
      <c r="BA4" s="118" t="s">
        <v>67</v>
      </c>
      <c r="BB4" s="72" t="s">
        <v>200</v>
      </c>
      <c r="BC4" s="72" t="s">
        <v>198</v>
      </c>
      <c r="BD4" s="72" t="s">
        <v>49</v>
      </c>
      <c r="BE4" s="72" t="s">
        <v>76</v>
      </c>
      <c r="BF4" s="118" t="s">
        <v>77</v>
      </c>
      <c r="BG4" s="185">
        <v>11.609302325581396</v>
      </c>
      <c r="BH4" s="155">
        <f t="shared" si="6"/>
        <v>2496</v>
      </c>
      <c r="BI4" s="186">
        <v>34000</v>
      </c>
      <c r="BJ4" s="186">
        <f t="shared" si="7"/>
        <v>7310000</v>
      </c>
      <c r="BK4" s="186">
        <v>30750</v>
      </c>
      <c r="BL4" s="186">
        <f t="shared" si="8"/>
        <v>6611250</v>
      </c>
      <c r="BM4" s="119">
        <f t="shared" si="9"/>
        <v>1248</v>
      </c>
      <c r="BN4" s="118">
        <v>2372</v>
      </c>
      <c r="BO4" s="72" t="s">
        <v>39</v>
      </c>
      <c r="BP4" s="72" t="s">
        <v>40</v>
      </c>
      <c r="BQ4" s="72" t="s">
        <v>78</v>
      </c>
      <c r="BR4" s="72" t="s">
        <v>176</v>
      </c>
      <c r="BS4" s="121" t="s">
        <v>54</v>
      </c>
      <c r="BT4" s="72"/>
      <c r="BU4" s="72" t="s">
        <v>41</v>
      </c>
      <c r="BV4" s="158" t="s">
        <v>42</v>
      </c>
      <c r="BW4" s="118" t="s">
        <v>57</v>
      </c>
      <c r="BX4" s="187">
        <v>2496</v>
      </c>
      <c r="BY4" s="187">
        <v>1248</v>
      </c>
      <c r="BZ4" s="188">
        <f t="shared" si="10"/>
        <v>1248</v>
      </c>
      <c r="CA4" s="189">
        <f t="shared" si="11"/>
        <v>0.5</v>
      </c>
      <c r="CB4" s="118" t="s">
        <v>79</v>
      </c>
      <c r="CC4" s="118" t="s">
        <v>79</v>
      </c>
      <c r="CD4" s="7"/>
    </row>
    <row r="5" spans="1:82" x14ac:dyDescent="0.25">
      <c r="A5" s="123">
        <v>45630</v>
      </c>
      <c r="B5" s="6" t="str">
        <f t="shared" si="0"/>
        <v>Dec</v>
      </c>
      <c r="C5" s="39">
        <f t="shared" si="1"/>
        <v>2024</v>
      </c>
      <c r="D5" s="6">
        <v>3</v>
      </c>
      <c r="E5" s="6">
        <v>245672578</v>
      </c>
      <c r="F5" s="6" t="s">
        <v>69</v>
      </c>
      <c r="G5" s="7" t="s">
        <v>70</v>
      </c>
      <c r="H5" s="7" t="s">
        <v>52</v>
      </c>
      <c r="I5" s="7" t="s">
        <v>71</v>
      </c>
      <c r="J5" s="8">
        <v>0</v>
      </c>
      <c r="K5" s="8">
        <f t="shared" si="12"/>
        <v>0</v>
      </c>
      <c r="L5" s="8">
        <v>0</v>
      </c>
      <c r="M5" s="141" t="s">
        <v>312</v>
      </c>
      <c r="N5" s="142">
        <v>0</v>
      </c>
      <c r="O5" s="142">
        <v>0</v>
      </c>
      <c r="P5" s="142">
        <v>0</v>
      </c>
      <c r="Q5" s="142">
        <v>0</v>
      </c>
      <c r="R5" s="142">
        <v>0</v>
      </c>
      <c r="S5" s="142">
        <v>0</v>
      </c>
      <c r="T5" s="143">
        <v>0</v>
      </c>
      <c r="U5" s="144">
        <f t="shared" si="13"/>
        <v>0</v>
      </c>
      <c r="V5" s="144"/>
      <c r="W5" s="144"/>
      <c r="X5" s="144">
        <f t="shared" si="14"/>
        <v>0</v>
      </c>
      <c r="Y5" s="144">
        <f t="shared" si="15"/>
        <v>0</v>
      </c>
      <c r="Z5" s="167">
        <v>0</v>
      </c>
      <c r="AA5" s="167">
        <f t="shared" si="16"/>
        <v>0</v>
      </c>
      <c r="AB5" s="142">
        <f t="shared" si="2"/>
        <v>0</v>
      </c>
      <c r="AC5" s="142"/>
      <c r="AD5" s="142"/>
      <c r="AE5" s="142"/>
      <c r="AF5" s="169">
        <v>0</v>
      </c>
      <c r="AG5" s="142">
        <f t="shared" si="3"/>
        <v>0</v>
      </c>
      <c r="AH5" s="142"/>
      <c r="AI5" s="142"/>
      <c r="AJ5" s="142"/>
      <c r="AK5" s="169">
        <v>0</v>
      </c>
      <c r="AL5" s="142">
        <v>0</v>
      </c>
      <c r="AM5" s="169">
        <f t="shared" si="4"/>
        <v>0</v>
      </c>
      <c r="AN5" s="142">
        <f t="shared" si="5"/>
        <v>0</v>
      </c>
      <c r="AO5" s="142">
        <v>0</v>
      </c>
      <c r="AP5" s="142"/>
      <c r="AQ5" s="142"/>
      <c r="AR5" s="142">
        <v>0</v>
      </c>
      <c r="AS5" s="142">
        <v>0</v>
      </c>
      <c r="AT5" s="145"/>
      <c r="AU5" s="145"/>
      <c r="AV5" s="145"/>
      <c r="AW5" s="145"/>
      <c r="AX5" s="145"/>
      <c r="AY5" s="145">
        <f>VLOOKUP(E5,Table1[[BL NO.]:[Total Value USD]],21,0)</f>
        <v>0</v>
      </c>
      <c r="AZ5" s="145">
        <f t="shared" si="18"/>
        <v>0</v>
      </c>
      <c r="BA5" s="9" t="s">
        <v>67</v>
      </c>
      <c r="BB5" s="7" t="s">
        <v>200</v>
      </c>
      <c r="BC5" s="7" t="s">
        <v>198</v>
      </c>
      <c r="BD5" s="7" t="s">
        <v>49</v>
      </c>
      <c r="BE5" s="7" t="s">
        <v>80</v>
      </c>
      <c r="BF5" s="9" t="s">
        <v>74</v>
      </c>
      <c r="BG5" s="146">
        <v>0</v>
      </c>
      <c r="BH5" s="146">
        <f t="shared" si="6"/>
        <v>0</v>
      </c>
      <c r="BI5" s="147">
        <v>0</v>
      </c>
      <c r="BJ5" s="148">
        <f t="shared" si="7"/>
        <v>0</v>
      </c>
      <c r="BK5" s="148">
        <v>0</v>
      </c>
      <c r="BL5" s="148">
        <f t="shared" si="8"/>
        <v>0</v>
      </c>
      <c r="BM5" s="44">
        <f t="shared" si="9"/>
        <v>0</v>
      </c>
      <c r="BN5" s="14">
        <v>0</v>
      </c>
      <c r="BO5" s="10" t="s">
        <v>208</v>
      </c>
      <c r="BP5" s="10" t="s">
        <v>45</v>
      </c>
      <c r="BQ5" s="10" t="s">
        <v>64</v>
      </c>
      <c r="BR5" s="10" t="s">
        <v>176</v>
      </c>
      <c r="BS5" s="27" t="s">
        <v>54</v>
      </c>
      <c r="BT5" s="10"/>
      <c r="BU5" s="14" t="s">
        <v>41</v>
      </c>
      <c r="BV5" s="149" t="s">
        <v>42</v>
      </c>
      <c r="BW5" s="22" t="s">
        <v>59</v>
      </c>
      <c r="BX5" s="150">
        <f t="shared" ref="BX5:BX45" si="19">BH5</f>
        <v>0</v>
      </c>
      <c r="BY5" s="150">
        <v>0</v>
      </c>
      <c r="BZ5" s="13">
        <f t="shared" si="10"/>
        <v>0</v>
      </c>
      <c r="CA5" s="15" t="e">
        <f t="shared" si="11"/>
        <v>#DIV/0!</v>
      </c>
      <c r="CB5" s="22" t="s">
        <v>59</v>
      </c>
      <c r="CC5" s="7"/>
      <c r="CD5" s="7"/>
    </row>
    <row r="6" spans="1:82" x14ac:dyDescent="0.25">
      <c r="A6" s="123">
        <v>45630</v>
      </c>
      <c r="B6" s="6" t="str">
        <f t="shared" si="0"/>
        <v>Dec</v>
      </c>
      <c r="C6" s="39">
        <f t="shared" si="1"/>
        <v>2024</v>
      </c>
      <c r="D6" s="6">
        <v>4</v>
      </c>
      <c r="E6" s="6">
        <v>245672856</v>
      </c>
      <c r="F6" s="6" t="s">
        <v>69</v>
      </c>
      <c r="G6" s="7" t="s">
        <v>70</v>
      </c>
      <c r="H6" s="7" t="s">
        <v>52</v>
      </c>
      <c r="I6" s="7" t="s">
        <v>71</v>
      </c>
      <c r="J6" s="8">
        <v>0</v>
      </c>
      <c r="K6" s="8">
        <f t="shared" si="12"/>
        <v>0</v>
      </c>
      <c r="L6" s="8">
        <v>0</v>
      </c>
      <c r="M6" s="141" t="s">
        <v>312</v>
      </c>
      <c r="N6" s="142">
        <v>0</v>
      </c>
      <c r="O6" s="142">
        <v>0</v>
      </c>
      <c r="P6" s="142">
        <v>0</v>
      </c>
      <c r="Q6" s="142">
        <v>0</v>
      </c>
      <c r="R6" s="142">
        <v>0</v>
      </c>
      <c r="S6" s="142">
        <v>0</v>
      </c>
      <c r="T6" s="143">
        <v>0</v>
      </c>
      <c r="U6" s="144">
        <f t="shared" si="13"/>
        <v>0</v>
      </c>
      <c r="V6" s="144"/>
      <c r="W6" s="144"/>
      <c r="X6" s="144">
        <f t="shared" si="14"/>
        <v>0</v>
      </c>
      <c r="Y6" s="144">
        <f t="shared" si="15"/>
        <v>0</v>
      </c>
      <c r="Z6" s="167">
        <v>0</v>
      </c>
      <c r="AA6" s="167">
        <f t="shared" si="16"/>
        <v>0</v>
      </c>
      <c r="AB6" s="142">
        <f t="shared" si="2"/>
        <v>0</v>
      </c>
      <c r="AC6" s="142"/>
      <c r="AD6" s="142"/>
      <c r="AE6" s="142"/>
      <c r="AF6" s="169">
        <v>0</v>
      </c>
      <c r="AG6" s="142">
        <f t="shared" si="3"/>
        <v>0</v>
      </c>
      <c r="AH6" s="142"/>
      <c r="AI6" s="142"/>
      <c r="AJ6" s="142"/>
      <c r="AK6" s="169">
        <v>0</v>
      </c>
      <c r="AL6" s="142">
        <v>0</v>
      </c>
      <c r="AM6" s="169">
        <f t="shared" si="4"/>
        <v>0</v>
      </c>
      <c r="AN6" s="142">
        <f t="shared" si="5"/>
        <v>0</v>
      </c>
      <c r="AO6" s="142">
        <v>0</v>
      </c>
      <c r="AP6" s="142"/>
      <c r="AQ6" s="142"/>
      <c r="AR6" s="142">
        <v>0</v>
      </c>
      <c r="AS6" s="142">
        <v>0</v>
      </c>
      <c r="AT6" s="145"/>
      <c r="AU6" s="145"/>
      <c r="AV6" s="145"/>
      <c r="AW6" s="145"/>
      <c r="AX6" s="145"/>
      <c r="AY6" s="145">
        <f>VLOOKUP(E6,Table1[[BL NO.]:[Total Value USD]],21,0)</f>
        <v>0</v>
      </c>
      <c r="AZ6" s="145">
        <f t="shared" si="18"/>
        <v>0</v>
      </c>
      <c r="BA6" s="9" t="s">
        <v>67</v>
      </c>
      <c r="BB6" s="7" t="s">
        <v>200</v>
      </c>
      <c r="BC6" s="7" t="s">
        <v>198</v>
      </c>
      <c r="BD6" s="7" t="s">
        <v>49</v>
      </c>
      <c r="BE6" s="7" t="s">
        <v>81</v>
      </c>
      <c r="BF6" s="9" t="s">
        <v>74</v>
      </c>
      <c r="BG6" s="146">
        <v>0</v>
      </c>
      <c r="BH6" s="146">
        <f t="shared" si="6"/>
        <v>0</v>
      </c>
      <c r="BI6" s="147">
        <v>0</v>
      </c>
      <c r="BJ6" s="148">
        <f t="shared" si="7"/>
        <v>0</v>
      </c>
      <c r="BK6" s="148">
        <v>0</v>
      </c>
      <c r="BL6" s="148">
        <f t="shared" si="8"/>
        <v>0</v>
      </c>
      <c r="BM6" s="44">
        <f t="shared" si="9"/>
        <v>0</v>
      </c>
      <c r="BN6" s="30">
        <v>0</v>
      </c>
      <c r="BO6" s="10" t="s">
        <v>208</v>
      </c>
      <c r="BP6" s="10" t="s">
        <v>45</v>
      </c>
      <c r="BQ6" s="10" t="s">
        <v>64</v>
      </c>
      <c r="BR6" s="10" t="s">
        <v>176</v>
      </c>
      <c r="BS6" s="27" t="s">
        <v>54</v>
      </c>
      <c r="BT6" s="10"/>
      <c r="BU6" s="14" t="s">
        <v>41</v>
      </c>
      <c r="BV6" s="149" t="s">
        <v>42</v>
      </c>
      <c r="BW6" s="22" t="s">
        <v>59</v>
      </c>
      <c r="BX6" s="150">
        <f t="shared" si="19"/>
        <v>0</v>
      </c>
      <c r="BY6" s="150">
        <v>0</v>
      </c>
      <c r="BZ6" s="13">
        <f t="shared" si="10"/>
        <v>0</v>
      </c>
      <c r="CA6" s="15" t="e">
        <f t="shared" si="11"/>
        <v>#DIV/0!</v>
      </c>
      <c r="CB6" s="22" t="s">
        <v>59</v>
      </c>
      <c r="CC6" s="7"/>
      <c r="CD6" s="7"/>
    </row>
    <row r="7" spans="1:82" x14ac:dyDescent="0.25">
      <c r="A7" s="125">
        <v>45630</v>
      </c>
      <c r="B7" s="6" t="str">
        <f t="shared" si="0"/>
        <v>Dec</v>
      </c>
      <c r="C7" s="39">
        <f t="shared" si="1"/>
        <v>2024</v>
      </c>
      <c r="D7" s="6">
        <v>4</v>
      </c>
      <c r="E7" s="117">
        <v>245672856</v>
      </c>
      <c r="F7" s="6" t="s">
        <v>69</v>
      </c>
      <c r="G7" s="7" t="s">
        <v>70</v>
      </c>
      <c r="H7" s="7" t="s">
        <v>52</v>
      </c>
      <c r="I7" s="7" t="s">
        <v>71</v>
      </c>
      <c r="J7" s="8">
        <v>21</v>
      </c>
      <c r="K7" s="8">
        <f t="shared" si="12"/>
        <v>21</v>
      </c>
      <c r="L7" s="8">
        <v>21</v>
      </c>
      <c r="M7" s="161" t="s">
        <v>314</v>
      </c>
      <c r="N7" s="142">
        <v>21</v>
      </c>
      <c r="O7" s="142">
        <v>0</v>
      </c>
      <c r="P7" s="142">
        <v>0</v>
      </c>
      <c r="Q7" s="142">
        <v>0</v>
      </c>
      <c r="R7" s="142">
        <v>0</v>
      </c>
      <c r="S7" s="142">
        <v>0</v>
      </c>
      <c r="T7" s="143">
        <v>0</v>
      </c>
      <c r="U7" s="144">
        <f t="shared" si="13"/>
        <v>0</v>
      </c>
      <c r="V7" s="144"/>
      <c r="W7" s="144"/>
      <c r="X7" s="144">
        <f t="shared" si="14"/>
        <v>0</v>
      </c>
      <c r="Y7" s="144">
        <f t="shared" si="15"/>
        <v>21</v>
      </c>
      <c r="Z7" s="167">
        <v>20.68</v>
      </c>
      <c r="AA7" s="167">
        <f t="shared" si="16"/>
        <v>434.28</v>
      </c>
      <c r="AB7" s="142">
        <f t="shared" si="2"/>
        <v>21</v>
      </c>
      <c r="AC7" s="142"/>
      <c r="AD7" s="142"/>
      <c r="AE7" s="142"/>
      <c r="AF7" s="169">
        <f t="shared" ref="AF7:AF38" si="20">AD7/AL7</f>
        <v>0</v>
      </c>
      <c r="AG7" s="142">
        <f t="shared" si="3"/>
        <v>0</v>
      </c>
      <c r="AH7" s="142"/>
      <c r="AI7" s="142"/>
      <c r="AJ7" s="142"/>
      <c r="AK7" s="169">
        <f t="shared" si="17"/>
        <v>0</v>
      </c>
      <c r="AL7" s="142">
        <v>2350</v>
      </c>
      <c r="AM7" s="169">
        <f t="shared" si="4"/>
        <v>0</v>
      </c>
      <c r="AN7" s="142">
        <f t="shared" si="5"/>
        <v>434.28</v>
      </c>
      <c r="AO7" s="142">
        <v>0</v>
      </c>
      <c r="AP7" s="142"/>
      <c r="AQ7" s="142"/>
      <c r="AR7" s="142">
        <v>0</v>
      </c>
      <c r="AS7" s="142">
        <v>0</v>
      </c>
      <c r="AT7" s="145"/>
      <c r="AU7" s="145"/>
      <c r="AV7" s="145"/>
      <c r="AW7" s="145"/>
      <c r="AX7" s="145"/>
      <c r="AY7" s="145">
        <v>434.28</v>
      </c>
      <c r="AZ7" s="145">
        <f t="shared" si="18"/>
        <v>0</v>
      </c>
      <c r="BA7" s="9" t="s">
        <v>67</v>
      </c>
      <c r="BB7" s="7" t="s">
        <v>200</v>
      </c>
      <c r="BC7" s="7" t="s">
        <v>198</v>
      </c>
      <c r="BD7" s="7" t="s">
        <v>49</v>
      </c>
      <c r="BE7" s="7" t="s">
        <v>82</v>
      </c>
      <c r="BF7" s="9" t="s">
        <v>83</v>
      </c>
      <c r="BG7" s="146">
        <v>20.68</v>
      </c>
      <c r="BH7" s="146">
        <f t="shared" si="6"/>
        <v>434.28</v>
      </c>
      <c r="BI7" s="147">
        <f>BG7*BN7</f>
        <v>48598</v>
      </c>
      <c r="BJ7" s="148">
        <f t="shared" si="7"/>
        <v>1020558</v>
      </c>
      <c r="BK7" s="148">
        <v>47408.368390000003</v>
      </c>
      <c r="BL7" s="148">
        <f t="shared" si="8"/>
        <v>995575.73619000008</v>
      </c>
      <c r="BM7" s="44">
        <f t="shared" si="9"/>
        <v>434.28</v>
      </c>
      <c r="BN7" s="30">
        <v>2350</v>
      </c>
      <c r="BO7" s="10" t="s">
        <v>39</v>
      </c>
      <c r="BP7" s="10" t="s">
        <v>40</v>
      </c>
      <c r="BQ7" s="10" t="s">
        <v>64</v>
      </c>
      <c r="BR7" s="10" t="s">
        <v>176</v>
      </c>
      <c r="BS7" s="27" t="s">
        <v>54</v>
      </c>
      <c r="BT7" s="10"/>
      <c r="BU7" s="14" t="s">
        <v>41</v>
      </c>
      <c r="BV7" s="149" t="s">
        <v>42</v>
      </c>
      <c r="BW7" s="14" t="s">
        <v>57</v>
      </c>
      <c r="BX7" s="150">
        <f t="shared" si="19"/>
        <v>434.28</v>
      </c>
      <c r="BY7" s="150">
        <v>434.28</v>
      </c>
      <c r="BZ7" s="13">
        <f t="shared" si="10"/>
        <v>0</v>
      </c>
      <c r="CA7" s="15">
        <f t="shared" si="11"/>
        <v>0</v>
      </c>
      <c r="CB7" s="14" t="s">
        <v>173</v>
      </c>
      <c r="CC7" s="7"/>
      <c r="CD7" s="7"/>
    </row>
    <row r="8" spans="1:82" x14ac:dyDescent="0.25">
      <c r="A8" s="123">
        <v>45636</v>
      </c>
      <c r="B8" s="6" t="str">
        <f t="shared" si="0"/>
        <v>Dec</v>
      </c>
      <c r="C8" s="39">
        <f t="shared" si="1"/>
        <v>2024</v>
      </c>
      <c r="D8" s="6">
        <v>5</v>
      </c>
      <c r="E8" s="117" t="s">
        <v>213</v>
      </c>
      <c r="F8" s="6" t="s">
        <v>69</v>
      </c>
      <c r="G8" s="7" t="s">
        <v>70</v>
      </c>
      <c r="H8" s="7" t="s">
        <v>75</v>
      </c>
      <c r="I8" s="7" t="s">
        <v>160</v>
      </c>
      <c r="J8" s="8">
        <v>25</v>
      </c>
      <c r="K8" s="8">
        <f t="shared" si="12"/>
        <v>25</v>
      </c>
      <c r="L8" s="8">
        <v>25</v>
      </c>
      <c r="M8" s="160" t="s">
        <v>314</v>
      </c>
      <c r="N8" s="142">
        <v>25</v>
      </c>
      <c r="O8" s="142">
        <v>0</v>
      </c>
      <c r="P8" s="142">
        <v>0</v>
      </c>
      <c r="Q8" s="142">
        <v>0</v>
      </c>
      <c r="R8" s="142">
        <v>0</v>
      </c>
      <c r="S8" s="142">
        <v>0</v>
      </c>
      <c r="T8" s="143">
        <v>0</v>
      </c>
      <c r="U8" s="144">
        <f t="shared" si="13"/>
        <v>0</v>
      </c>
      <c r="V8" s="144"/>
      <c r="W8" s="144"/>
      <c r="X8" s="144">
        <f t="shared" si="14"/>
        <v>0</v>
      </c>
      <c r="Y8" s="144">
        <f t="shared" si="15"/>
        <v>25</v>
      </c>
      <c r="Z8" s="167">
        <v>13.327961702127659</v>
      </c>
      <c r="AA8" s="167">
        <f t="shared" si="16"/>
        <v>333.19904255319148</v>
      </c>
      <c r="AB8" s="142">
        <f t="shared" si="2"/>
        <v>25</v>
      </c>
      <c r="AC8" s="142"/>
      <c r="AD8" s="142"/>
      <c r="AE8" s="142"/>
      <c r="AF8" s="169">
        <f t="shared" si="20"/>
        <v>0</v>
      </c>
      <c r="AG8" s="142">
        <f t="shared" si="3"/>
        <v>0</v>
      </c>
      <c r="AH8" s="142"/>
      <c r="AI8" s="142"/>
      <c r="AJ8" s="142"/>
      <c r="AK8" s="169">
        <f t="shared" si="17"/>
        <v>0</v>
      </c>
      <c r="AL8" s="142">
        <v>2350</v>
      </c>
      <c r="AM8" s="169">
        <f t="shared" si="4"/>
        <v>0</v>
      </c>
      <c r="AN8" s="142">
        <f t="shared" si="5"/>
        <v>333.19904255319148</v>
      </c>
      <c r="AO8" s="142">
        <v>0</v>
      </c>
      <c r="AP8" s="142"/>
      <c r="AQ8" s="142"/>
      <c r="AR8" s="142">
        <v>0</v>
      </c>
      <c r="AS8" s="142">
        <v>0</v>
      </c>
      <c r="AT8" s="145"/>
      <c r="AU8" s="145"/>
      <c r="AV8" s="145"/>
      <c r="AW8" s="145"/>
      <c r="AX8" s="145"/>
      <c r="AY8" s="145">
        <f>VLOOKUP(E8,Table1[[BL NO.]:[Total Value USD]],21,0)</f>
        <v>333.19904255319148</v>
      </c>
      <c r="AZ8" s="145">
        <f t="shared" si="18"/>
        <v>0</v>
      </c>
      <c r="BA8" s="9" t="s">
        <v>67</v>
      </c>
      <c r="BB8" s="7" t="s">
        <v>200</v>
      </c>
      <c r="BC8" s="7" t="s">
        <v>198</v>
      </c>
      <c r="BD8" s="7" t="s">
        <v>49</v>
      </c>
      <c r="BE8" s="7" t="s">
        <v>84</v>
      </c>
      <c r="BF8" s="9" t="s">
        <v>83</v>
      </c>
      <c r="BG8" s="146">
        <v>13.327961702127659</v>
      </c>
      <c r="BH8" s="146">
        <f t="shared" si="6"/>
        <v>333.19904255319148</v>
      </c>
      <c r="BI8" s="147">
        <v>31320.71</v>
      </c>
      <c r="BJ8" s="148">
        <f t="shared" si="7"/>
        <v>783017.75</v>
      </c>
      <c r="BK8" s="148">
        <v>29520.555400000001</v>
      </c>
      <c r="BL8" s="148">
        <f t="shared" si="8"/>
        <v>738013.88500000001</v>
      </c>
      <c r="BM8" s="44">
        <f t="shared" si="9"/>
        <v>0</v>
      </c>
      <c r="BN8" s="30">
        <v>2350</v>
      </c>
      <c r="BO8" s="10" t="s">
        <v>206</v>
      </c>
      <c r="BP8" s="10" t="s">
        <v>40</v>
      </c>
      <c r="BQ8" s="10" t="s">
        <v>78</v>
      </c>
      <c r="BR8" s="10" t="s">
        <v>176</v>
      </c>
      <c r="BS8" s="27" t="s">
        <v>54</v>
      </c>
      <c r="BT8" s="10"/>
      <c r="BU8" s="14" t="s">
        <v>41</v>
      </c>
      <c r="BV8" s="149" t="s">
        <v>42</v>
      </c>
      <c r="BW8" s="14" t="s">
        <v>270</v>
      </c>
      <c r="BX8" s="150">
        <f t="shared" si="19"/>
        <v>333.19904255319148</v>
      </c>
      <c r="BY8" s="150">
        <v>0</v>
      </c>
      <c r="BZ8" s="13">
        <f t="shared" si="10"/>
        <v>333.19904255319148</v>
      </c>
      <c r="CA8" s="15">
        <f t="shared" si="11"/>
        <v>1</v>
      </c>
      <c r="CB8" s="16" t="s">
        <v>141</v>
      </c>
      <c r="CC8" s="7"/>
      <c r="CD8" s="7"/>
    </row>
    <row r="9" spans="1:82" x14ac:dyDescent="0.25">
      <c r="A9" s="123">
        <v>45682</v>
      </c>
      <c r="B9" s="6" t="str">
        <f t="shared" si="0"/>
        <v>Jan</v>
      </c>
      <c r="C9" s="39">
        <f t="shared" si="1"/>
        <v>2025</v>
      </c>
      <c r="D9" s="6">
        <v>6</v>
      </c>
      <c r="E9" s="6">
        <v>247070297</v>
      </c>
      <c r="F9" s="6" t="s">
        <v>69</v>
      </c>
      <c r="G9" s="7" t="s">
        <v>46</v>
      </c>
      <c r="H9" s="7" t="s">
        <v>52</v>
      </c>
      <c r="I9" s="7" t="s">
        <v>71</v>
      </c>
      <c r="J9" s="8">
        <v>45</v>
      </c>
      <c r="K9" s="8">
        <f t="shared" si="12"/>
        <v>45</v>
      </c>
      <c r="L9" s="8">
        <v>45</v>
      </c>
      <c r="M9" s="141" t="s">
        <v>301</v>
      </c>
      <c r="N9" s="142">
        <v>0</v>
      </c>
      <c r="O9" s="142">
        <v>45</v>
      </c>
      <c r="P9" s="142">
        <v>0</v>
      </c>
      <c r="Q9" s="142">
        <v>0</v>
      </c>
      <c r="R9" s="142">
        <v>0</v>
      </c>
      <c r="S9" s="142">
        <v>0</v>
      </c>
      <c r="T9" s="143">
        <v>0</v>
      </c>
      <c r="U9" s="144">
        <f t="shared" si="13"/>
        <v>0</v>
      </c>
      <c r="V9" s="144"/>
      <c r="W9" s="144"/>
      <c r="X9" s="144">
        <f t="shared" si="14"/>
        <v>0</v>
      </c>
      <c r="Y9" s="144">
        <f t="shared" si="15"/>
        <v>45</v>
      </c>
      <c r="Z9" s="167">
        <v>20.135917442738485</v>
      </c>
      <c r="AA9" s="167">
        <f t="shared" si="16"/>
        <v>906.11628492323177</v>
      </c>
      <c r="AB9" s="142">
        <f t="shared" si="2"/>
        <v>0</v>
      </c>
      <c r="AC9" s="142"/>
      <c r="AD9" s="142"/>
      <c r="AE9" s="142"/>
      <c r="AF9" s="169">
        <f t="shared" si="20"/>
        <v>0</v>
      </c>
      <c r="AG9" s="142">
        <f t="shared" si="3"/>
        <v>0</v>
      </c>
      <c r="AH9" s="142"/>
      <c r="AI9" s="142"/>
      <c r="AJ9" s="142"/>
      <c r="AK9" s="169">
        <f t="shared" si="17"/>
        <v>0</v>
      </c>
      <c r="AL9" s="142">
        <v>2582.4499999999998</v>
      </c>
      <c r="AM9" s="169">
        <f t="shared" si="4"/>
        <v>0</v>
      </c>
      <c r="AN9" s="142">
        <f t="shared" si="5"/>
        <v>906.11628492323177</v>
      </c>
      <c r="AO9" s="142">
        <v>0</v>
      </c>
      <c r="AP9" s="142"/>
      <c r="AQ9" s="142"/>
      <c r="AR9" s="142">
        <v>45</v>
      </c>
      <c r="AS9" s="142">
        <v>0</v>
      </c>
      <c r="AT9" s="145"/>
      <c r="AU9" s="145"/>
      <c r="AV9" s="145"/>
      <c r="AW9" s="145"/>
      <c r="AX9" s="145"/>
      <c r="AY9" s="145">
        <f>VLOOKUP(E9,Table1[[BL NO.]:[Total Value USD]],21,0)</f>
        <v>906.11628492323177</v>
      </c>
      <c r="AZ9" s="145">
        <f t="shared" si="18"/>
        <v>0</v>
      </c>
      <c r="BA9" s="9" t="s">
        <v>67</v>
      </c>
      <c r="BB9" s="7" t="s">
        <v>200</v>
      </c>
      <c r="BC9" s="7" t="s">
        <v>198</v>
      </c>
      <c r="BD9" s="7" t="s">
        <v>49</v>
      </c>
      <c r="BE9" s="7" t="s">
        <v>86</v>
      </c>
      <c r="BF9" s="9" t="s">
        <v>83</v>
      </c>
      <c r="BG9" s="146">
        <v>20.135917442738485</v>
      </c>
      <c r="BH9" s="146">
        <f t="shared" si="6"/>
        <v>906.11628492323177</v>
      </c>
      <c r="BI9" s="147">
        <v>52000</v>
      </c>
      <c r="BJ9" s="148">
        <f t="shared" si="7"/>
        <v>2340000</v>
      </c>
      <c r="BK9" s="148">
        <v>48417.057079999999</v>
      </c>
      <c r="BL9" s="148">
        <f t="shared" si="8"/>
        <v>2178767.5685999999</v>
      </c>
      <c r="BM9" s="44">
        <f t="shared" si="9"/>
        <v>0</v>
      </c>
      <c r="BN9" s="14">
        <v>2582.4499999999998</v>
      </c>
      <c r="BO9" s="10" t="s">
        <v>50</v>
      </c>
      <c r="BP9" s="10" t="s">
        <v>40</v>
      </c>
      <c r="BQ9" s="10" t="s">
        <v>64</v>
      </c>
      <c r="BR9" s="10" t="s">
        <v>176</v>
      </c>
      <c r="BS9" s="27" t="s">
        <v>54</v>
      </c>
      <c r="BT9" s="10"/>
      <c r="BU9" s="14" t="s">
        <v>50</v>
      </c>
      <c r="BV9" s="149" t="s">
        <v>50</v>
      </c>
      <c r="BW9" s="14" t="s">
        <v>207</v>
      </c>
      <c r="BX9" s="150">
        <f t="shared" si="19"/>
        <v>906.11628492323177</v>
      </c>
      <c r="BY9" s="150">
        <v>0</v>
      </c>
      <c r="BZ9" s="13">
        <f t="shared" si="10"/>
        <v>906.11628492323177</v>
      </c>
      <c r="CA9" s="15">
        <f t="shared" si="11"/>
        <v>1</v>
      </c>
      <c r="CB9" s="22" t="s">
        <v>55</v>
      </c>
      <c r="CC9" s="7"/>
      <c r="CD9" s="7"/>
    </row>
    <row r="10" spans="1:82" x14ac:dyDescent="0.25">
      <c r="A10" s="123">
        <v>45701</v>
      </c>
      <c r="B10" s="6" t="str">
        <f t="shared" si="0"/>
        <v>Feb</v>
      </c>
      <c r="C10" s="39">
        <f t="shared" si="1"/>
        <v>2025</v>
      </c>
      <c r="D10" s="6">
        <v>7</v>
      </c>
      <c r="E10" s="6">
        <v>248620904</v>
      </c>
      <c r="F10" s="6" t="s">
        <v>69</v>
      </c>
      <c r="G10" s="7" t="s">
        <v>70</v>
      </c>
      <c r="H10" s="7" t="s">
        <v>52</v>
      </c>
      <c r="I10" s="7" t="s">
        <v>71</v>
      </c>
      <c r="J10" s="8">
        <v>54</v>
      </c>
      <c r="K10" s="8">
        <f t="shared" si="12"/>
        <v>54</v>
      </c>
      <c r="L10" s="8">
        <v>54</v>
      </c>
      <c r="M10" s="141" t="s">
        <v>301</v>
      </c>
      <c r="N10" s="142">
        <v>0</v>
      </c>
      <c r="O10" s="142">
        <v>54</v>
      </c>
      <c r="P10" s="142">
        <v>0</v>
      </c>
      <c r="Q10" s="142">
        <v>0</v>
      </c>
      <c r="R10" s="142">
        <v>0</v>
      </c>
      <c r="S10" s="142">
        <v>0</v>
      </c>
      <c r="T10" s="143">
        <v>0</v>
      </c>
      <c r="U10" s="144">
        <f t="shared" si="13"/>
        <v>0</v>
      </c>
      <c r="V10" s="144"/>
      <c r="W10" s="144"/>
      <c r="X10" s="144">
        <f t="shared" si="14"/>
        <v>0</v>
      </c>
      <c r="Y10" s="144">
        <f t="shared" si="15"/>
        <v>54</v>
      </c>
      <c r="Z10" s="167">
        <v>20.02</v>
      </c>
      <c r="AA10" s="167">
        <f t="shared" si="16"/>
        <v>1081.08</v>
      </c>
      <c r="AB10" s="142">
        <f t="shared" si="2"/>
        <v>0</v>
      </c>
      <c r="AC10" s="142"/>
      <c r="AD10" s="142"/>
      <c r="AE10" s="142"/>
      <c r="AF10" s="169">
        <f t="shared" si="20"/>
        <v>0</v>
      </c>
      <c r="AG10" s="142">
        <f t="shared" si="3"/>
        <v>0</v>
      </c>
      <c r="AH10" s="142"/>
      <c r="AI10" s="142"/>
      <c r="AJ10" s="142"/>
      <c r="AK10" s="169">
        <f t="shared" si="17"/>
        <v>0</v>
      </c>
      <c r="AL10" s="142">
        <v>2582.4499999999998</v>
      </c>
      <c r="AM10" s="169">
        <f t="shared" si="4"/>
        <v>0</v>
      </c>
      <c r="AN10" s="142">
        <f t="shared" si="5"/>
        <v>1081.08</v>
      </c>
      <c r="AO10" s="142">
        <v>0</v>
      </c>
      <c r="AP10" s="142"/>
      <c r="AQ10" s="142"/>
      <c r="AR10" s="142">
        <v>54</v>
      </c>
      <c r="AS10" s="142">
        <v>0</v>
      </c>
      <c r="AT10" s="145"/>
      <c r="AU10" s="145"/>
      <c r="AV10" s="145"/>
      <c r="AW10" s="145"/>
      <c r="AX10" s="145"/>
      <c r="AY10" s="145">
        <f>VLOOKUP(E10,Table1[[BL NO.]:[Total Value USD]],21,0)</f>
        <v>1081.08</v>
      </c>
      <c r="AZ10" s="145">
        <f t="shared" si="18"/>
        <v>0</v>
      </c>
      <c r="BA10" s="9" t="s">
        <v>67</v>
      </c>
      <c r="BB10" s="7" t="s">
        <v>200</v>
      </c>
      <c r="BC10" s="7" t="s">
        <v>198</v>
      </c>
      <c r="BD10" s="7" t="s">
        <v>49</v>
      </c>
      <c r="BE10" s="7" t="s">
        <v>87</v>
      </c>
      <c r="BF10" s="9" t="s">
        <v>83</v>
      </c>
      <c r="BG10" s="146">
        <v>20.02</v>
      </c>
      <c r="BH10" s="146">
        <f t="shared" si="6"/>
        <v>1081.08</v>
      </c>
      <c r="BI10" s="147">
        <v>51700.648999999998</v>
      </c>
      <c r="BJ10" s="148">
        <f t="shared" si="7"/>
        <v>2791835.0460000001</v>
      </c>
      <c r="BK10" s="148">
        <v>52451.811829999999</v>
      </c>
      <c r="BL10" s="148">
        <f t="shared" si="8"/>
        <v>2832397.8388199997</v>
      </c>
      <c r="BM10" s="44">
        <f t="shared" si="9"/>
        <v>1081.08</v>
      </c>
      <c r="BN10" s="14">
        <v>2582.4499999999998</v>
      </c>
      <c r="BO10" s="10" t="s">
        <v>39</v>
      </c>
      <c r="BP10" s="10" t="s">
        <v>40</v>
      </c>
      <c r="BQ10" s="10" t="s">
        <v>64</v>
      </c>
      <c r="BR10" s="10" t="s">
        <v>176</v>
      </c>
      <c r="BS10" s="27" t="s">
        <v>54</v>
      </c>
      <c r="BT10" s="10"/>
      <c r="BU10" s="14" t="s">
        <v>41</v>
      </c>
      <c r="BV10" s="149" t="s">
        <v>42</v>
      </c>
      <c r="BW10" s="14" t="s">
        <v>57</v>
      </c>
      <c r="BX10" s="150">
        <f t="shared" si="19"/>
        <v>1081.08</v>
      </c>
      <c r="BY10" s="150">
        <v>1081.08</v>
      </c>
      <c r="BZ10" s="13">
        <f t="shared" si="10"/>
        <v>0</v>
      </c>
      <c r="CA10" s="15">
        <f t="shared" si="11"/>
        <v>0</v>
      </c>
      <c r="CB10" s="14" t="s">
        <v>173</v>
      </c>
      <c r="CC10" s="7"/>
      <c r="CD10" s="7"/>
    </row>
    <row r="11" spans="1:82" x14ac:dyDescent="0.25">
      <c r="A11" s="123">
        <v>45703</v>
      </c>
      <c r="B11" s="6" t="str">
        <f t="shared" si="0"/>
        <v>Feb</v>
      </c>
      <c r="C11" s="39">
        <f t="shared" si="1"/>
        <v>2025</v>
      </c>
      <c r="D11" s="6">
        <v>8</v>
      </c>
      <c r="E11" s="6">
        <v>248619667</v>
      </c>
      <c r="F11" s="6" t="s">
        <v>69</v>
      </c>
      <c r="G11" s="7" t="s">
        <v>70</v>
      </c>
      <c r="H11" s="7" t="s">
        <v>52</v>
      </c>
      <c r="I11" s="7" t="s">
        <v>71</v>
      </c>
      <c r="J11" s="8">
        <v>107</v>
      </c>
      <c r="K11" s="8">
        <f t="shared" si="12"/>
        <v>107</v>
      </c>
      <c r="L11" s="8">
        <v>107</v>
      </c>
      <c r="M11" s="141" t="s">
        <v>301</v>
      </c>
      <c r="N11" s="142">
        <v>0</v>
      </c>
      <c r="O11" s="142">
        <v>107</v>
      </c>
      <c r="P11" s="142">
        <v>0</v>
      </c>
      <c r="Q11" s="142">
        <v>0</v>
      </c>
      <c r="R11" s="142">
        <v>0</v>
      </c>
      <c r="S11" s="142">
        <v>0</v>
      </c>
      <c r="T11" s="143">
        <v>0</v>
      </c>
      <c r="U11" s="144">
        <f t="shared" si="13"/>
        <v>0</v>
      </c>
      <c r="V11" s="144"/>
      <c r="W11" s="144"/>
      <c r="X11" s="144">
        <f t="shared" si="14"/>
        <v>0</v>
      </c>
      <c r="Y11" s="144">
        <f t="shared" si="15"/>
        <v>107</v>
      </c>
      <c r="Z11" s="167">
        <v>20.02</v>
      </c>
      <c r="AA11" s="167">
        <f t="shared" si="16"/>
        <v>2142.14</v>
      </c>
      <c r="AB11" s="142">
        <f t="shared" si="2"/>
        <v>0</v>
      </c>
      <c r="AC11" s="142"/>
      <c r="AD11" s="142"/>
      <c r="AE11" s="142"/>
      <c r="AF11" s="169">
        <f t="shared" si="20"/>
        <v>0</v>
      </c>
      <c r="AG11" s="142">
        <f t="shared" si="3"/>
        <v>0</v>
      </c>
      <c r="AH11" s="142"/>
      <c r="AI11" s="142"/>
      <c r="AJ11" s="142"/>
      <c r="AK11" s="169">
        <f t="shared" si="17"/>
        <v>0</v>
      </c>
      <c r="AL11" s="142">
        <v>2582.4499999999998</v>
      </c>
      <c r="AM11" s="169">
        <f t="shared" si="4"/>
        <v>0</v>
      </c>
      <c r="AN11" s="142">
        <f t="shared" si="5"/>
        <v>2142.14</v>
      </c>
      <c r="AO11" s="142">
        <v>0</v>
      </c>
      <c r="AP11" s="142"/>
      <c r="AQ11" s="142"/>
      <c r="AR11" s="142">
        <v>107</v>
      </c>
      <c r="AS11" s="142">
        <v>0</v>
      </c>
      <c r="AT11" s="145"/>
      <c r="AU11" s="145"/>
      <c r="AV11" s="145"/>
      <c r="AW11" s="145"/>
      <c r="AX11" s="145"/>
      <c r="AY11" s="145">
        <f>VLOOKUP(E11,Table1[[BL NO.]:[Total Value USD]],21,0)</f>
        <v>2142.14</v>
      </c>
      <c r="AZ11" s="145">
        <f t="shared" si="18"/>
        <v>0</v>
      </c>
      <c r="BA11" s="9" t="s">
        <v>67</v>
      </c>
      <c r="BB11" s="7" t="s">
        <v>200</v>
      </c>
      <c r="BC11" s="7" t="s">
        <v>198</v>
      </c>
      <c r="BD11" s="7" t="s">
        <v>49</v>
      </c>
      <c r="BE11" s="7" t="s">
        <v>88</v>
      </c>
      <c r="BF11" s="9" t="s">
        <v>83</v>
      </c>
      <c r="BG11" s="146">
        <v>20.02</v>
      </c>
      <c r="BH11" s="146">
        <f t="shared" si="6"/>
        <v>2142.14</v>
      </c>
      <c r="BI11" s="147">
        <v>51700.648999999998</v>
      </c>
      <c r="BJ11" s="148">
        <f t="shared" si="7"/>
        <v>5531969.443</v>
      </c>
      <c r="BK11" s="148">
        <v>52451.811829999999</v>
      </c>
      <c r="BL11" s="148">
        <f t="shared" si="8"/>
        <v>5612343.8658099994</v>
      </c>
      <c r="BM11" s="44">
        <f t="shared" si="9"/>
        <v>2142.14</v>
      </c>
      <c r="BN11" s="14">
        <v>2582.4499999999998</v>
      </c>
      <c r="BO11" s="10" t="s">
        <v>39</v>
      </c>
      <c r="BP11" s="10" t="s">
        <v>40</v>
      </c>
      <c r="BQ11" s="10" t="s">
        <v>64</v>
      </c>
      <c r="BR11" s="10" t="s">
        <v>176</v>
      </c>
      <c r="BS11" s="27" t="s">
        <v>54</v>
      </c>
      <c r="BT11" s="10"/>
      <c r="BU11" s="14" t="s">
        <v>41</v>
      </c>
      <c r="BV11" s="149" t="s">
        <v>42</v>
      </c>
      <c r="BW11" s="14" t="s">
        <v>57</v>
      </c>
      <c r="BX11" s="150">
        <f t="shared" si="19"/>
        <v>2142.14</v>
      </c>
      <c r="BY11" s="150">
        <v>2142.14</v>
      </c>
      <c r="BZ11" s="13">
        <f t="shared" si="10"/>
        <v>0</v>
      </c>
      <c r="CA11" s="15">
        <f t="shared" si="11"/>
        <v>0</v>
      </c>
      <c r="CB11" s="14" t="s">
        <v>173</v>
      </c>
      <c r="CC11" s="7"/>
      <c r="CD11" s="7"/>
    </row>
    <row r="12" spans="1:82" x14ac:dyDescent="0.25">
      <c r="A12" s="125">
        <v>45713</v>
      </c>
      <c r="B12" s="6" t="str">
        <f t="shared" si="0"/>
        <v>Feb</v>
      </c>
      <c r="C12" s="39">
        <f t="shared" si="1"/>
        <v>2025</v>
      </c>
      <c r="D12" s="6">
        <v>9</v>
      </c>
      <c r="E12" s="6">
        <v>248620255</v>
      </c>
      <c r="F12" s="6" t="s">
        <v>69</v>
      </c>
      <c r="G12" s="7" t="s">
        <v>70</v>
      </c>
      <c r="H12" s="7" t="s">
        <v>52</v>
      </c>
      <c r="I12" s="7" t="s">
        <v>71</v>
      </c>
      <c r="J12" s="8">
        <v>55</v>
      </c>
      <c r="K12" s="8">
        <f t="shared" si="12"/>
        <v>55</v>
      </c>
      <c r="L12" s="8">
        <v>55</v>
      </c>
      <c r="M12" s="141" t="s">
        <v>301</v>
      </c>
      <c r="N12" s="142">
        <v>0</v>
      </c>
      <c r="O12" s="142">
        <v>55</v>
      </c>
      <c r="P12" s="142">
        <v>0</v>
      </c>
      <c r="Q12" s="142">
        <v>0</v>
      </c>
      <c r="R12" s="142">
        <v>0</v>
      </c>
      <c r="S12" s="142">
        <v>0</v>
      </c>
      <c r="T12" s="143">
        <v>0</v>
      </c>
      <c r="U12" s="144">
        <f t="shared" si="13"/>
        <v>0</v>
      </c>
      <c r="V12" s="144"/>
      <c r="W12" s="144"/>
      <c r="X12" s="144">
        <f t="shared" si="14"/>
        <v>0</v>
      </c>
      <c r="Y12" s="144">
        <f t="shared" si="15"/>
        <v>55</v>
      </c>
      <c r="Z12" s="167">
        <v>20.02</v>
      </c>
      <c r="AA12" s="167">
        <f t="shared" si="16"/>
        <v>1101.0999999999999</v>
      </c>
      <c r="AB12" s="142">
        <f t="shared" si="2"/>
        <v>0</v>
      </c>
      <c r="AC12" s="142"/>
      <c r="AD12" s="142"/>
      <c r="AE12" s="142"/>
      <c r="AF12" s="169">
        <f t="shared" si="20"/>
        <v>0</v>
      </c>
      <c r="AG12" s="142">
        <f t="shared" si="3"/>
        <v>0</v>
      </c>
      <c r="AH12" s="142"/>
      <c r="AI12" s="142"/>
      <c r="AJ12" s="142"/>
      <c r="AK12" s="169">
        <f t="shared" si="17"/>
        <v>0</v>
      </c>
      <c r="AL12" s="142">
        <v>2582.4499999999998</v>
      </c>
      <c r="AM12" s="169">
        <f t="shared" si="4"/>
        <v>0</v>
      </c>
      <c r="AN12" s="142">
        <f t="shared" si="5"/>
        <v>1101.0999999999999</v>
      </c>
      <c r="AO12" s="142">
        <v>0</v>
      </c>
      <c r="AP12" s="142"/>
      <c r="AQ12" s="142"/>
      <c r="AR12" s="142">
        <v>55</v>
      </c>
      <c r="AS12" s="142">
        <v>0</v>
      </c>
      <c r="AT12" s="145"/>
      <c r="AU12" s="145"/>
      <c r="AV12" s="145"/>
      <c r="AW12" s="145"/>
      <c r="AX12" s="145"/>
      <c r="AY12" s="145">
        <f>VLOOKUP(E12,Table1[[BL NO.]:[Total Value USD]],21,0)</f>
        <v>1101.0999999999999</v>
      </c>
      <c r="AZ12" s="145">
        <f t="shared" si="18"/>
        <v>0</v>
      </c>
      <c r="BA12" s="9" t="s">
        <v>67</v>
      </c>
      <c r="BB12" s="7" t="s">
        <v>200</v>
      </c>
      <c r="BC12" s="7" t="s">
        <v>198</v>
      </c>
      <c r="BD12" s="7" t="s">
        <v>49</v>
      </c>
      <c r="BE12" s="7" t="s">
        <v>89</v>
      </c>
      <c r="BF12" s="9" t="s">
        <v>83</v>
      </c>
      <c r="BG12" s="146">
        <f ca="1">BH12/L12</f>
        <v>20.02</v>
      </c>
      <c r="BH12" s="146">
        <f t="shared" ca="1" si="6"/>
        <v>0</v>
      </c>
      <c r="BI12" s="147">
        <v>51700.648999999998</v>
      </c>
      <c r="BJ12" s="148">
        <f t="shared" si="7"/>
        <v>2843535.6949999998</v>
      </c>
      <c r="BK12" s="148">
        <v>52451.811829999999</v>
      </c>
      <c r="BL12" s="148">
        <f t="shared" si="8"/>
        <v>2884849.6506499997</v>
      </c>
      <c r="BM12" s="44">
        <f t="shared" si="9"/>
        <v>1101.0999999999999</v>
      </c>
      <c r="BN12" s="14">
        <v>2582.4499999999998</v>
      </c>
      <c r="BO12" s="10" t="s">
        <v>39</v>
      </c>
      <c r="BP12" s="10" t="s">
        <v>40</v>
      </c>
      <c r="BQ12" s="10" t="s">
        <v>64</v>
      </c>
      <c r="BR12" s="10" t="s">
        <v>176</v>
      </c>
      <c r="BS12" s="27" t="s">
        <v>54</v>
      </c>
      <c r="BT12" s="10"/>
      <c r="BU12" s="14" t="s">
        <v>41</v>
      </c>
      <c r="BV12" s="149" t="s">
        <v>42</v>
      </c>
      <c r="BW12" s="14" t="s">
        <v>57</v>
      </c>
      <c r="BX12" s="150">
        <f t="shared" ca="1" si="19"/>
        <v>1101.0999999999999</v>
      </c>
      <c r="BY12" s="150">
        <v>1101.0999999999999</v>
      </c>
      <c r="BZ12" s="13">
        <f t="shared" ca="1" si="10"/>
        <v>0</v>
      </c>
      <c r="CA12" s="15">
        <f t="shared" ca="1" si="11"/>
        <v>0</v>
      </c>
      <c r="CB12" s="14" t="s">
        <v>173</v>
      </c>
      <c r="CC12" s="7"/>
      <c r="CD12" s="7"/>
    </row>
    <row r="13" spans="1:82" x14ac:dyDescent="0.25">
      <c r="A13" s="125">
        <v>45714</v>
      </c>
      <c r="B13" s="6" t="str">
        <f t="shared" si="0"/>
        <v>Feb</v>
      </c>
      <c r="C13" s="39">
        <f t="shared" si="1"/>
        <v>2025</v>
      </c>
      <c r="D13" s="6">
        <v>10</v>
      </c>
      <c r="E13" s="6">
        <v>248621429</v>
      </c>
      <c r="F13" s="6" t="s">
        <v>69</v>
      </c>
      <c r="G13" s="7" t="s">
        <v>70</v>
      </c>
      <c r="H13" s="7" t="s">
        <v>52</v>
      </c>
      <c r="I13" s="7" t="s">
        <v>71</v>
      </c>
      <c r="J13" s="8">
        <v>30</v>
      </c>
      <c r="K13" s="8">
        <f t="shared" si="12"/>
        <v>30</v>
      </c>
      <c r="L13" s="8">
        <v>30</v>
      </c>
      <c r="M13" s="141" t="s">
        <v>301</v>
      </c>
      <c r="N13" s="142">
        <v>0</v>
      </c>
      <c r="O13" s="142">
        <v>30</v>
      </c>
      <c r="P13" s="142">
        <v>0</v>
      </c>
      <c r="Q13" s="142">
        <v>0</v>
      </c>
      <c r="R13" s="142">
        <v>0</v>
      </c>
      <c r="S13" s="142">
        <v>0</v>
      </c>
      <c r="T13" s="143">
        <v>0</v>
      </c>
      <c r="U13" s="144">
        <f t="shared" si="13"/>
        <v>0</v>
      </c>
      <c r="V13" s="144"/>
      <c r="W13" s="144"/>
      <c r="X13" s="144">
        <f t="shared" si="14"/>
        <v>0</v>
      </c>
      <c r="Y13" s="144">
        <f t="shared" si="15"/>
        <v>30</v>
      </c>
      <c r="Z13" s="167">
        <v>20</v>
      </c>
      <c r="AA13" s="167">
        <f t="shared" si="16"/>
        <v>600</v>
      </c>
      <c r="AB13" s="142">
        <f t="shared" si="2"/>
        <v>0</v>
      </c>
      <c r="AC13" s="142"/>
      <c r="AD13" s="142"/>
      <c r="AE13" s="142"/>
      <c r="AF13" s="169">
        <f t="shared" si="20"/>
        <v>0</v>
      </c>
      <c r="AG13" s="142">
        <f t="shared" si="3"/>
        <v>0</v>
      </c>
      <c r="AH13" s="142"/>
      <c r="AI13" s="142"/>
      <c r="AJ13" s="142"/>
      <c r="AK13" s="169">
        <f t="shared" si="17"/>
        <v>0</v>
      </c>
      <c r="AL13" s="142">
        <v>2582.4499999999998</v>
      </c>
      <c r="AM13" s="169">
        <f t="shared" si="4"/>
        <v>0</v>
      </c>
      <c r="AN13" s="142">
        <f t="shared" si="5"/>
        <v>600</v>
      </c>
      <c r="AO13" s="142">
        <v>0</v>
      </c>
      <c r="AP13" s="142"/>
      <c r="AQ13" s="142"/>
      <c r="AR13" s="142">
        <v>30</v>
      </c>
      <c r="AS13" s="142">
        <v>0</v>
      </c>
      <c r="AT13" s="145"/>
      <c r="AU13" s="145"/>
      <c r="AV13" s="145"/>
      <c r="AW13" s="145"/>
      <c r="AX13" s="145"/>
      <c r="AY13" s="145">
        <f>VLOOKUP(E13,Table1[[BL NO.]:[Total Value USD]],21,0)</f>
        <v>600</v>
      </c>
      <c r="AZ13" s="145">
        <f t="shared" si="18"/>
        <v>0</v>
      </c>
      <c r="BA13" s="9" t="s">
        <v>67</v>
      </c>
      <c r="BB13" s="7" t="s">
        <v>200</v>
      </c>
      <c r="BC13" s="7" t="s">
        <v>198</v>
      </c>
      <c r="BD13" s="7" t="s">
        <v>49</v>
      </c>
      <c r="BE13" s="7" t="s">
        <v>90</v>
      </c>
      <c r="BF13" s="9" t="s">
        <v>83</v>
      </c>
      <c r="BG13" s="151">
        <f ca="1">BH13/L13</f>
        <v>20</v>
      </c>
      <c r="BH13" s="146">
        <f t="shared" ca="1" si="6"/>
        <v>0</v>
      </c>
      <c r="BI13" s="147">
        <f ca="1">BG13*BN13</f>
        <v>51649</v>
      </c>
      <c r="BJ13" s="147">
        <f t="shared" ca="1" si="7"/>
        <v>1549470</v>
      </c>
      <c r="BK13" s="147">
        <v>52451.811829999999</v>
      </c>
      <c r="BL13" s="147">
        <f t="shared" si="8"/>
        <v>1573554.3548999999</v>
      </c>
      <c r="BM13" s="44">
        <f t="shared" si="9"/>
        <v>600</v>
      </c>
      <c r="BN13" s="14">
        <v>2582.4499999999998</v>
      </c>
      <c r="BO13" s="10" t="s">
        <v>39</v>
      </c>
      <c r="BP13" s="10" t="s">
        <v>40</v>
      </c>
      <c r="BQ13" s="10" t="s">
        <v>64</v>
      </c>
      <c r="BR13" s="10" t="s">
        <v>176</v>
      </c>
      <c r="BS13" s="27" t="s">
        <v>54</v>
      </c>
      <c r="BT13" s="10"/>
      <c r="BU13" s="14" t="s">
        <v>41</v>
      </c>
      <c r="BV13" s="149" t="s">
        <v>42</v>
      </c>
      <c r="BW13" s="14" t="s">
        <v>57</v>
      </c>
      <c r="BX13" s="150">
        <f t="shared" ca="1" si="19"/>
        <v>600</v>
      </c>
      <c r="BY13" s="150">
        <v>600</v>
      </c>
      <c r="BZ13" s="13">
        <f t="shared" ca="1" si="10"/>
        <v>0</v>
      </c>
      <c r="CA13" s="15">
        <f t="shared" ca="1" si="11"/>
        <v>0</v>
      </c>
      <c r="CB13" s="14" t="s">
        <v>173</v>
      </c>
      <c r="CC13" s="7"/>
      <c r="CD13" s="7"/>
    </row>
    <row r="14" spans="1:82" x14ac:dyDescent="0.25">
      <c r="A14" s="125">
        <v>45722</v>
      </c>
      <c r="B14" s="6" t="str">
        <f t="shared" si="0"/>
        <v>Mar</v>
      </c>
      <c r="C14" s="39">
        <f t="shared" si="1"/>
        <v>2025</v>
      </c>
      <c r="D14" s="6">
        <v>11</v>
      </c>
      <c r="E14" s="6">
        <v>248622146</v>
      </c>
      <c r="F14" s="6" t="s">
        <v>66</v>
      </c>
      <c r="G14" s="7" t="s">
        <v>46</v>
      </c>
      <c r="H14" s="7" t="s">
        <v>52</v>
      </c>
      <c r="I14" s="7" t="s">
        <v>71</v>
      </c>
      <c r="J14" s="8">
        <v>62</v>
      </c>
      <c r="K14" s="8">
        <f t="shared" si="12"/>
        <v>62</v>
      </c>
      <c r="L14" s="8">
        <v>62</v>
      </c>
      <c r="M14" s="152" t="s">
        <v>301</v>
      </c>
      <c r="N14" s="142">
        <v>0</v>
      </c>
      <c r="O14" s="142">
        <v>62</v>
      </c>
      <c r="P14" s="142">
        <v>0</v>
      </c>
      <c r="Q14" s="142">
        <v>0</v>
      </c>
      <c r="R14" s="142">
        <v>0</v>
      </c>
      <c r="S14" s="142">
        <v>0</v>
      </c>
      <c r="T14" s="143">
        <v>0</v>
      </c>
      <c r="U14" s="144">
        <f t="shared" si="13"/>
        <v>0</v>
      </c>
      <c r="V14" s="144"/>
      <c r="W14" s="144"/>
      <c r="X14" s="144">
        <f t="shared" si="14"/>
        <v>0</v>
      </c>
      <c r="Y14" s="144">
        <f t="shared" si="15"/>
        <v>62</v>
      </c>
      <c r="Z14" s="167">
        <v>20.02</v>
      </c>
      <c r="AA14" s="167">
        <f t="shared" si="16"/>
        <v>1241.24</v>
      </c>
      <c r="AB14" s="142">
        <f t="shared" si="2"/>
        <v>0</v>
      </c>
      <c r="AC14" s="142"/>
      <c r="AD14" s="142"/>
      <c r="AE14" s="142"/>
      <c r="AF14" s="169">
        <f t="shared" si="20"/>
        <v>0</v>
      </c>
      <c r="AG14" s="142">
        <f t="shared" si="3"/>
        <v>0</v>
      </c>
      <c r="AH14" s="142"/>
      <c r="AI14" s="142"/>
      <c r="AJ14" s="142"/>
      <c r="AK14" s="169">
        <f t="shared" si="17"/>
        <v>0</v>
      </c>
      <c r="AL14" s="142">
        <v>2557.4899999999998</v>
      </c>
      <c r="AM14" s="169">
        <f t="shared" si="4"/>
        <v>0</v>
      </c>
      <c r="AN14" s="142">
        <f t="shared" si="5"/>
        <v>1241.24</v>
      </c>
      <c r="AO14" s="142">
        <v>0</v>
      </c>
      <c r="AP14" s="142"/>
      <c r="AQ14" s="142"/>
      <c r="AR14" s="142">
        <v>62</v>
      </c>
      <c r="AS14" s="142">
        <v>0</v>
      </c>
      <c r="AT14" s="145"/>
      <c r="AU14" s="145"/>
      <c r="AV14" s="145"/>
      <c r="AW14" s="145"/>
      <c r="AX14" s="145"/>
      <c r="AY14" s="145">
        <f>VLOOKUP(E14,Table1[[BL NO.]:[Total Value USD]],21,0)</f>
        <v>1241.24</v>
      </c>
      <c r="AZ14" s="145">
        <f t="shared" si="18"/>
        <v>0</v>
      </c>
      <c r="BA14" s="9" t="s">
        <v>67</v>
      </c>
      <c r="BB14" s="7" t="s">
        <v>200</v>
      </c>
      <c r="BC14" s="7" t="s">
        <v>198</v>
      </c>
      <c r="BD14" s="7" t="s">
        <v>49</v>
      </c>
      <c r="BE14" s="7" t="s">
        <v>91</v>
      </c>
      <c r="BF14" s="9" t="s">
        <v>83</v>
      </c>
      <c r="BG14" s="146">
        <v>20.02</v>
      </c>
      <c r="BH14" s="146">
        <f t="shared" si="6"/>
        <v>1241.24</v>
      </c>
      <c r="BI14" s="147">
        <f>BG14*BN14</f>
        <v>51200.949799999995</v>
      </c>
      <c r="BJ14" s="148">
        <f t="shared" si="7"/>
        <v>3174458.8875999996</v>
      </c>
      <c r="BK14" s="148">
        <v>50018.234799999998</v>
      </c>
      <c r="BL14" s="148">
        <f t="shared" si="8"/>
        <v>3101130.5575999999</v>
      </c>
      <c r="BM14" s="44">
        <f t="shared" si="9"/>
        <v>1241.24</v>
      </c>
      <c r="BN14" s="14">
        <v>2557.4899999999998</v>
      </c>
      <c r="BO14" s="10" t="s">
        <v>39</v>
      </c>
      <c r="BP14" s="10" t="s">
        <v>40</v>
      </c>
      <c r="BQ14" s="10" t="s">
        <v>64</v>
      </c>
      <c r="BR14" s="10" t="s">
        <v>176</v>
      </c>
      <c r="BS14" s="27" t="s">
        <v>54</v>
      </c>
      <c r="BT14" s="10"/>
      <c r="BU14" s="14" t="s">
        <v>41</v>
      </c>
      <c r="BV14" s="149" t="s">
        <v>42</v>
      </c>
      <c r="BW14" s="14" t="s">
        <v>57</v>
      </c>
      <c r="BX14" s="150">
        <f t="shared" si="19"/>
        <v>1241.24</v>
      </c>
      <c r="BY14" s="150">
        <v>1241.24</v>
      </c>
      <c r="BZ14" s="13">
        <f t="shared" si="10"/>
        <v>0</v>
      </c>
      <c r="CA14" s="15">
        <f t="shared" si="11"/>
        <v>0</v>
      </c>
      <c r="CB14" s="14" t="s">
        <v>173</v>
      </c>
      <c r="CC14" s="7"/>
      <c r="CD14" s="7"/>
    </row>
    <row r="15" spans="1:82" x14ac:dyDescent="0.25">
      <c r="A15" s="123">
        <v>45745</v>
      </c>
      <c r="B15" s="6" t="str">
        <f t="shared" si="0"/>
        <v>Mar</v>
      </c>
      <c r="C15" s="39">
        <f t="shared" si="1"/>
        <v>2025</v>
      </c>
      <c r="D15" s="6">
        <v>12</v>
      </c>
      <c r="E15" s="6">
        <v>248623021</v>
      </c>
      <c r="F15" s="6" t="s">
        <v>66</v>
      </c>
      <c r="G15" s="7" t="s">
        <v>46</v>
      </c>
      <c r="H15" s="7" t="s">
        <v>52</v>
      </c>
      <c r="I15" s="7" t="s">
        <v>71</v>
      </c>
      <c r="J15" s="8">
        <v>54</v>
      </c>
      <c r="K15" s="8">
        <f t="shared" si="12"/>
        <v>54</v>
      </c>
      <c r="L15" s="8">
        <v>54</v>
      </c>
      <c r="M15" s="152" t="s">
        <v>301</v>
      </c>
      <c r="N15" s="142">
        <v>0</v>
      </c>
      <c r="O15" s="142">
        <v>54</v>
      </c>
      <c r="P15" s="142">
        <v>0</v>
      </c>
      <c r="Q15" s="142">
        <v>0</v>
      </c>
      <c r="R15" s="142">
        <v>0</v>
      </c>
      <c r="S15" s="142">
        <v>0</v>
      </c>
      <c r="T15" s="143">
        <v>0</v>
      </c>
      <c r="U15" s="144">
        <f t="shared" si="13"/>
        <v>0</v>
      </c>
      <c r="V15" s="144"/>
      <c r="W15" s="144"/>
      <c r="X15" s="144">
        <f t="shared" si="14"/>
        <v>0</v>
      </c>
      <c r="Y15" s="144">
        <f t="shared" si="15"/>
        <v>54</v>
      </c>
      <c r="Z15" s="167">
        <v>20.98</v>
      </c>
      <c r="AA15" s="167">
        <f t="shared" si="16"/>
        <v>1132.92</v>
      </c>
      <c r="AB15" s="142">
        <f t="shared" si="2"/>
        <v>0</v>
      </c>
      <c r="AC15" s="142"/>
      <c r="AD15" s="142"/>
      <c r="AE15" s="142"/>
      <c r="AF15" s="169">
        <f t="shared" si="20"/>
        <v>0</v>
      </c>
      <c r="AG15" s="142">
        <f t="shared" si="3"/>
        <v>0</v>
      </c>
      <c r="AH15" s="142"/>
      <c r="AI15" s="142"/>
      <c r="AJ15" s="142"/>
      <c r="AK15" s="169">
        <f t="shared" si="17"/>
        <v>0</v>
      </c>
      <c r="AL15" s="142">
        <v>2550</v>
      </c>
      <c r="AM15" s="169">
        <f t="shared" si="4"/>
        <v>0</v>
      </c>
      <c r="AN15" s="142">
        <f t="shared" si="5"/>
        <v>1132.92</v>
      </c>
      <c r="AO15" s="142">
        <v>0</v>
      </c>
      <c r="AP15" s="142"/>
      <c r="AQ15" s="142"/>
      <c r="AR15" s="142">
        <v>54</v>
      </c>
      <c r="AS15" s="142">
        <v>0</v>
      </c>
      <c r="AT15" s="145"/>
      <c r="AU15" s="145"/>
      <c r="AV15" s="145"/>
      <c r="AW15" s="145"/>
      <c r="AX15" s="145"/>
      <c r="AY15" s="145">
        <f>VLOOKUP(E15,Table1[[BL NO.]:[Total Value USD]],21,0)</f>
        <v>1132.92</v>
      </c>
      <c r="AZ15" s="145">
        <f t="shared" si="18"/>
        <v>0</v>
      </c>
      <c r="BA15" s="9" t="s">
        <v>67</v>
      </c>
      <c r="BB15" s="7" t="s">
        <v>200</v>
      </c>
      <c r="BC15" s="7" t="s">
        <v>198</v>
      </c>
      <c r="BD15" s="7" t="s">
        <v>49</v>
      </c>
      <c r="BE15" s="7" t="s">
        <v>92</v>
      </c>
      <c r="BF15" s="9" t="s">
        <v>83</v>
      </c>
      <c r="BG15" s="146">
        <v>20.98</v>
      </c>
      <c r="BH15" s="146">
        <f t="shared" si="6"/>
        <v>1132.92</v>
      </c>
      <c r="BI15" s="147">
        <v>53500</v>
      </c>
      <c r="BJ15" s="148">
        <v>2889000</v>
      </c>
      <c r="BK15" s="148">
        <v>50018.234799999998</v>
      </c>
      <c r="BL15" s="148">
        <v>2700984.6792000001</v>
      </c>
      <c r="BM15" s="44">
        <f t="shared" si="9"/>
        <v>0</v>
      </c>
      <c r="BN15" s="14">
        <v>2550</v>
      </c>
      <c r="BO15" s="10" t="s">
        <v>206</v>
      </c>
      <c r="BP15" s="10" t="s">
        <v>40</v>
      </c>
      <c r="BQ15" s="10" t="s">
        <v>64</v>
      </c>
      <c r="BR15" s="10" t="s">
        <v>176</v>
      </c>
      <c r="BS15" s="27" t="s">
        <v>54</v>
      </c>
      <c r="BT15" s="10"/>
      <c r="BU15" s="14" t="s">
        <v>41</v>
      </c>
      <c r="BV15" s="149" t="s">
        <v>42</v>
      </c>
      <c r="BW15" s="14" t="s">
        <v>270</v>
      </c>
      <c r="BX15" s="150">
        <f t="shared" si="19"/>
        <v>1132.92</v>
      </c>
      <c r="BY15" s="150">
        <v>0</v>
      </c>
      <c r="BZ15" s="13">
        <f t="shared" si="10"/>
        <v>1132.92</v>
      </c>
      <c r="CA15" s="15">
        <f t="shared" si="11"/>
        <v>1</v>
      </c>
      <c r="CB15" s="14" t="s">
        <v>141</v>
      </c>
      <c r="CC15" s="7"/>
      <c r="CD15" s="7"/>
    </row>
    <row r="16" spans="1:82" x14ac:dyDescent="0.25">
      <c r="A16" s="123">
        <v>45770</v>
      </c>
      <c r="B16" s="6" t="str">
        <f t="shared" si="0"/>
        <v>Apr</v>
      </c>
      <c r="C16" s="39">
        <f t="shared" si="1"/>
        <v>2025</v>
      </c>
      <c r="D16" s="6">
        <v>13</v>
      </c>
      <c r="E16" s="6">
        <v>248624161</v>
      </c>
      <c r="F16" s="6" t="s">
        <v>93</v>
      </c>
      <c r="G16" s="7" t="s">
        <v>46</v>
      </c>
      <c r="H16" s="7" t="s">
        <v>52</v>
      </c>
      <c r="I16" s="7" t="s">
        <v>71</v>
      </c>
      <c r="J16" s="8">
        <v>28</v>
      </c>
      <c r="K16" s="8">
        <f t="shared" si="12"/>
        <v>28</v>
      </c>
      <c r="L16" s="8">
        <v>28</v>
      </c>
      <c r="M16" s="152" t="s">
        <v>301</v>
      </c>
      <c r="N16" s="142">
        <v>0</v>
      </c>
      <c r="O16" s="142">
        <v>28</v>
      </c>
      <c r="P16" s="142">
        <v>0</v>
      </c>
      <c r="Q16" s="142">
        <v>0</v>
      </c>
      <c r="R16" s="142">
        <v>0</v>
      </c>
      <c r="S16" s="142">
        <v>0</v>
      </c>
      <c r="T16" s="143">
        <v>0</v>
      </c>
      <c r="U16" s="144">
        <f t="shared" si="13"/>
        <v>0</v>
      </c>
      <c r="V16" s="144"/>
      <c r="W16" s="144"/>
      <c r="X16" s="144">
        <f t="shared" si="14"/>
        <v>0</v>
      </c>
      <c r="Y16" s="144">
        <f t="shared" si="15"/>
        <v>28</v>
      </c>
      <c r="Z16" s="167">
        <v>22.71</v>
      </c>
      <c r="AA16" s="167">
        <f t="shared" si="16"/>
        <v>635.88</v>
      </c>
      <c r="AB16" s="142">
        <f t="shared" si="2"/>
        <v>0</v>
      </c>
      <c r="AC16" s="142"/>
      <c r="AD16" s="142"/>
      <c r="AE16" s="142"/>
      <c r="AF16" s="169">
        <f t="shared" si="20"/>
        <v>0</v>
      </c>
      <c r="AG16" s="142">
        <f t="shared" si="3"/>
        <v>0</v>
      </c>
      <c r="AH16" s="142"/>
      <c r="AI16" s="142"/>
      <c r="AJ16" s="142"/>
      <c r="AK16" s="169">
        <f t="shared" si="17"/>
        <v>0</v>
      </c>
      <c r="AL16" s="142">
        <v>2554.48</v>
      </c>
      <c r="AM16" s="169">
        <f t="shared" si="4"/>
        <v>0</v>
      </c>
      <c r="AN16" s="142">
        <f t="shared" si="5"/>
        <v>635.88</v>
      </c>
      <c r="AO16" s="142">
        <v>0</v>
      </c>
      <c r="AP16" s="142"/>
      <c r="AQ16" s="142"/>
      <c r="AR16" s="142">
        <v>28</v>
      </c>
      <c r="AS16" s="142">
        <v>0</v>
      </c>
      <c r="AT16" s="145"/>
      <c r="AU16" s="145"/>
      <c r="AV16" s="145"/>
      <c r="AW16" s="145"/>
      <c r="AX16" s="145"/>
      <c r="AY16" s="145">
        <f>VLOOKUP(E16,Table1[[BL NO.]:[Total Value USD]],21,0)</f>
        <v>635.88</v>
      </c>
      <c r="AZ16" s="145">
        <f t="shared" si="18"/>
        <v>0</v>
      </c>
      <c r="BA16" s="9" t="s">
        <v>67</v>
      </c>
      <c r="BB16" s="7" t="s">
        <v>200</v>
      </c>
      <c r="BC16" s="7" t="s">
        <v>198</v>
      </c>
      <c r="BD16" s="7" t="s">
        <v>49</v>
      </c>
      <c r="BE16" s="7" t="s">
        <v>94</v>
      </c>
      <c r="BF16" s="9" t="s">
        <v>83</v>
      </c>
      <c r="BG16" s="146">
        <v>22.71</v>
      </c>
      <c r="BH16" s="146">
        <f t="shared" si="6"/>
        <v>635.88</v>
      </c>
      <c r="BI16" s="147">
        <v>58000</v>
      </c>
      <c r="BJ16" s="148">
        <f t="shared" ref="BJ16:BJ47" si="21">BI16*L16</f>
        <v>1624000</v>
      </c>
      <c r="BK16" s="148">
        <v>50018.234799999998</v>
      </c>
      <c r="BL16" s="148">
        <f t="shared" ref="BL16:BL47" si="22">BK16*L16</f>
        <v>1400510.5744</v>
      </c>
      <c r="BM16" s="44">
        <f t="shared" si="9"/>
        <v>0</v>
      </c>
      <c r="BN16" s="14">
        <v>2554.48</v>
      </c>
      <c r="BO16" s="10" t="s">
        <v>206</v>
      </c>
      <c r="BP16" s="10" t="s">
        <v>40</v>
      </c>
      <c r="BQ16" s="10" t="s">
        <v>64</v>
      </c>
      <c r="BR16" s="10" t="s">
        <v>176</v>
      </c>
      <c r="BS16" s="27" t="s">
        <v>54</v>
      </c>
      <c r="BT16" s="10"/>
      <c r="BU16" s="14" t="s">
        <v>41</v>
      </c>
      <c r="BV16" s="149" t="s">
        <v>42</v>
      </c>
      <c r="BW16" s="14" t="s">
        <v>270</v>
      </c>
      <c r="BX16" s="150">
        <f t="shared" si="19"/>
        <v>635.88</v>
      </c>
      <c r="BY16" s="150">
        <v>0</v>
      </c>
      <c r="BZ16" s="13">
        <f t="shared" si="10"/>
        <v>635.88</v>
      </c>
      <c r="CA16" s="15">
        <f t="shared" si="11"/>
        <v>1</v>
      </c>
      <c r="CB16" s="14" t="s">
        <v>141</v>
      </c>
      <c r="CC16" s="7"/>
      <c r="CD16" s="7"/>
    </row>
    <row r="17" spans="1:82" x14ac:dyDescent="0.25">
      <c r="A17" s="123">
        <v>45770</v>
      </c>
      <c r="B17" s="6" t="str">
        <f t="shared" si="0"/>
        <v>Apr</v>
      </c>
      <c r="C17" s="39">
        <f t="shared" si="1"/>
        <v>2025</v>
      </c>
      <c r="D17" s="6">
        <v>14</v>
      </c>
      <c r="E17" s="6">
        <v>248623393</v>
      </c>
      <c r="F17" s="6" t="s">
        <v>93</v>
      </c>
      <c r="G17" s="7" t="s">
        <v>46</v>
      </c>
      <c r="H17" s="7" t="s">
        <v>52</v>
      </c>
      <c r="I17" s="7" t="s">
        <v>71</v>
      </c>
      <c r="J17" s="8">
        <v>23</v>
      </c>
      <c r="K17" s="8">
        <f t="shared" si="12"/>
        <v>23</v>
      </c>
      <c r="L17" s="8">
        <v>23</v>
      </c>
      <c r="M17" s="152" t="s">
        <v>301</v>
      </c>
      <c r="N17" s="142">
        <v>0</v>
      </c>
      <c r="O17" s="142">
        <v>23</v>
      </c>
      <c r="P17" s="142">
        <v>0</v>
      </c>
      <c r="Q17" s="142">
        <v>0</v>
      </c>
      <c r="R17" s="142">
        <v>0</v>
      </c>
      <c r="S17" s="142">
        <v>0</v>
      </c>
      <c r="T17" s="143">
        <v>0</v>
      </c>
      <c r="U17" s="144">
        <f t="shared" si="13"/>
        <v>0</v>
      </c>
      <c r="V17" s="144"/>
      <c r="W17" s="144"/>
      <c r="X17" s="144">
        <f t="shared" si="14"/>
        <v>0</v>
      </c>
      <c r="Y17" s="144">
        <f t="shared" si="15"/>
        <v>23</v>
      </c>
      <c r="Z17" s="167">
        <v>22.71</v>
      </c>
      <c r="AA17" s="167">
        <f t="shared" si="16"/>
        <v>522.33000000000004</v>
      </c>
      <c r="AB17" s="142">
        <f t="shared" si="2"/>
        <v>0</v>
      </c>
      <c r="AC17" s="142"/>
      <c r="AD17" s="142"/>
      <c r="AE17" s="142"/>
      <c r="AF17" s="169">
        <f t="shared" si="20"/>
        <v>0</v>
      </c>
      <c r="AG17" s="142">
        <f t="shared" si="3"/>
        <v>0</v>
      </c>
      <c r="AH17" s="142"/>
      <c r="AI17" s="142"/>
      <c r="AJ17" s="142"/>
      <c r="AK17" s="169">
        <f t="shared" si="17"/>
        <v>0</v>
      </c>
      <c r="AL17" s="142">
        <v>2554.48</v>
      </c>
      <c r="AM17" s="169">
        <f t="shared" si="4"/>
        <v>0</v>
      </c>
      <c r="AN17" s="142">
        <f t="shared" si="5"/>
        <v>522.33000000000004</v>
      </c>
      <c r="AO17" s="142">
        <v>0</v>
      </c>
      <c r="AP17" s="142"/>
      <c r="AQ17" s="142"/>
      <c r="AR17" s="142">
        <v>23</v>
      </c>
      <c r="AS17" s="142">
        <v>0</v>
      </c>
      <c r="AT17" s="145"/>
      <c r="AU17" s="145"/>
      <c r="AV17" s="145"/>
      <c r="AW17" s="145"/>
      <c r="AX17" s="145"/>
      <c r="AY17" s="145">
        <f>VLOOKUP(E17,Table1[[BL NO.]:[Total Value USD]],21,0)</f>
        <v>522.33000000000004</v>
      </c>
      <c r="AZ17" s="145">
        <f t="shared" si="18"/>
        <v>0</v>
      </c>
      <c r="BA17" s="9" t="s">
        <v>67</v>
      </c>
      <c r="BB17" s="7" t="s">
        <v>200</v>
      </c>
      <c r="BC17" s="7" t="s">
        <v>198</v>
      </c>
      <c r="BD17" s="7" t="s">
        <v>49</v>
      </c>
      <c r="BE17" s="7" t="s">
        <v>95</v>
      </c>
      <c r="BF17" s="9" t="s">
        <v>83</v>
      </c>
      <c r="BG17" s="146">
        <v>22.71</v>
      </c>
      <c r="BH17" s="146">
        <f t="shared" si="6"/>
        <v>522.33000000000004</v>
      </c>
      <c r="BI17" s="147">
        <v>58000</v>
      </c>
      <c r="BJ17" s="148">
        <f t="shared" si="21"/>
        <v>1334000</v>
      </c>
      <c r="BK17" s="148">
        <v>50018.234799999998</v>
      </c>
      <c r="BL17" s="148">
        <f t="shared" si="22"/>
        <v>1150419.4003999999</v>
      </c>
      <c r="BM17" s="44">
        <f t="shared" si="9"/>
        <v>0</v>
      </c>
      <c r="BN17" s="14">
        <v>2554.48</v>
      </c>
      <c r="BO17" s="10" t="s">
        <v>206</v>
      </c>
      <c r="BP17" s="10" t="s">
        <v>40</v>
      </c>
      <c r="BQ17" s="10" t="s">
        <v>64</v>
      </c>
      <c r="BR17" s="10" t="s">
        <v>176</v>
      </c>
      <c r="BS17" s="27" t="s">
        <v>54</v>
      </c>
      <c r="BT17" s="10"/>
      <c r="BU17" s="14" t="s">
        <v>41</v>
      </c>
      <c r="BV17" s="149" t="s">
        <v>42</v>
      </c>
      <c r="BW17" s="14" t="s">
        <v>270</v>
      </c>
      <c r="BX17" s="150">
        <f t="shared" si="19"/>
        <v>522.33000000000004</v>
      </c>
      <c r="BY17" s="150">
        <v>0</v>
      </c>
      <c r="BZ17" s="13">
        <f t="shared" si="10"/>
        <v>522.33000000000004</v>
      </c>
      <c r="CA17" s="15">
        <f t="shared" si="11"/>
        <v>1</v>
      </c>
      <c r="CB17" s="14" t="s">
        <v>141</v>
      </c>
      <c r="CC17" s="7"/>
      <c r="CD17" s="7"/>
    </row>
    <row r="18" spans="1:82" x14ac:dyDescent="0.25">
      <c r="A18" s="123">
        <v>45770</v>
      </c>
      <c r="B18" s="6" t="str">
        <f t="shared" si="0"/>
        <v>Apr</v>
      </c>
      <c r="C18" s="39">
        <f t="shared" si="1"/>
        <v>2025</v>
      </c>
      <c r="D18" s="6">
        <v>15</v>
      </c>
      <c r="E18" s="6">
        <v>248623928</v>
      </c>
      <c r="F18" s="6" t="s">
        <v>93</v>
      </c>
      <c r="G18" s="7" t="s">
        <v>46</v>
      </c>
      <c r="H18" s="7" t="s">
        <v>52</v>
      </c>
      <c r="I18" s="7" t="s">
        <v>71</v>
      </c>
      <c r="J18" s="8">
        <v>33</v>
      </c>
      <c r="K18" s="8">
        <f t="shared" si="12"/>
        <v>33</v>
      </c>
      <c r="L18" s="8">
        <v>33</v>
      </c>
      <c r="M18" s="152" t="s">
        <v>325</v>
      </c>
      <c r="N18" s="142">
        <v>0</v>
      </c>
      <c r="O18" s="142">
        <v>33</v>
      </c>
      <c r="P18" s="142">
        <v>0</v>
      </c>
      <c r="Q18" s="142">
        <v>0</v>
      </c>
      <c r="R18" s="142">
        <v>0</v>
      </c>
      <c r="S18" s="142">
        <v>0</v>
      </c>
      <c r="T18" s="143">
        <v>0</v>
      </c>
      <c r="U18" s="144">
        <f t="shared" si="13"/>
        <v>0</v>
      </c>
      <c r="V18" s="144"/>
      <c r="W18" s="144"/>
      <c r="X18" s="144">
        <f t="shared" si="14"/>
        <v>0</v>
      </c>
      <c r="Y18" s="144">
        <f t="shared" si="15"/>
        <v>33</v>
      </c>
      <c r="Z18" s="167">
        <v>22.71</v>
      </c>
      <c r="AA18" s="167">
        <f t="shared" si="16"/>
        <v>749.43000000000006</v>
      </c>
      <c r="AB18" s="142">
        <f t="shared" si="2"/>
        <v>0</v>
      </c>
      <c r="AC18" s="142"/>
      <c r="AD18" s="142"/>
      <c r="AE18" s="142"/>
      <c r="AF18" s="169">
        <f t="shared" si="20"/>
        <v>0</v>
      </c>
      <c r="AG18" s="142">
        <f t="shared" si="3"/>
        <v>0</v>
      </c>
      <c r="AH18" s="142"/>
      <c r="AI18" s="142"/>
      <c r="AJ18" s="142"/>
      <c r="AK18" s="169">
        <f t="shared" si="17"/>
        <v>0</v>
      </c>
      <c r="AL18" s="142">
        <v>2554.48</v>
      </c>
      <c r="AM18" s="169">
        <f t="shared" si="4"/>
        <v>0</v>
      </c>
      <c r="AN18" s="142">
        <f t="shared" si="5"/>
        <v>749.43000000000006</v>
      </c>
      <c r="AO18" s="142">
        <v>0</v>
      </c>
      <c r="AP18" s="142"/>
      <c r="AQ18" s="142"/>
      <c r="AR18" s="142">
        <v>33</v>
      </c>
      <c r="AS18" s="142">
        <v>0</v>
      </c>
      <c r="AT18" s="145"/>
      <c r="AU18" s="145"/>
      <c r="AV18" s="145"/>
      <c r="AW18" s="145"/>
      <c r="AX18" s="145"/>
      <c r="AY18" s="145">
        <f>VLOOKUP(E18,Table1[[BL NO.]:[Total Value USD]],21,0)</f>
        <v>749.43000000000006</v>
      </c>
      <c r="AZ18" s="145">
        <f t="shared" si="18"/>
        <v>0</v>
      </c>
      <c r="BA18" s="9" t="s">
        <v>67</v>
      </c>
      <c r="BB18" s="7" t="s">
        <v>200</v>
      </c>
      <c r="BC18" s="7" t="s">
        <v>198</v>
      </c>
      <c r="BD18" s="7" t="s">
        <v>49</v>
      </c>
      <c r="BE18" s="7" t="s">
        <v>96</v>
      </c>
      <c r="BF18" s="9" t="s">
        <v>83</v>
      </c>
      <c r="BG18" s="146">
        <v>22.71</v>
      </c>
      <c r="BH18" s="146">
        <f t="shared" si="6"/>
        <v>749.43000000000006</v>
      </c>
      <c r="BI18" s="147">
        <v>58000</v>
      </c>
      <c r="BJ18" s="148">
        <f t="shared" si="21"/>
        <v>1914000</v>
      </c>
      <c r="BK18" s="148">
        <v>50018.234799999998</v>
      </c>
      <c r="BL18" s="148">
        <f t="shared" si="22"/>
        <v>1650601.7483999999</v>
      </c>
      <c r="BM18" s="44">
        <f t="shared" si="9"/>
        <v>0</v>
      </c>
      <c r="BN18" s="14">
        <v>2554.48</v>
      </c>
      <c r="BO18" s="10" t="s">
        <v>206</v>
      </c>
      <c r="BP18" s="10" t="s">
        <v>40</v>
      </c>
      <c r="BQ18" s="10" t="s">
        <v>64</v>
      </c>
      <c r="BR18" s="10" t="s">
        <v>176</v>
      </c>
      <c r="BS18" s="27" t="s">
        <v>54</v>
      </c>
      <c r="BT18" s="10"/>
      <c r="BU18" s="14" t="s">
        <v>41</v>
      </c>
      <c r="BV18" s="149" t="s">
        <v>42</v>
      </c>
      <c r="BW18" s="14" t="s">
        <v>270</v>
      </c>
      <c r="BX18" s="150">
        <f t="shared" si="19"/>
        <v>749.43000000000006</v>
      </c>
      <c r="BY18" s="150">
        <v>0</v>
      </c>
      <c r="BZ18" s="13">
        <f t="shared" si="10"/>
        <v>749.43000000000006</v>
      </c>
      <c r="CA18" s="15">
        <f t="shared" si="11"/>
        <v>1</v>
      </c>
      <c r="CB18" s="14" t="s">
        <v>141</v>
      </c>
      <c r="CC18" s="7"/>
      <c r="CD18" s="7"/>
    </row>
    <row r="19" spans="1:82" x14ac:dyDescent="0.25">
      <c r="A19" s="125">
        <v>45860</v>
      </c>
      <c r="B19" s="6" t="str">
        <f t="shared" si="0"/>
        <v>Jul</v>
      </c>
      <c r="C19" s="39">
        <f t="shared" si="1"/>
        <v>2025</v>
      </c>
      <c r="D19" s="6">
        <v>16</v>
      </c>
      <c r="E19" s="117" t="s">
        <v>214</v>
      </c>
      <c r="F19" s="6" t="s">
        <v>69</v>
      </c>
      <c r="G19" s="7" t="s">
        <v>70</v>
      </c>
      <c r="H19" s="7" t="s">
        <v>52</v>
      </c>
      <c r="I19" s="7" t="s">
        <v>71</v>
      </c>
      <c r="J19" s="116">
        <v>52</v>
      </c>
      <c r="K19" s="8">
        <f t="shared" si="12"/>
        <v>6</v>
      </c>
      <c r="L19" s="8">
        <v>52</v>
      </c>
      <c r="M19" s="162" t="s">
        <v>450</v>
      </c>
      <c r="N19" s="142">
        <v>6</v>
      </c>
      <c r="O19" s="142">
        <v>0</v>
      </c>
      <c r="P19" s="142">
        <v>0</v>
      </c>
      <c r="Q19" s="142">
        <v>0</v>
      </c>
      <c r="R19" s="142">
        <v>46</v>
      </c>
      <c r="S19" s="142">
        <v>0</v>
      </c>
      <c r="T19" s="143">
        <v>0</v>
      </c>
      <c r="U19" s="144">
        <f t="shared" si="13"/>
        <v>46</v>
      </c>
      <c r="V19" s="144"/>
      <c r="W19" s="144"/>
      <c r="X19" s="144">
        <f t="shared" si="14"/>
        <v>0</v>
      </c>
      <c r="Y19" s="144">
        <f t="shared" si="15"/>
        <v>6</v>
      </c>
      <c r="Z19" s="167">
        <v>18.54</v>
      </c>
      <c r="AA19" s="167">
        <f>Y19*Z19</f>
        <v>111.24</v>
      </c>
      <c r="AB19" s="142">
        <f t="shared" si="2"/>
        <v>6</v>
      </c>
      <c r="AC19" s="142"/>
      <c r="AD19" s="142"/>
      <c r="AE19" s="142"/>
      <c r="AF19" s="169">
        <f t="shared" si="20"/>
        <v>0</v>
      </c>
      <c r="AG19" s="142">
        <f t="shared" si="3"/>
        <v>0</v>
      </c>
      <c r="AH19" s="142"/>
      <c r="AI19" s="142"/>
      <c r="AJ19" s="142"/>
      <c r="AK19" s="169">
        <f t="shared" si="17"/>
        <v>0</v>
      </c>
      <c r="AL19" s="142">
        <v>2803</v>
      </c>
      <c r="AM19" s="169">
        <f t="shared" si="4"/>
        <v>0</v>
      </c>
      <c r="AN19" s="142">
        <f t="shared" si="5"/>
        <v>111.24</v>
      </c>
      <c r="AO19" s="142">
        <v>0</v>
      </c>
      <c r="AP19" s="142"/>
      <c r="AQ19" s="142"/>
      <c r="AR19" s="142">
        <v>0</v>
      </c>
      <c r="AS19" s="142">
        <v>0</v>
      </c>
      <c r="AT19" s="145"/>
      <c r="AU19" s="145"/>
      <c r="AV19" s="145"/>
      <c r="AW19" s="145"/>
      <c r="AX19" s="145"/>
      <c r="AY19" s="145">
        <f>VLOOKUP(E19,Table1[[BL NO.]:[Total Value USD]],21,0)</f>
        <v>111.24</v>
      </c>
      <c r="AZ19" s="145">
        <f t="shared" si="18"/>
        <v>0</v>
      </c>
      <c r="BA19" s="9" t="s">
        <v>67</v>
      </c>
      <c r="BB19" s="7" t="s">
        <v>200</v>
      </c>
      <c r="BC19" s="7" t="s">
        <v>198</v>
      </c>
      <c r="BD19" s="7" t="s">
        <v>49</v>
      </c>
      <c r="BE19" s="7" t="s">
        <v>296</v>
      </c>
      <c r="BF19" s="9" t="s">
        <v>74</v>
      </c>
      <c r="BG19" s="146">
        <v>18.54</v>
      </c>
      <c r="BH19" s="146">
        <f t="shared" si="6"/>
        <v>111.24</v>
      </c>
      <c r="BI19" s="147">
        <f>BG19*BN19</f>
        <v>51967.619999999995</v>
      </c>
      <c r="BJ19" s="148">
        <f t="shared" si="21"/>
        <v>2702316.2399999998</v>
      </c>
      <c r="BK19" s="148">
        <v>41075.795080000004</v>
      </c>
      <c r="BL19" s="148">
        <f t="shared" si="22"/>
        <v>2135941.3441600003</v>
      </c>
      <c r="BM19" s="44">
        <f t="shared" si="9"/>
        <v>0</v>
      </c>
      <c r="BN19" s="14">
        <v>2803</v>
      </c>
      <c r="BO19" s="10" t="s">
        <v>206</v>
      </c>
      <c r="BP19" s="25" t="s">
        <v>45</v>
      </c>
      <c r="BQ19" s="10" t="s">
        <v>100</v>
      </c>
      <c r="BR19" s="10" t="s">
        <v>176</v>
      </c>
      <c r="BS19" s="27" t="s">
        <v>54</v>
      </c>
      <c r="BT19" s="10"/>
      <c r="BU19" s="14" t="s">
        <v>65</v>
      </c>
      <c r="BV19" s="149" t="s">
        <v>42</v>
      </c>
      <c r="BW19" s="14" t="s">
        <v>61</v>
      </c>
      <c r="BX19" s="150">
        <f t="shared" si="19"/>
        <v>111.24</v>
      </c>
      <c r="BY19" s="150">
        <v>0</v>
      </c>
      <c r="BZ19" s="13">
        <f t="shared" si="10"/>
        <v>111.24</v>
      </c>
      <c r="CA19" s="15">
        <f t="shared" si="11"/>
        <v>1</v>
      </c>
      <c r="CB19" s="14" t="s">
        <v>62</v>
      </c>
      <c r="CC19" s="7" t="s">
        <v>451</v>
      </c>
      <c r="CD19" s="7"/>
    </row>
    <row r="20" spans="1:82" x14ac:dyDescent="0.25">
      <c r="A20" s="125">
        <v>45860</v>
      </c>
      <c r="B20" s="6" t="str">
        <f t="shared" si="0"/>
        <v>Jul</v>
      </c>
      <c r="C20" s="39">
        <f t="shared" si="1"/>
        <v>2025</v>
      </c>
      <c r="D20" s="6">
        <v>17</v>
      </c>
      <c r="E20" s="117" t="s">
        <v>215</v>
      </c>
      <c r="F20" s="6" t="s">
        <v>69</v>
      </c>
      <c r="G20" s="7" t="s">
        <v>70</v>
      </c>
      <c r="H20" s="7" t="s">
        <v>52</v>
      </c>
      <c r="I20" s="7" t="s">
        <v>71</v>
      </c>
      <c r="J20" s="116">
        <v>54</v>
      </c>
      <c r="K20" s="8">
        <f t="shared" si="12"/>
        <v>3</v>
      </c>
      <c r="L20" s="8">
        <v>54</v>
      </c>
      <c r="M20" s="162" t="s">
        <v>452</v>
      </c>
      <c r="N20" s="142">
        <v>3</v>
      </c>
      <c r="O20" s="142">
        <v>0</v>
      </c>
      <c r="P20" s="142">
        <v>0</v>
      </c>
      <c r="Q20" s="142">
        <v>0</v>
      </c>
      <c r="R20" s="142">
        <v>51</v>
      </c>
      <c r="S20" s="142">
        <v>0</v>
      </c>
      <c r="T20" s="143">
        <v>0</v>
      </c>
      <c r="U20" s="144">
        <f t="shared" si="13"/>
        <v>51</v>
      </c>
      <c r="V20" s="144"/>
      <c r="W20" s="144"/>
      <c r="X20" s="144">
        <f t="shared" si="14"/>
        <v>0</v>
      </c>
      <c r="Y20" s="144">
        <f t="shared" si="15"/>
        <v>3</v>
      </c>
      <c r="Z20" s="167">
        <v>18.54</v>
      </c>
      <c r="AA20" s="167">
        <f t="shared" si="16"/>
        <v>55.62</v>
      </c>
      <c r="AB20" s="142">
        <f t="shared" si="2"/>
        <v>3</v>
      </c>
      <c r="AC20" s="142"/>
      <c r="AD20" s="142"/>
      <c r="AE20" s="142"/>
      <c r="AF20" s="169">
        <f t="shared" si="20"/>
        <v>0</v>
      </c>
      <c r="AG20" s="142">
        <f t="shared" si="3"/>
        <v>0</v>
      </c>
      <c r="AH20" s="142"/>
      <c r="AI20" s="142"/>
      <c r="AJ20" s="142"/>
      <c r="AK20" s="169">
        <f t="shared" si="17"/>
        <v>0</v>
      </c>
      <c r="AL20" s="142">
        <v>2803</v>
      </c>
      <c r="AM20" s="169">
        <f t="shared" si="4"/>
        <v>0</v>
      </c>
      <c r="AN20" s="142">
        <f t="shared" si="5"/>
        <v>55.62</v>
      </c>
      <c r="AO20" s="142">
        <v>0</v>
      </c>
      <c r="AP20" s="142"/>
      <c r="AQ20" s="142"/>
      <c r="AR20" s="142">
        <v>0</v>
      </c>
      <c r="AS20" s="142">
        <v>0</v>
      </c>
      <c r="AT20" s="145"/>
      <c r="AU20" s="145"/>
      <c r="AV20" s="145"/>
      <c r="AW20" s="145"/>
      <c r="AX20" s="145"/>
      <c r="AY20" s="145">
        <f>VLOOKUP(E20,Table1[[BL NO.]:[Total Value USD]],21,0)</f>
        <v>55.62</v>
      </c>
      <c r="AZ20" s="145">
        <f t="shared" si="18"/>
        <v>0</v>
      </c>
      <c r="BA20" s="9" t="s">
        <v>67</v>
      </c>
      <c r="BB20" s="7" t="s">
        <v>200</v>
      </c>
      <c r="BC20" s="7" t="s">
        <v>198</v>
      </c>
      <c r="BD20" s="7" t="s">
        <v>49</v>
      </c>
      <c r="BE20" s="7" t="s">
        <v>293</v>
      </c>
      <c r="BF20" s="9" t="s">
        <v>74</v>
      </c>
      <c r="BG20" s="146">
        <v>18.54</v>
      </c>
      <c r="BH20" s="146">
        <f t="shared" si="6"/>
        <v>55.62</v>
      </c>
      <c r="BI20" s="147">
        <v>51967.619999999995</v>
      </c>
      <c r="BJ20" s="148">
        <f t="shared" si="21"/>
        <v>2806251.4799999995</v>
      </c>
      <c r="BK20" s="148">
        <v>41075.795080000004</v>
      </c>
      <c r="BL20" s="148">
        <f t="shared" si="22"/>
        <v>2218092.93432</v>
      </c>
      <c r="BM20" s="44">
        <f t="shared" si="9"/>
        <v>0</v>
      </c>
      <c r="BN20" s="14">
        <v>2803</v>
      </c>
      <c r="BO20" s="10" t="s">
        <v>206</v>
      </c>
      <c r="BP20" s="25" t="s">
        <v>45</v>
      </c>
      <c r="BQ20" s="10" t="s">
        <v>100</v>
      </c>
      <c r="BR20" s="10" t="s">
        <v>176</v>
      </c>
      <c r="BS20" s="27" t="s">
        <v>54</v>
      </c>
      <c r="BT20" s="10"/>
      <c r="BU20" s="14" t="s">
        <v>65</v>
      </c>
      <c r="BV20" s="149" t="s">
        <v>42</v>
      </c>
      <c r="BW20" s="14" t="s">
        <v>61</v>
      </c>
      <c r="BX20" s="150">
        <f t="shared" si="19"/>
        <v>55.62</v>
      </c>
      <c r="BY20" s="150">
        <v>0</v>
      </c>
      <c r="BZ20" s="13">
        <f t="shared" si="10"/>
        <v>55.62</v>
      </c>
      <c r="CA20" s="15">
        <f t="shared" si="11"/>
        <v>1</v>
      </c>
      <c r="CB20" s="14" t="s">
        <v>62</v>
      </c>
      <c r="CC20" s="7" t="s">
        <v>453</v>
      </c>
      <c r="CD20" s="7"/>
    </row>
    <row r="21" spans="1:82" x14ac:dyDescent="0.25">
      <c r="A21" s="125">
        <v>45860</v>
      </c>
      <c r="B21" s="6" t="str">
        <f t="shared" si="0"/>
        <v>Jul</v>
      </c>
      <c r="C21" s="39">
        <f t="shared" si="1"/>
        <v>2025</v>
      </c>
      <c r="D21" s="6">
        <v>18</v>
      </c>
      <c r="E21" s="117" t="s">
        <v>216</v>
      </c>
      <c r="F21" s="6" t="s">
        <v>69</v>
      </c>
      <c r="G21" s="7" t="s">
        <v>70</v>
      </c>
      <c r="H21" s="7" t="s">
        <v>52</v>
      </c>
      <c r="I21" s="7" t="s">
        <v>71</v>
      </c>
      <c r="J21" s="116">
        <v>67</v>
      </c>
      <c r="K21" s="8">
        <f t="shared" si="12"/>
        <v>5</v>
      </c>
      <c r="L21" s="8">
        <v>67</v>
      </c>
      <c r="M21" s="162" t="s">
        <v>314</v>
      </c>
      <c r="N21" s="142">
        <v>5</v>
      </c>
      <c r="O21" s="142">
        <v>0</v>
      </c>
      <c r="P21" s="142">
        <v>0</v>
      </c>
      <c r="Q21" s="142">
        <v>0</v>
      </c>
      <c r="R21" s="142">
        <v>52</v>
      </c>
      <c r="S21" s="142">
        <v>0</v>
      </c>
      <c r="T21" s="143">
        <v>0</v>
      </c>
      <c r="U21" s="144">
        <f t="shared" si="13"/>
        <v>52</v>
      </c>
      <c r="V21" s="144"/>
      <c r="W21" s="144"/>
      <c r="X21" s="144">
        <f t="shared" si="14"/>
        <v>0</v>
      </c>
      <c r="Y21" s="144">
        <f t="shared" si="15"/>
        <v>5</v>
      </c>
      <c r="Z21" s="167">
        <v>18.54</v>
      </c>
      <c r="AA21" s="167">
        <f t="shared" si="16"/>
        <v>92.699999999999989</v>
      </c>
      <c r="AB21" s="142">
        <f t="shared" si="2"/>
        <v>5</v>
      </c>
      <c r="AC21" s="142"/>
      <c r="AD21" s="142"/>
      <c r="AE21" s="142"/>
      <c r="AF21" s="169">
        <f t="shared" si="20"/>
        <v>0</v>
      </c>
      <c r="AG21" s="142">
        <f t="shared" si="3"/>
        <v>0</v>
      </c>
      <c r="AH21" s="142"/>
      <c r="AI21" s="142"/>
      <c r="AJ21" s="142"/>
      <c r="AK21" s="169">
        <f t="shared" si="17"/>
        <v>0</v>
      </c>
      <c r="AL21" s="142">
        <v>2803</v>
      </c>
      <c r="AM21" s="169">
        <f t="shared" si="4"/>
        <v>0</v>
      </c>
      <c r="AN21" s="142">
        <f t="shared" si="5"/>
        <v>92.699999999999989</v>
      </c>
      <c r="AO21" s="142">
        <v>0</v>
      </c>
      <c r="AP21" s="142"/>
      <c r="AQ21" s="142"/>
      <c r="AR21" s="142">
        <v>0</v>
      </c>
      <c r="AS21" s="142">
        <v>0</v>
      </c>
      <c r="AT21" s="145"/>
      <c r="AU21" s="145"/>
      <c r="AV21" s="145"/>
      <c r="AW21" s="145"/>
      <c r="AX21" s="145"/>
      <c r="AY21" s="145">
        <f>VLOOKUP(E21,Table1[[BL NO.]:[Total Value USD]],21,0)</f>
        <v>92.699999999999989</v>
      </c>
      <c r="AZ21" s="145">
        <f t="shared" si="18"/>
        <v>0</v>
      </c>
      <c r="BA21" s="9" t="s">
        <v>67</v>
      </c>
      <c r="BB21" s="7" t="s">
        <v>200</v>
      </c>
      <c r="BC21" s="7" t="s">
        <v>198</v>
      </c>
      <c r="BD21" s="7" t="s">
        <v>49</v>
      </c>
      <c r="BE21" s="7" t="s">
        <v>326</v>
      </c>
      <c r="BF21" s="9" t="s">
        <v>102</v>
      </c>
      <c r="BG21" s="146">
        <v>18.54</v>
      </c>
      <c r="BH21" s="146">
        <f t="shared" si="6"/>
        <v>92.699999999999989</v>
      </c>
      <c r="BI21" s="147">
        <v>51967.619999999995</v>
      </c>
      <c r="BJ21" s="148">
        <f t="shared" si="21"/>
        <v>3481830.5399999996</v>
      </c>
      <c r="BK21" s="148">
        <v>41075.795080000004</v>
      </c>
      <c r="BL21" s="148">
        <f t="shared" si="22"/>
        <v>2752078.2703600004</v>
      </c>
      <c r="BM21" s="44">
        <f t="shared" si="9"/>
        <v>0</v>
      </c>
      <c r="BN21" s="14">
        <v>2803</v>
      </c>
      <c r="BO21" s="10" t="s">
        <v>206</v>
      </c>
      <c r="BP21" s="25" t="s">
        <v>45</v>
      </c>
      <c r="BQ21" s="10" t="s">
        <v>100</v>
      </c>
      <c r="BR21" s="10" t="s">
        <v>176</v>
      </c>
      <c r="BS21" s="27" t="s">
        <v>54</v>
      </c>
      <c r="BT21" s="10"/>
      <c r="BU21" s="14" t="s">
        <v>65</v>
      </c>
      <c r="BV21" s="149" t="s">
        <v>42</v>
      </c>
      <c r="BW21" s="14" t="s">
        <v>61</v>
      </c>
      <c r="BX21" s="150">
        <f t="shared" si="19"/>
        <v>92.699999999999989</v>
      </c>
      <c r="BY21" s="150">
        <v>0</v>
      </c>
      <c r="BZ21" s="13">
        <f t="shared" si="10"/>
        <v>92.699999999999989</v>
      </c>
      <c r="CA21" s="15">
        <f t="shared" si="11"/>
        <v>1</v>
      </c>
      <c r="CB21" s="14" t="s">
        <v>62</v>
      </c>
      <c r="CC21" s="7" t="s">
        <v>469</v>
      </c>
      <c r="CD21" s="7"/>
    </row>
    <row r="22" spans="1:82" x14ac:dyDescent="0.25">
      <c r="A22" s="125">
        <v>45875</v>
      </c>
      <c r="B22" s="6" t="str">
        <f t="shared" si="0"/>
        <v>Aug</v>
      </c>
      <c r="C22" s="39">
        <f t="shared" si="1"/>
        <v>2025</v>
      </c>
      <c r="D22" s="6">
        <v>19</v>
      </c>
      <c r="E22" s="6" t="s">
        <v>217</v>
      </c>
      <c r="F22" s="6" t="s">
        <v>69</v>
      </c>
      <c r="G22" s="7" t="s">
        <v>70</v>
      </c>
      <c r="H22" s="7" t="s">
        <v>52</v>
      </c>
      <c r="I22" s="7" t="s">
        <v>71</v>
      </c>
      <c r="J22" s="8">
        <v>50</v>
      </c>
      <c r="K22" s="8">
        <f t="shared" si="12"/>
        <v>23</v>
      </c>
      <c r="L22" s="8">
        <f>50-23</f>
        <v>27</v>
      </c>
      <c r="M22" s="152" t="s">
        <v>332</v>
      </c>
      <c r="N22" s="142">
        <v>0</v>
      </c>
      <c r="O22" s="142">
        <v>0</v>
      </c>
      <c r="P22" s="142">
        <v>0</v>
      </c>
      <c r="Q22" s="142">
        <v>0</v>
      </c>
      <c r="R22" s="142">
        <v>50</v>
      </c>
      <c r="S22" s="142">
        <v>23</v>
      </c>
      <c r="T22" s="143">
        <v>0</v>
      </c>
      <c r="U22" s="144">
        <f>R22-S22-T22</f>
        <v>27</v>
      </c>
      <c r="V22" s="144"/>
      <c r="W22" s="144"/>
      <c r="X22" s="144">
        <f t="shared" si="14"/>
        <v>0</v>
      </c>
      <c r="Y22" s="144">
        <f t="shared" si="15"/>
        <v>23</v>
      </c>
      <c r="Z22" s="167">
        <v>18.54</v>
      </c>
      <c r="AA22" s="167">
        <f t="shared" si="16"/>
        <v>426.41999999999996</v>
      </c>
      <c r="AB22" s="142">
        <f t="shared" si="2"/>
        <v>0</v>
      </c>
      <c r="AC22" s="142"/>
      <c r="AD22" s="142"/>
      <c r="AE22" s="142"/>
      <c r="AF22" s="169">
        <f t="shared" si="20"/>
        <v>0</v>
      </c>
      <c r="AG22" s="142">
        <f t="shared" si="3"/>
        <v>0</v>
      </c>
      <c r="AH22" s="142"/>
      <c r="AI22" s="142"/>
      <c r="AJ22" s="142"/>
      <c r="AK22" s="169">
        <f t="shared" si="17"/>
        <v>0</v>
      </c>
      <c r="AL22" s="142">
        <v>2803</v>
      </c>
      <c r="AM22" s="169">
        <f t="shared" si="4"/>
        <v>0</v>
      </c>
      <c r="AN22" s="142">
        <f t="shared" si="5"/>
        <v>426.41999999999996</v>
      </c>
      <c r="AO22" s="142">
        <v>0</v>
      </c>
      <c r="AP22" s="142"/>
      <c r="AQ22" s="142"/>
      <c r="AR22" s="142">
        <v>0</v>
      </c>
      <c r="AS22" s="142">
        <v>0</v>
      </c>
      <c r="AT22" s="145"/>
      <c r="AU22" s="145"/>
      <c r="AV22" s="145"/>
      <c r="AW22" s="145"/>
      <c r="AX22" s="145"/>
      <c r="AY22" s="145">
        <f>VLOOKUP(E22,Table1[[BL NO.]:[Total Value USD]],21,0)</f>
        <v>426.41999999999996</v>
      </c>
      <c r="AZ22" s="145">
        <f t="shared" si="18"/>
        <v>0</v>
      </c>
      <c r="BA22" s="9" t="s">
        <v>67</v>
      </c>
      <c r="BB22" s="7" t="s">
        <v>200</v>
      </c>
      <c r="BC22" s="7" t="s">
        <v>198</v>
      </c>
      <c r="BD22" s="7" t="s">
        <v>49</v>
      </c>
      <c r="BE22" s="7" t="s">
        <v>103</v>
      </c>
      <c r="BF22" s="9" t="s">
        <v>74</v>
      </c>
      <c r="BG22" s="146">
        <v>18.54</v>
      </c>
      <c r="BH22" s="146">
        <f t="shared" si="6"/>
        <v>426.41999999999996</v>
      </c>
      <c r="BI22" s="147">
        <v>51967.619999999995</v>
      </c>
      <c r="BJ22" s="148">
        <f t="shared" si="21"/>
        <v>1403125.7399999998</v>
      </c>
      <c r="BK22" s="148">
        <v>53401.105539999997</v>
      </c>
      <c r="BL22" s="148">
        <f t="shared" si="22"/>
        <v>1441829.8495799999</v>
      </c>
      <c r="BM22" s="44">
        <f t="shared" si="9"/>
        <v>0</v>
      </c>
      <c r="BN22" s="14">
        <v>2803</v>
      </c>
      <c r="BO22" s="10" t="s">
        <v>206</v>
      </c>
      <c r="BP22" s="25" t="s">
        <v>45</v>
      </c>
      <c r="BQ22" s="10" t="s">
        <v>100</v>
      </c>
      <c r="BR22" s="10" t="s">
        <v>176</v>
      </c>
      <c r="BS22" s="27" t="s">
        <v>54</v>
      </c>
      <c r="BT22" s="10"/>
      <c r="BU22" s="14" t="s">
        <v>65</v>
      </c>
      <c r="BV22" s="149" t="s">
        <v>42</v>
      </c>
      <c r="BW22" s="14" t="s">
        <v>61</v>
      </c>
      <c r="BX22" s="150">
        <f t="shared" si="19"/>
        <v>426.41999999999996</v>
      </c>
      <c r="BY22" s="150">
        <v>0</v>
      </c>
      <c r="BZ22" s="13">
        <f t="shared" si="10"/>
        <v>426.41999999999996</v>
      </c>
      <c r="CA22" s="15">
        <f t="shared" si="11"/>
        <v>1</v>
      </c>
      <c r="CB22" s="14" t="s">
        <v>62</v>
      </c>
      <c r="CC22" s="7"/>
      <c r="CD22" s="7"/>
    </row>
    <row r="23" spans="1:82" x14ac:dyDescent="0.25">
      <c r="A23" s="125">
        <v>45875</v>
      </c>
      <c r="B23" s="6" t="str">
        <f t="shared" si="0"/>
        <v>Aug</v>
      </c>
      <c r="C23" s="39">
        <f t="shared" si="1"/>
        <v>2025</v>
      </c>
      <c r="D23" s="6">
        <v>20</v>
      </c>
      <c r="E23" s="6" t="s">
        <v>218</v>
      </c>
      <c r="F23" s="6" t="s">
        <v>69</v>
      </c>
      <c r="G23" s="7" t="s">
        <v>70</v>
      </c>
      <c r="H23" s="7" t="s">
        <v>52</v>
      </c>
      <c r="I23" s="7" t="s">
        <v>71</v>
      </c>
      <c r="J23" s="8">
        <v>46</v>
      </c>
      <c r="K23" s="8">
        <f t="shared" si="12"/>
        <v>23</v>
      </c>
      <c r="L23" s="8">
        <f>46-23</f>
        <v>23</v>
      </c>
      <c r="M23" s="152" t="s">
        <v>332</v>
      </c>
      <c r="N23" s="142">
        <v>0</v>
      </c>
      <c r="O23" s="142">
        <v>0</v>
      </c>
      <c r="P23" s="142">
        <v>0</v>
      </c>
      <c r="Q23" s="142">
        <v>0</v>
      </c>
      <c r="R23" s="142">
        <v>46</v>
      </c>
      <c r="S23" s="142">
        <v>23</v>
      </c>
      <c r="T23" s="143">
        <v>0</v>
      </c>
      <c r="U23" s="144">
        <f t="shared" ref="U23:U72" si="23">R23-S23-T23</f>
        <v>23</v>
      </c>
      <c r="V23" s="144"/>
      <c r="W23" s="144"/>
      <c r="X23" s="144">
        <f t="shared" si="14"/>
        <v>0</v>
      </c>
      <c r="Y23" s="144">
        <f t="shared" si="15"/>
        <v>23</v>
      </c>
      <c r="Z23" s="167">
        <v>18.54</v>
      </c>
      <c r="AA23" s="167">
        <f t="shared" si="16"/>
        <v>426.41999999999996</v>
      </c>
      <c r="AB23" s="142">
        <f t="shared" si="2"/>
        <v>0</v>
      </c>
      <c r="AC23" s="142"/>
      <c r="AD23" s="142"/>
      <c r="AE23" s="142"/>
      <c r="AF23" s="169">
        <f t="shared" si="20"/>
        <v>0</v>
      </c>
      <c r="AG23" s="142">
        <f t="shared" si="3"/>
        <v>0</v>
      </c>
      <c r="AH23" s="142"/>
      <c r="AI23" s="142"/>
      <c r="AJ23" s="142"/>
      <c r="AK23" s="169">
        <f t="shared" si="17"/>
        <v>0</v>
      </c>
      <c r="AL23" s="142">
        <v>2803</v>
      </c>
      <c r="AM23" s="169">
        <f t="shared" si="4"/>
        <v>0</v>
      </c>
      <c r="AN23" s="142">
        <f t="shared" si="5"/>
        <v>426.41999999999996</v>
      </c>
      <c r="AO23" s="142">
        <v>0</v>
      </c>
      <c r="AP23" s="142"/>
      <c r="AQ23" s="142"/>
      <c r="AR23" s="142">
        <v>0</v>
      </c>
      <c r="AS23" s="142">
        <v>0</v>
      </c>
      <c r="AT23" s="145"/>
      <c r="AU23" s="145"/>
      <c r="AV23" s="145"/>
      <c r="AW23" s="145"/>
      <c r="AX23" s="145"/>
      <c r="AY23" s="145">
        <f>VLOOKUP(E23,Table1[[BL NO.]:[Total Value USD]],21,0)</f>
        <v>426.41999999999996</v>
      </c>
      <c r="AZ23" s="145">
        <f t="shared" si="18"/>
        <v>0</v>
      </c>
      <c r="BA23" s="9" t="s">
        <v>67</v>
      </c>
      <c r="BB23" s="7" t="s">
        <v>200</v>
      </c>
      <c r="BC23" s="7" t="s">
        <v>198</v>
      </c>
      <c r="BD23" s="7" t="s">
        <v>49</v>
      </c>
      <c r="BE23" s="7" t="s">
        <v>104</v>
      </c>
      <c r="BF23" s="9" t="s">
        <v>74</v>
      </c>
      <c r="BG23" s="146">
        <v>18.54</v>
      </c>
      <c r="BH23" s="146">
        <f t="shared" si="6"/>
        <v>426.41999999999996</v>
      </c>
      <c r="BI23" s="147">
        <v>51967.619999999995</v>
      </c>
      <c r="BJ23" s="148">
        <f t="shared" si="21"/>
        <v>1195255.2599999998</v>
      </c>
      <c r="BK23" s="148">
        <v>53401.105539999997</v>
      </c>
      <c r="BL23" s="148">
        <f t="shared" si="22"/>
        <v>1228225.4274199998</v>
      </c>
      <c r="BM23" s="44">
        <f t="shared" si="9"/>
        <v>0</v>
      </c>
      <c r="BN23" s="14">
        <v>2803</v>
      </c>
      <c r="BO23" s="10" t="s">
        <v>206</v>
      </c>
      <c r="BP23" s="25" t="s">
        <v>45</v>
      </c>
      <c r="BQ23" s="10" t="s">
        <v>100</v>
      </c>
      <c r="BR23" s="10" t="s">
        <v>176</v>
      </c>
      <c r="BS23" s="27" t="s">
        <v>54</v>
      </c>
      <c r="BT23" s="10"/>
      <c r="BU23" s="14" t="s">
        <v>65</v>
      </c>
      <c r="BV23" s="149" t="s">
        <v>42</v>
      </c>
      <c r="BW23" s="14" t="s">
        <v>61</v>
      </c>
      <c r="BX23" s="150">
        <f t="shared" si="19"/>
        <v>426.41999999999996</v>
      </c>
      <c r="BY23" s="150">
        <v>0</v>
      </c>
      <c r="BZ23" s="13">
        <f t="shared" si="10"/>
        <v>426.41999999999996</v>
      </c>
      <c r="CA23" s="15">
        <f t="shared" si="11"/>
        <v>1</v>
      </c>
      <c r="CB23" s="14" t="s">
        <v>62</v>
      </c>
      <c r="CC23" s="7"/>
      <c r="CD23" s="7"/>
    </row>
    <row r="24" spans="1:82" x14ac:dyDescent="0.25">
      <c r="A24" s="123">
        <v>45916</v>
      </c>
      <c r="B24" s="6" t="str">
        <f t="shared" si="0"/>
        <v>Sep</v>
      </c>
      <c r="C24" s="39">
        <f t="shared" si="1"/>
        <v>2025</v>
      </c>
      <c r="D24" s="6">
        <v>21</v>
      </c>
      <c r="E24" s="6" t="s">
        <v>219</v>
      </c>
      <c r="F24" s="6" t="s">
        <v>69</v>
      </c>
      <c r="G24" s="7" t="s">
        <v>70</v>
      </c>
      <c r="H24" s="7" t="s">
        <v>52</v>
      </c>
      <c r="I24" s="7" t="s">
        <v>71</v>
      </c>
      <c r="J24" s="8">
        <v>87</v>
      </c>
      <c r="K24" s="8">
        <f t="shared" si="12"/>
        <v>27</v>
      </c>
      <c r="L24" s="8">
        <f>87-20</f>
        <v>67</v>
      </c>
      <c r="M24" s="152" t="s">
        <v>333</v>
      </c>
      <c r="N24" s="142">
        <v>7</v>
      </c>
      <c r="O24" s="142">
        <v>0</v>
      </c>
      <c r="P24" s="142">
        <v>0</v>
      </c>
      <c r="Q24" s="142">
        <v>0</v>
      </c>
      <c r="R24" s="142">
        <v>80</v>
      </c>
      <c r="S24" s="142">
        <v>20</v>
      </c>
      <c r="T24" s="143">
        <v>0</v>
      </c>
      <c r="U24" s="144">
        <f t="shared" si="23"/>
        <v>60</v>
      </c>
      <c r="V24" s="144"/>
      <c r="W24" s="144"/>
      <c r="X24" s="144">
        <f t="shared" si="14"/>
        <v>0</v>
      </c>
      <c r="Y24" s="144">
        <f t="shared" si="15"/>
        <v>27</v>
      </c>
      <c r="Z24" s="167">
        <v>18.38</v>
      </c>
      <c r="AA24" s="167">
        <f t="shared" si="16"/>
        <v>496.26</v>
      </c>
      <c r="AB24" s="153">
        <f t="shared" si="2"/>
        <v>7</v>
      </c>
      <c r="AC24" s="142"/>
      <c r="AD24" s="142"/>
      <c r="AE24" s="142"/>
      <c r="AF24" s="169">
        <f t="shared" si="20"/>
        <v>0</v>
      </c>
      <c r="AG24" s="142">
        <f t="shared" si="3"/>
        <v>0</v>
      </c>
      <c r="AH24" s="142"/>
      <c r="AI24" s="142"/>
      <c r="AJ24" s="153"/>
      <c r="AK24" s="169">
        <f t="shared" si="17"/>
        <v>0</v>
      </c>
      <c r="AL24" s="142">
        <v>3369.8</v>
      </c>
      <c r="AM24" s="169">
        <f t="shared" si="4"/>
        <v>0</v>
      </c>
      <c r="AN24" s="142">
        <f t="shared" si="5"/>
        <v>496.26</v>
      </c>
      <c r="AO24" s="142">
        <v>0</v>
      </c>
      <c r="AP24" s="142"/>
      <c r="AQ24" s="142"/>
      <c r="AR24" s="142">
        <v>0</v>
      </c>
      <c r="AS24" s="142">
        <v>0</v>
      </c>
      <c r="AT24" s="145"/>
      <c r="AU24" s="145"/>
      <c r="AV24" s="145"/>
      <c r="AW24" s="145"/>
      <c r="AX24" s="145"/>
      <c r="AY24" s="145">
        <f>VLOOKUP(E24,Table1[[BL NO.]:[Total Value USD]],21,0)</f>
        <v>496.26</v>
      </c>
      <c r="AZ24" s="145">
        <f t="shared" si="18"/>
        <v>0</v>
      </c>
      <c r="BA24" s="9" t="s">
        <v>67</v>
      </c>
      <c r="BB24" s="7" t="s">
        <v>200</v>
      </c>
      <c r="BC24" s="7" t="s">
        <v>198</v>
      </c>
      <c r="BD24" s="7" t="s">
        <v>49</v>
      </c>
      <c r="BE24" s="10" t="s">
        <v>295</v>
      </c>
      <c r="BF24" s="9" t="s">
        <v>74</v>
      </c>
      <c r="BG24" s="146">
        <v>18.38</v>
      </c>
      <c r="BH24" s="146">
        <f t="shared" si="6"/>
        <v>496.26</v>
      </c>
      <c r="BI24" s="147">
        <f t="shared" ref="BI24:BI69" si="24">BG24*BN24</f>
        <v>61936.923999999999</v>
      </c>
      <c r="BJ24" s="148">
        <f t="shared" si="21"/>
        <v>4149773.9079999998</v>
      </c>
      <c r="BK24" s="148">
        <v>45680.80154</v>
      </c>
      <c r="BL24" s="148">
        <f t="shared" si="22"/>
        <v>3060613.7031800002</v>
      </c>
      <c r="BM24" s="44">
        <v>0</v>
      </c>
      <c r="BN24" s="14">
        <v>3369.8</v>
      </c>
      <c r="BO24" s="10" t="s">
        <v>206</v>
      </c>
      <c r="BP24" s="25" t="s">
        <v>45</v>
      </c>
      <c r="BQ24" s="22" t="s">
        <v>100</v>
      </c>
      <c r="BR24" s="10" t="s">
        <v>176</v>
      </c>
      <c r="BS24" s="27" t="s">
        <v>54</v>
      </c>
      <c r="BT24" s="14"/>
      <c r="BU24" s="14" t="s">
        <v>65</v>
      </c>
      <c r="BV24" s="149" t="s">
        <v>42</v>
      </c>
      <c r="BW24" s="146" t="s">
        <v>61</v>
      </c>
      <c r="BX24" s="150">
        <f t="shared" si="19"/>
        <v>496.26</v>
      </c>
      <c r="BY24" s="150">
        <v>0</v>
      </c>
      <c r="BZ24" s="13">
        <f t="shared" si="10"/>
        <v>496.26</v>
      </c>
      <c r="CA24" s="15">
        <f t="shared" si="11"/>
        <v>1</v>
      </c>
      <c r="CB24" s="14" t="s">
        <v>62</v>
      </c>
      <c r="CC24" s="7" t="s">
        <v>334</v>
      </c>
      <c r="CD24" s="7"/>
    </row>
    <row r="25" spans="1:82" x14ac:dyDescent="0.25">
      <c r="A25" s="123">
        <v>45916</v>
      </c>
      <c r="B25" s="6" t="str">
        <f t="shared" si="0"/>
        <v>Sep</v>
      </c>
      <c r="C25" s="39">
        <f t="shared" si="1"/>
        <v>2025</v>
      </c>
      <c r="D25" s="6">
        <v>22</v>
      </c>
      <c r="E25" s="6" t="s">
        <v>220</v>
      </c>
      <c r="F25" s="6" t="s">
        <v>69</v>
      </c>
      <c r="G25" s="7" t="s">
        <v>70</v>
      </c>
      <c r="H25" s="7" t="s">
        <v>52</v>
      </c>
      <c r="I25" s="7" t="s">
        <v>71</v>
      </c>
      <c r="J25" s="8">
        <v>60</v>
      </c>
      <c r="K25" s="8">
        <f t="shared" si="12"/>
        <v>18</v>
      </c>
      <c r="L25" s="8">
        <f>60-18</f>
        <v>42</v>
      </c>
      <c r="M25" s="152" t="s">
        <v>335</v>
      </c>
      <c r="N25" s="142">
        <v>0</v>
      </c>
      <c r="O25" s="142">
        <v>0</v>
      </c>
      <c r="P25" s="142">
        <v>0</v>
      </c>
      <c r="Q25" s="142">
        <v>0</v>
      </c>
      <c r="R25" s="142">
        <v>60</v>
      </c>
      <c r="S25" s="142">
        <v>18</v>
      </c>
      <c r="T25" s="143">
        <v>0</v>
      </c>
      <c r="U25" s="144">
        <f t="shared" si="23"/>
        <v>42</v>
      </c>
      <c r="V25" s="144"/>
      <c r="W25" s="144"/>
      <c r="X25" s="144">
        <f t="shared" si="14"/>
        <v>0</v>
      </c>
      <c r="Y25" s="144">
        <f t="shared" si="15"/>
        <v>18</v>
      </c>
      <c r="Z25" s="167">
        <v>18.38</v>
      </c>
      <c r="AA25" s="167">
        <f t="shared" si="16"/>
        <v>330.84</v>
      </c>
      <c r="AB25" s="142">
        <f t="shared" si="2"/>
        <v>0</v>
      </c>
      <c r="AC25" s="142"/>
      <c r="AD25" s="142"/>
      <c r="AE25" s="142"/>
      <c r="AF25" s="169">
        <f t="shared" si="20"/>
        <v>0</v>
      </c>
      <c r="AG25" s="142">
        <f t="shared" si="3"/>
        <v>0</v>
      </c>
      <c r="AH25" s="142"/>
      <c r="AI25" s="142"/>
      <c r="AJ25" s="142"/>
      <c r="AK25" s="169">
        <f t="shared" si="17"/>
        <v>0</v>
      </c>
      <c r="AL25" s="142">
        <v>3369.8</v>
      </c>
      <c r="AM25" s="169">
        <f t="shared" si="4"/>
        <v>0</v>
      </c>
      <c r="AN25" s="142">
        <f t="shared" si="5"/>
        <v>330.84</v>
      </c>
      <c r="AO25" s="142">
        <v>0</v>
      </c>
      <c r="AP25" s="142"/>
      <c r="AQ25" s="142"/>
      <c r="AR25" s="142">
        <v>0</v>
      </c>
      <c r="AS25" s="142">
        <v>0</v>
      </c>
      <c r="AT25" s="145"/>
      <c r="AU25" s="145"/>
      <c r="AV25" s="145"/>
      <c r="AW25" s="145"/>
      <c r="AX25" s="145"/>
      <c r="AY25" s="145">
        <f>VLOOKUP(E25,Table1[[BL NO.]:[Total Value USD]],21,0)</f>
        <v>330.84</v>
      </c>
      <c r="AZ25" s="145">
        <f t="shared" si="18"/>
        <v>0</v>
      </c>
      <c r="BA25" s="9" t="s">
        <v>67</v>
      </c>
      <c r="BB25" s="7" t="s">
        <v>200</v>
      </c>
      <c r="BC25" s="7" t="s">
        <v>198</v>
      </c>
      <c r="BD25" s="7" t="s">
        <v>49</v>
      </c>
      <c r="BE25" s="10" t="s">
        <v>106</v>
      </c>
      <c r="BF25" s="9" t="s">
        <v>74</v>
      </c>
      <c r="BG25" s="146">
        <v>18.38</v>
      </c>
      <c r="BH25" s="146">
        <f t="shared" si="6"/>
        <v>330.84</v>
      </c>
      <c r="BI25" s="147">
        <f t="shared" si="24"/>
        <v>61936.923999999999</v>
      </c>
      <c r="BJ25" s="148">
        <f t="shared" si="21"/>
        <v>2601350.8080000002</v>
      </c>
      <c r="BK25" s="148">
        <v>45680.80154</v>
      </c>
      <c r="BL25" s="148">
        <f t="shared" si="22"/>
        <v>1918593.6646799999</v>
      </c>
      <c r="BM25" s="44">
        <v>0</v>
      </c>
      <c r="BN25" s="14">
        <v>3369.8</v>
      </c>
      <c r="BO25" s="10" t="s">
        <v>206</v>
      </c>
      <c r="BP25" s="25" t="s">
        <v>45</v>
      </c>
      <c r="BQ25" s="22" t="s">
        <v>100</v>
      </c>
      <c r="BR25" s="10" t="s">
        <v>176</v>
      </c>
      <c r="BS25" s="27" t="s">
        <v>54</v>
      </c>
      <c r="BT25" s="14"/>
      <c r="BU25" s="14" t="s">
        <v>65</v>
      </c>
      <c r="BV25" s="149" t="s">
        <v>42</v>
      </c>
      <c r="BW25" s="146" t="s">
        <v>61</v>
      </c>
      <c r="BX25" s="150">
        <f t="shared" si="19"/>
        <v>330.84</v>
      </c>
      <c r="BY25" s="150">
        <v>0</v>
      </c>
      <c r="BZ25" s="13">
        <f t="shared" si="10"/>
        <v>330.84</v>
      </c>
      <c r="CA25" s="15">
        <f t="shared" si="11"/>
        <v>1</v>
      </c>
      <c r="CB25" s="14" t="s">
        <v>62</v>
      </c>
      <c r="CC25" s="7"/>
      <c r="CD25" s="7"/>
    </row>
    <row r="26" spans="1:82" x14ac:dyDescent="0.25">
      <c r="A26" s="125">
        <v>45930</v>
      </c>
      <c r="B26" s="6" t="str">
        <f t="shared" si="0"/>
        <v>Sep</v>
      </c>
      <c r="C26" s="39">
        <f t="shared" si="1"/>
        <v>2025</v>
      </c>
      <c r="D26" s="6">
        <v>23</v>
      </c>
      <c r="E26" s="6">
        <v>257625382</v>
      </c>
      <c r="F26" s="6" t="s">
        <v>69</v>
      </c>
      <c r="G26" s="7" t="s">
        <v>70</v>
      </c>
      <c r="H26" s="7" t="s">
        <v>52</v>
      </c>
      <c r="I26" s="7" t="s">
        <v>71</v>
      </c>
      <c r="J26" s="8">
        <v>40</v>
      </c>
      <c r="K26" s="8">
        <f t="shared" si="12"/>
        <v>11</v>
      </c>
      <c r="L26" s="8">
        <f>40-11</f>
        <v>29</v>
      </c>
      <c r="M26" s="152" t="s">
        <v>336</v>
      </c>
      <c r="N26" s="142">
        <v>0</v>
      </c>
      <c r="O26" s="142">
        <v>0</v>
      </c>
      <c r="P26" s="142">
        <v>0</v>
      </c>
      <c r="Q26" s="142">
        <v>0</v>
      </c>
      <c r="R26" s="142">
        <v>40</v>
      </c>
      <c r="S26" s="142">
        <v>11</v>
      </c>
      <c r="T26" s="143">
        <v>0</v>
      </c>
      <c r="U26" s="144">
        <f t="shared" si="23"/>
        <v>29</v>
      </c>
      <c r="V26" s="144"/>
      <c r="W26" s="144"/>
      <c r="X26" s="144">
        <f t="shared" si="14"/>
        <v>0</v>
      </c>
      <c r="Y26" s="144">
        <f t="shared" si="15"/>
        <v>11</v>
      </c>
      <c r="Z26" s="167">
        <v>18.38</v>
      </c>
      <c r="AA26" s="167">
        <f t="shared" si="16"/>
        <v>202.17999999999998</v>
      </c>
      <c r="AB26" s="142">
        <f t="shared" si="2"/>
        <v>0</v>
      </c>
      <c r="AC26" s="142"/>
      <c r="AD26" s="142"/>
      <c r="AE26" s="142"/>
      <c r="AF26" s="169">
        <f t="shared" si="20"/>
        <v>0</v>
      </c>
      <c r="AG26" s="142">
        <f t="shared" si="3"/>
        <v>0</v>
      </c>
      <c r="AH26" s="142"/>
      <c r="AI26" s="142"/>
      <c r="AJ26" s="142"/>
      <c r="AK26" s="169">
        <f t="shared" si="17"/>
        <v>0</v>
      </c>
      <c r="AL26" s="142">
        <v>3369.8</v>
      </c>
      <c r="AM26" s="169">
        <f t="shared" si="4"/>
        <v>0</v>
      </c>
      <c r="AN26" s="142">
        <f t="shared" si="5"/>
        <v>202.17999999999998</v>
      </c>
      <c r="AO26" s="142">
        <v>0</v>
      </c>
      <c r="AP26" s="142"/>
      <c r="AQ26" s="142"/>
      <c r="AR26" s="142">
        <v>0</v>
      </c>
      <c r="AS26" s="142">
        <v>0</v>
      </c>
      <c r="AT26" s="145"/>
      <c r="AU26" s="145"/>
      <c r="AV26" s="145"/>
      <c r="AW26" s="145"/>
      <c r="AX26" s="145"/>
      <c r="AY26" s="145">
        <f>VLOOKUP(E26,Table1[[BL NO.]:[Total Value USD]],21,0)</f>
        <v>202.17999999999998</v>
      </c>
      <c r="AZ26" s="145">
        <f t="shared" si="18"/>
        <v>0</v>
      </c>
      <c r="BA26" s="9" t="s">
        <v>67</v>
      </c>
      <c r="BB26" s="7" t="s">
        <v>200</v>
      </c>
      <c r="BC26" s="7" t="s">
        <v>198</v>
      </c>
      <c r="BD26" s="7" t="s">
        <v>49</v>
      </c>
      <c r="BE26" s="10" t="s">
        <v>108</v>
      </c>
      <c r="BF26" s="9" t="s">
        <v>74</v>
      </c>
      <c r="BG26" s="146">
        <v>18.38</v>
      </c>
      <c r="BH26" s="146">
        <f t="shared" si="6"/>
        <v>202.17999999999998</v>
      </c>
      <c r="BI26" s="147">
        <f t="shared" si="24"/>
        <v>61936.923999999999</v>
      </c>
      <c r="BJ26" s="148">
        <f t="shared" si="21"/>
        <v>1796170.7960000001</v>
      </c>
      <c r="BK26" s="148">
        <v>45680.80154</v>
      </c>
      <c r="BL26" s="148">
        <f t="shared" si="22"/>
        <v>1324743.2446600001</v>
      </c>
      <c r="BM26" s="44">
        <v>0</v>
      </c>
      <c r="BN26" s="14">
        <v>3369.8</v>
      </c>
      <c r="BO26" s="10" t="s">
        <v>206</v>
      </c>
      <c r="BP26" s="25" t="s">
        <v>45</v>
      </c>
      <c r="BQ26" s="22" t="s">
        <v>100</v>
      </c>
      <c r="BR26" s="10" t="s">
        <v>176</v>
      </c>
      <c r="BS26" s="27" t="s">
        <v>54</v>
      </c>
      <c r="BT26" s="14"/>
      <c r="BU26" s="14" t="s">
        <v>65</v>
      </c>
      <c r="BV26" s="149" t="s">
        <v>42</v>
      </c>
      <c r="BW26" s="14" t="s">
        <v>61</v>
      </c>
      <c r="BX26" s="150">
        <f t="shared" si="19"/>
        <v>202.17999999999998</v>
      </c>
      <c r="BY26" s="150">
        <v>0</v>
      </c>
      <c r="BZ26" s="13">
        <f t="shared" si="10"/>
        <v>202.17999999999998</v>
      </c>
      <c r="CA26" s="15">
        <f t="shared" si="11"/>
        <v>1</v>
      </c>
      <c r="CB26" s="14" t="s">
        <v>62</v>
      </c>
      <c r="CC26" s="7"/>
      <c r="CD26" s="7"/>
    </row>
    <row r="27" spans="1:82" x14ac:dyDescent="0.25">
      <c r="A27" s="123">
        <v>45946</v>
      </c>
      <c r="B27" s="6" t="str">
        <f t="shared" si="0"/>
        <v>Oct</v>
      </c>
      <c r="C27" s="39">
        <f t="shared" si="1"/>
        <v>2025</v>
      </c>
      <c r="D27" s="6">
        <v>24</v>
      </c>
      <c r="E27" s="6" t="s">
        <v>223</v>
      </c>
      <c r="F27" s="6" t="s">
        <v>69</v>
      </c>
      <c r="G27" s="7" t="s">
        <v>70</v>
      </c>
      <c r="H27" s="7" t="s">
        <v>52</v>
      </c>
      <c r="I27" s="7" t="s">
        <v>71</v>
      </c>
      <c r="J27" s="8">
        <v>42</v>
      </c>
      <c r="K27" s="8">
        <f t="shared" si="12"/>
        <v>14</v>
      </c>
      <c r="L27" s="8">
        <f>42-14</f>
        <v>28</v>
      </c>
      <c r="M27" s="152" t="s">
        <v>337</v>
      </c>
      <c r="N27" s="142">
        <v>0</v>
      </c>
      <c r="O27" s="142">
        <v>0</v>
      </c>
      <c r="P27" s="142">
        <v>0</v>
      </c>
      <c r="Q27" s="142">
        <v>0</v>
      </c>
      <c r="R27" s="142">
        <v>42</v>
      </c>
      <c r="S27" s="142">
        <v>14</v>
      </c>
      <c r="T27" s="143">
        <v>0</v>
      </c>
      <c r="U27" s="144">
        <f t="shared" si="23"/>
        <v>28</v>
      </c>
      <c r="V27" s="144"/>
      <c r="W27" s="144"/>
      <c r="X27" s="144">
        <f t="shared" si="14"/>
        <v>0</v>
      </c>
      <c r="Y27" s="144">
        <f t="shared" si="15"/>
        <v>14</v>
      </c>
      <c r="Z27" s="167">
        <v>18.38</v>
      </c>
      <c r="AA27" s="167">
        <f t="shared" si="16"/>
        <v>257.32</v>
      </c>
      <c r="AB27" s="142">
        <f t="shared" si="2"/>
        <v>0</v>
      </c>
      <c r="AC27" s="142"/>
      <c r="AD27" s="142"/>
      <c r="AE27" s="142"/>
      <c r="AF27" s="169">
        <f t="shared" si="20"/>
        <v>0</v>
      </c>
      <c r="AG27" s="142">
        <f t="shared" si="3"/>
        <v>0</v>
      </c>
      <c r="AH27" s="142"/>
      <c r="AI27" s="142"/>
      <c r="AJ27" s="142"/>
      <c r="AK27" s="169">
        <f t="shared" si="17"/>
        <v>0</v>
      </c>
      <c r="AL27" s="142">
        <v>3369.8</v>
      </c>
      <c r="AM27" s="169">
        <f t="shared" si="4"/>
        <v>0</v>
      </c>
      <c r="AN27" s="142">
        <f t="shared" si="5"/>
        <v>257.32</v>
      </c>
      <c r="AO27" s="142">
        <v>0</v>
      </c>
      <c r="AP27" s="142"/>
      <c r="AQ27" s="142"/>
      <c r="AR27" s="142">
        <v>0</v>
      </c>
      <c r="AS27" s="142">
        <v>0</v>
      </c>
      <c r="AT27" s="145"/>
      <c r="AU27" s="145"/>
      <c r="AV27" s="145"/>
      <c r="AW27" s="145"/>
      <c r="AX27" s="145"/>
      <c r="AY27" s="145">
        <f>VLOOKUP(E27,Table1[[BL NO.]:[Total Value USD]],21,0)</f>
        <v>257.32</v>
      </c>
      <c r="AZ27" s="145">
        <f t="shared" si="18"/>
        <v>0</v>
      </c>
      <c r="BA27" s="9" t="s">
        <v>67</v>
      </c>
      <c r="BB27" s="7" t="s">
        <v>200</v>
      </c>
      <c r="BC27" s="7" t="s">
        <v>198</v>
      </c>
      <c r="BD27" s="7" t="s">
        <v>49</v>
      </c>
      <c r="BE27" s="10" t="s">
        <v>112</v>
      </c>
      <c r="BF27" s="9" t="s">
        <v>74</v>
      </c>
      <c r="BG27" s="146">
        <v>18.38</v>
      </c>
      <c r="BH27" s="146">
        <f t="shared" si="6"/>
        <v>257.32</v>
      </c>
      <c r="BI27" s="147">
        <f t="shared" si="24"/>
        <v>61936.923999999999</v>
      </c>
      <c r="BJ27" s="148">
        <f t="shared" si="21"/>
        <v>1734233.872</v>
      </c>
      <c r="BK27" s="148">
        <v>45681</v>
      </c>
      <c r="BL27" s="148">
        <f t="shared" si="22"/>
        <v>1279068</v>
      </c>
      <c r="BM27" s="44">
        <v>0</v>
      </c>
      <c r="BN27" s="14">
        <v>3369.8</v>
      </c>
      <c r="BO27" s="10" t="s">
        <v>206</v>
      </c>
      <c r="BP27" s="25" t="s">
        <v>45</v>
      </c>
      <c r="BQ27" s="22" t="s">
        <v>110</v>
      </c>
      <c r="BR27" s="10" t="s">
        <v>176</v>
      </c>
      <c r="BS27" s="27" t="s">
        <v>54</v>
      </c>
      <c r="BT27" s="14"/>
      <c r="BU27" s="14" t="s">
        <v>65</v>
      </c>
      <c r="BV27" s="149" t="s">
        <v>42</v>
      </c>
      <c r="BW27" s="14" t="s">
        <v>61</v>
      </c>
      <c r="BX27" s="150">
        <f t="shared" si="19"/>
        <v>257.32</v>
      </c>
      <c r="BY27" s="150">
        <v>0</v>
      </c>
      <c r="BZ27" s="13">
        <f t="shared" si="10"/>
        <v>257.32</v>
      </c>
      <c r="CA27" s="15">
        <f t="shared" si="11"/>
        <v>1</v>
      </c>
      <c r="CB27" s="14" t="s">
        <v>62</v>
      </c>
      <c r="CC27" s="7"/>
      <c r="CD27" s="7"/>
    </row>
    <row r="28" spans="1:82" x14ac:dyDescent="0.25">
      <c r="A28" s="123">
        <v>45946</v>
      </c>
      <c r="B28" s="6" t="str">
        <f t="shared" si="0"/>
        <v>Oct</v>
      </c>
      <c r="C28" s="39">
        <f t="shared" si="1"/>
        <v>2025</v>
      </c>
      <c r="D28" s="6">
        <v>25</v>
      </c>
      <c r="E28" s="6" t="s">
        <v>224</v>
      </c>
      <c r="F28" s="6" t="s">
        <v>69</v>
      </c>
      <c r="G28" s="7" t="s">
        <v>70</v>
      </c>
      <c r="H28" s="7" t="s">
        <v>52</v>
      </c>
      <c r="I28" s="7" t="s">
        <v>71</v>
      </c>
      <c r="J28" s="8">
        <v>41</v>
      </c>
      <c r="K28" s="8">
        <f t="shared" si="12"/>
        <v>17</v>
      </c>
      <c r="L28" s="8">
        <f>41-17</f>
        <v>24</v>
      </c>
      <c r="M28" s="152" t="s">
        <v>338</v>
      </c>
      <c r="N28" s="142">
        <v>0</v>
      </c>
      <c r="O28" s="142">
        <v>0</v>
      </c>
      <c r="P28" s="142">
        <v>0</v>
      </c>
      <c r="Q28" s="142">
        <v>0</v>
      </c>
      <c r="R28" s="142">
        <v>41</v>
      </c>
      <c r="S28" s="142">
        <v>17</v>
      </c>
      <c r="T28" s="143">
        <v>0</v>
      </c>
      <c r="U28" s="144">
        <f t="shared" si="23"/>
        <v>24</v>
      </c>
      <c r="V28" s="144"/>
      <c r="W28" s="144"/>
      <c r="X28" s="144">
        <f t="shared" si="14"/>
        <v>0</v>
      </c>
      <c r="Y28" s="144">
        <f t="shared" si="15"/>
        <v>17</v>
      </c>
      <c r="Z28" s="167">
        <v>18.38</v>
      </c>
      <c r="AA28" s="167">
        <f t="shared" si="16"/>
        <v>312.45999999999998</v>
      </c>
      <c r="AB28" s="142">
        <f t="shared" si="2"/>
        <v>0</v>
      </c>
      <c r="AC28" s="142"/>
      <c r="AD28" s="142"/>
      <c r="AE28" s="142"/>
      <c r="AF28" s="169">
        <f t="shared" si="20"/>
        <v>0</v>
      </c>
      <c r="AG28" s="142">
        <f t="shared" si="3"/>
        <v>0</v>
      </c>
      <c r="AH28" s="142"/>
      <c r="AI28" s="142"/>
      <c r="AJ28" s="142"/>
      <c r="AK28" s="169">
        <f t="shared" si="17"/>
        <v>0</v>
      </c>
      <c r="AL28" s="142">
        <v>3369.8</v>
      </c>
      <c r="AM28" s="169">
        <f t="shared" si="4"/>
        <v>0</v>
      </c>
      <c r="AN28" s="142">
        <f t="shared" si="5"/>
        <v>312.45999999999998</v>
      </c>
      <c r="AO28" s="142">
        <v>0</v>
      </c>
      <c r="AP28" s="142"/>
      <c r="AQ28" s="142"/>
      <c r="AR28" s="142">
        <v>0</v>
      </c>
      <c r="AS28" s="142">
        <v>0</v>
      </c>
      <c r="AT28" s="145"/>
      <c r="AU28" s="145"/>
      <c r="AV28" s="145"/>
      <c r="AW28" s="145"/>
      <c r="AX28" s="145"/>
      <c r="AY28" s="145">
        <f>VLOOKUP(E28,Table1[[BL NO.]:[Total Value USD]],21,0)</f>
        <v>312.45999999999998</v>
      </c>
      <c r="AZ28" s="145">
        <f t="shared" si="18"/>
        <v>0</v>
      </c>
      <c r="BA28" s="9" t="s">
        <v>67</v>
      </c>
      <c r="BB28" s="7" t="s">
        <v>200</v>
      </c>
      <c r="BC28" s="7" t="s">
        <v>198</v>
      </c>
      <c r="BD28" s="7" t="s">
        <v>49</v>
      </c>
      <c r="BE28" s="10" t="s">
        <v>113</v>
      </c>
      <c r="BF28" s="9" t="s">
        <v>74</v>
      </c>
      <c r="BG28" s="146">
        <v>18.38</v>
      </c>
      <c r="BH28" s="146">
        <f t="shared" si="6"/>
        <v>312.45999999999998</v>
      </c>
      <c r="BI28" s="147">
        <f t="shared" si="24"/>
        <v>61936.923999999999</v>
      </c>
      <c r="BJ28" s="148">
        <f t="shared" si="21"/>
        <v>1486486.176</v>
      </c>
      <c r="BK28" s="148">
        <v>45681</v>
      </c>
      <c r="BL28" s="148">
        <f t="shared" si="22"/>
        <v>1096344</v>
      </c>
      <c r="BM28" s="44">
        <v>0</v>
      </c>
      <c r="BN28" s="14">
        <v>3369.8</v>
      </c>
      <c r="BO28" s="10" t="s">
        <v>206</v>
      </c>
      <c r="BP28" s="25" t="s">
        <v>45</v>
      </c>
      <c r="BQ28" s="22" t="s">
        <v>110</v>
      </c>
      <c r="BR28" s="10" t="s">
        <v>176</v>
      </c>
      <c r="BS28" s="27" t="s">
        <v>54</v>
      </c>
      <c r="BT28" s="14"/>
      <c r="BU28" s="14" t="s">
        <v>65</v>
      </c>
      <c r="BV28" s="149" t="s">
        <v>42</v>
      </c>
      <c r="BW28" s="14" t="s">
        <v>61</v>
      </c>
      <c r="BX28" s="150">
        <f t="shared" si="19"/>
        <v>312.45999999999998</v>
      </c>
      <c r="BY28" s="150">
        <v>0</v>
      </c>
      <c r="BZ28" s="13">
        <f t="shared" si="10"/>
        <v>312.45999999999998</v>
      </c>
      <c r="CA28" s="15">
        <f t="shared" si="11"/>
        <v>1</v>
      </c>
      <c r="CB28" s="14" t="s">
        <v>62</v>
      </c>
      <c r="CC28" s="7"/>
      <c r="CD28" s="7"/>
    </row>
    <row r="29" spans="1:82" x14ac:dyDescent="0.25">
      <c r="A29" s="123">
        <v>45929</v>
      </c>
      <c r="B29" s="6" t="str">
        <f t="shared" si="0"/>
        <v>Sep</v>
      </c>
      <c r="C29" s="39">
        <f t="shared" si="1"/>
        <v>2025</v>
      </c>
      <c r="D29" s="6">
        <v>26</v>
      </c>
      <c r="E29" s="195" t="s">
        <v>225</v>
      </c>
      <c r="F29" s="6" t="s">
        <v>69</v>
      </c>
      <c r="G29" s="7" t="s">
        <v>70</v>
      </c>
      <c r="H29" s="7" t="s">
        <v>75</v>
      </c>
      <c r="I29" s="7" t="s">
        <v>160</v>
      </c>
      <c r="J29" s="116">
        <v>127</v>
      </c>
      <c r="K29" s="8">
        <f t="shared" si="12"/>
        <v>116</v>
      </c>
      <c r="L29" s="8">
        <f>127-(16+4)</f>
        <v>107</v>
      </c>
      <c r="M29" s="6" t="s">
        <v>339</v>
      </c>
      <c r="N29" s="153">
        <v>7</v>
      </c>
      <c r="O29" s="142">
        <v>83</v>
      </c>
      <c r="P29" s="142">
        <v>0</v>
      </c>
      <c r="Q29" s="142">
        <v>0</v>
      </c>
      <c r="R29" s="142">
        <v>40</v>
      </c>
      <c r="S29" s="142">
        <f>16+3+4</f>
        <v>23</v>
      </c>
      <c r="T29" s="143">
        <v>3</v>
      </c>
      <c r="U29" s="144">
        <f t="shared" si="23"/>
        <v>14</v>
      </c>
      <c r="V29" s="170"/>
      <c r="W29" s="170"/>
      <c r="X29" s="144">
        <f t="shared" si="14"/>
        <v>0</v>
      </c>
      <c r="Y29" s="144">
        <f t="shared" si="15"/>
        <v>116</v>
      </c>
      <c r="Z29" s="171">
        <v>11.41</v>
      </c>
      <c r="AA29" s="171">
        <f t="shared" si="16"/>
        <v>1323.56</v>
      </c>
      <c r="AB29" s="142">
        <f t="shared" si="2"/>
        <v>7</v>
      </c>
      <c r="AC29" s="142"/>
      <c r="AD29" s="142"/>
      <c r="AE29" s="142"/>
      <c r="AF29" s="169">
        <f t="shared" si="20"/>
        <v>0</v>
      </c>
      <c r="AG29" s="142">
        <f t="shared" si="3"/>
        <v>3</v>
      </c>
      <c r="AH29" s="142"/>
      <c r="AI29" s="142"/>
      <c r="AJ29" s="142"/>
      <c r="AK29" s="169">
        <f t="shared" si="17"/>
        <v>0</v>
      </c>
      <c r="AL29" s="142">
        <v>3369.8</v>
      </c>
      <c r="AM29" s="169">
        <f t="shared" si="4"/>
        <v>0</v>
      </c>
      <c r="AN29" s="142">
        <f t="shared" si="5"/>
        <v>1323.56</v>
      </c>
      <c r="AO29" s="142">
        <v>0</v>
      </c>
      <c r="AP29" s="142"/>
      <c r="AQ29" s="142"/>
      <c r="AR29" s="142">
        <v>83</v>
      </c>
      <c r="AS29" s="142">
        <v>0</v>
      </c>
      <c r="AT29" s="145"/>
      <c r="AU29" s="145"/>
      <c r="AV29" s="145"/>
      <c r="AW29" s="145"/>
      <c r="AX29" s="145"/>
      <c r="AY29" s="145">
        <f>VLOOKUP(E29,Table1[[BL NO.]:[Total Value USD]],21,0)</f>
        <v>1323.56</v>
      </c>
      <c r="AZ29" s="145">
        <f t="shared" si="18"/>
        <v>0</v>
      </c>
      <c r="BA29" s="9" t="s">
        <v>67</v>
      </c>
      <c r="BB29" s="7" t="s">
        <v>200</v>
      </c>
      <c r="BC29" s="7" t="s">
        <v>198</v>
      </c>
      <c r="BD29" s="7" t="s">
        <v>49</v>
      </c>
      <c r="BE29" s="10" t="s">
        <v>115</v>
      </c>
      <c r="BF29" s="9" t="s">
        <v>116</v>
      </c>
      <c r="BG29" s="146">
        <v>11.41</v>
      </c>
      <c r="BH29" s="146">
        <f t="shared" si="6"/>
        <v>1323.56</v>
      </c>
      <c r="BI29" s="147">
        <f t="shared" si="24"/>
        <v>38449.418000000005</v>
      </c>
      <c r="BJ29" s="147">
        <f t="shared" si="21"/>
        <v>4114087.7260000007</v>
      </c>
      <c r="BK29" s="147">
        <v>31023</v>
      </c>
      <c r="BL29" s="147">
        <f t="shared" si="22"/>
        <v>3319461</v>
      </c>
      <c r="BM29" s="44">
        <v>0</v>
      </c>
      <c r="BN29" s="23">
        <v>3369.8</v>
      </c>
      <c r="BO29" s="10" t="s">
        <v>206</v>
      </c>
      <c r="BP29" s="25" t="s">
        <v>40</v>
      </c>
      <c r="BQ29" s="27" t="s">
        <v>110</v>
      </c>
      <c r="BR29" s="10" t="s">
        <v>176</v>
      </c>
      <c r="BS29" s="27" t="s">
        <v>54</v>
      </c>
      <c r="BT29" s="25"/>
      <c r="BU29" s="14" t="s">
        <v>41</v>
      </c>
      <c r="BV29" s="149" t="s">
        <v>42</v>
      </c>
      <c r="BW29" s="14" t="s">
        <v>270</v>
      </c>
      <c r="BX29" s="154">
        <f t="shared" si="19"/>
        <v>1323.56</v>
      </c>
      <c r="BY29" s="154">
        <v>0</v>
      </c>
      <c r="BZ29" s="13">
        <f t="shared" si="10"/>
        <v>1323.56</v>
      </c>
      <c r="CA29" s="29">
        <f t="shared" si="11"/>
        <v>1</v>
      </c>
      <c r="CB29" s="23" t="s">
        <v>141</v>
      </c>
      <c r="CC29" s="7" t="s">
        <v>340</v>
      </c>
      <c r="CD29" s="7"/>
    </row>
    <row r="30" spans="1:82" x14ac:dyDescent="0.25">
      <c r="A30" s="123">
        <v>45953</v>
      </c>
      <c r="B30" s="6" t="str">
        <f t="shared" si="0"/>
        <v>Oct</v>
      </c>
      <c r="C30" s="39">
        <f t="shared" si="1"/>
        <v>2025</v>
      </c>
      <c r="D30" s="6">
        <v>27</v>
      </c>
      <c r="E30" s="195">
        <v>258447410</v>
      </c>
      <c r="F30" s="6" t="s">
        <v>69</v>
      </c>
      <c r="G30" s="7" t="s">
        <v>70</v>
      </c>
      <c r="H30" s="7" t="s">
        <v>52</v>
      </c>
      <c r="I30" s="7" t="s">
        <v>71</v>
      </c>
      <c r="J30" s="116">
        <v>46</v>
      </c>
      <c r="K30" s="8">
        <f t="shared" si="12"/>
        <v>34</v>
      </c>
      <c r="L30" s="8">
        <v>46</v>
      </c>
      <c r="M30" s="152" t="s">
        <v>341</v>
      </c>
      <c r="N30" s="142">
        <v>0</v>
      </c>
      <c r="O30" s="142">
        <v>28</v>
      </c>
      <c r="P30" s="142">
        <v>0</v>
      </c>
      <c r="Q30" s="142">
        <v>0</v>
      </c>
      <c r="R30" s="142">
        <v>18</v>
      </c>
      <c r="S30" s="142">
        <v>6</v>
      </c>
      <c r="T30" s="143">
        <v>0</v>
      </c>
      <c r="U30" s="144">
        <f t="shared" si="23"/>
        <v>12</v>
      </c>
      <c r="V30" s="144"/>
      <c r="W30" s="144"/>
      <c r="X30" s="144">
        <f t="shared" si="14"/>
        <v>0</v>
      </c>
      <c r="Y30" s="144">
        <f t="shared" si="15"/>
        <v>34</v>
      </c>
      <c r="Z30" s="167">
        <v>17.416</v>
      </c>
      <c r="AA30" s="167">
        <f t="shared" si="16"/>
        <v>592.14400000000001</v>
      </c>
      <c r="AB30" s="142">
        <f t="shared" si="2"/>
        <v>0</v>
      </c>
      <c r="AC30" s="142"/>
      <c r="AD30" s="142"/>
      <c r="AE30" s="142"/>
      <c r="AF30" s="169">
        <f t="shared" si="20"/>
        <v>0</v>
      </c>
      <c r="AG30" s="142">
        <f t="shared" si="3"/>
        <v>0</v>
      </c>
      <c r="AH30" s="142"/>
      <c r="AI30" s="142"/>
      <c r="AJ30" s="142"/>
      <c r="AK30" s="169">
        <f t="shared" si="17"/>
        <v>0</v>
      </c>
      <c r="AL30" s="142">
        <v>3369.8</v>
      </c>
      <c r="AM30" s="169">
        <f t="shared" si="4"/>
        <v>0</v>
      </c>
      <c r="AN30" s="142">
        <f t="shared" si="5"/>
        <v>592.14400000000001</v>
      </c>
      <c r="AO30" s="142">
        <v>0</v>
      </c>
      <c r="AP30" s="142"/>
      <c r="AQ30" s="142"/>
      <c r="AR30" s="142">
        <v>28</v>
      </c>
      <c r="AS30" s="142">
        <v>0</v>
      </c>
      <c r="AT30" s="145"/>
      <c r="AU30" s="145"/>
      <c r="AV30" s="145"/>
      <c r="AW30" s="145"/>
      <c r="AX30" s="145"/>
      <c r="AY30" s="145">
        <f>VLOOKUP(E30,Table1[[BL NO.]:[Total Value USD]],21,0)</f>
        <v>592.14400000000001</v>
      </c>
      <c r="AZ30" s="145">
        <f t="shared" si="18"/>
        <v>0</v>
      </c>
      <c r="BA30" s="9" t="s">
        <v>67</v>
      </c>
      <c r="BB30" s="7" t="s">
        <v>200</v>
      </c>
      <c r="BC30" s="7" t="s">
        <v>198</v>
      </c>
      <c r="BD30" s="7" t="s">
        <v>49</v>
      </c>
      <c r="BE30" s="10" t="s">
        <v>118</v>
      </c>
      <c r="BF30" s="9" t="s">
        <v>83</v>
      </c>
      <c r="BG30" s="146">
        <v>17.416</v>
      </c>
      <c r="BH30" s="146">
        <f t="shared" si="6"/>
        <v>592.14400000000001</v>
      </c>
      <c r="BI30" s="147">
        <f t="shared" si="24"/>
        <v>58688.436800000003</v>
      </c>
      <c r="BJ30" s="147">
        <f t="shared" si="21"/>
        <v>2699668.0928000002</v>
      </c>
      <c r="BK30" s="148">
        <v>45681</v>
      </c>
      <c r="BL30" s="147">
        <f t="shared" si="22"/>
        <v>2101326</v>
      </c>
      <c r="BM30" s="44">
        <v>0</v>
      </c>
      <c r="BN30" s="23">
        <v>3369.8</v>
      </c>
      <c r="BO30" s="10" t="s">
        <v>50</v>
      </c>
      <c r="BP30" s="25" t="s">
        <v>40</v>
      </c>
      <c r="BQ30" s="27" t="s">
        <v>110</v>
      </c>
      <c r="BR30" s="10" t="s">
        <v>176</v>
      </c>
      <c r="BS30" s="27" t="s">
        <v>54</v>
      </c>
      <c r="BT30" s="14"/>
      <c r="BU30" s="14" t="s">
        <v>50</v>
      </c>
      <c r="BV30" s="149" t="s">
        <v>50</v>
      </c>
      <c r="BW30" s="14" t="s">
        <v>207</v>
      </c>
      <c r="BX30" s="150">
        <f t="shared" si="19"/>
        <v>592.14400000000001</v>
      </c>
      <c r="BY30" s="154">
        <v>0</v>
      </c>
      <c r="BZ30" s="13">
        <f t="shared" si="10"/>
        <v>592.14400000000001</v>
      </c>
      <c r="CA30" s="29">
        <f t="shared" si="11"/>
        <v>1</v>
      </c>
      <c r="CB30" s="22" t="s">
        <v>55</v>
      </c>
      <c r="CC30" s="7" t="s">
        <v>449</v>
      </c>
      <c r="CD30" s="7"/>
    </row>
    <row r="31" spans="1:82" x14ac:dyDescent="0.25">
      <c r="A31" s="123">
        <v>45959</v>
      </c>
      <c r="B31" s="6" t="str">
        <f t="shared" si="0"/>
        <v>Oct</v>
      </c>
      <c r="C31" s="39">
        <f t="shared" si="1"/>
        <v>2025</v>
      </c>
      <c r="D31" s="6">
        <v>28</v>
      </c>
      <c r="E31" s="195" t="s">
        <v>226</v>
      </c>
      <c r="F31" s="6" t="s">
        <v>69</v>
      </c>
      <c r="G31" s="7" t="s">
        <v>70</v>
      </c>
      <c r="H31" s="7" t="s">
        <v>75</v>
      </c>
      <c r="I31" s="7" t="s">
        <v>160</v>
      </c>
      <c r="J31" s="116">
        <v>258</v>
      </c>
      <c r="K31" s="8">
        <f t="shared" si="12"/>
        <v>255</v>
      </c>
      <c r="L31" s="8">
        <f>258-9</f>
        <v>249</v>
      </c>
      <c r="M31" s="152" t="s">
        <v>342</v>
      </c>
      <c r="N31" s="142">
        <v>121</v>
      </c>
      <c r="O31" s="142">
        <v>125</v>
      </c>
      <c r="P31" s="142">
        <v>0</v>
      </c>
      <c r="Q31" s="142">
        <v>0</v>
      </c>
      <c r="R31" s="142">
        <v>48</v>
      </c>
      <c r="S31" s="142">
        <v>9</v>
      </c>
      <c r="T31" s="143">
        <v>0</v>
      </c>
      <c r="U31" s="144">
        <f t="shared" si="23"/>
        <v>39</v>
      </c>
      <c r="V31" s="144"/>
      <c r="W31" s="144"/>
      <c r="X31" s="144">
        <f t="shared" si="14"/>
        <v>0</v>
      </c>
      <c r="Y31" s="144">
        <f t="shared" si="15"/>
        <v>255</v>
      </c>
      <c r="Z31" s="167">
        <v>8.75</v>
      </c>
      <c r="AA31" s="167">
        <f t="shared" si="16"/>
        <v>2231.25</v>
      </c>
      <c r="AB31" s="142">
        <f t="shared" si="2"/>
        <v>121</v>
      </c>
      <c r="AC31" s="142"/>
      <c r="AD31" s="142"/>
      <c r="AE31" s="142"/>
      <c r="AF31" s="169">
        <f t="shared" si="20"/>
        <v>0</v>
      </c>
      <c r="AG31" s="142">
        <f t="shared" si="3"/>
        <v>0</v>
      </c>
      <c r="AH31" s="142"/>
      <c r="AI31" s="142"/>
      <c r="AJ31" s="142"/>
      <c r="AK31" s="169">
        <f t="shared" si="17"/>
        <v>0</v>
      </c>
      <c r="AL31" s="142">
        <v>3547.59</v>
      </c>
      <c r="AM31" s="169">
        <f t="shared" si="4"/>
        <v>0</v>
      </c>
      <c r="AN31" s="142">
        <f t="shared" si="5"/>
        <v>2231.25</v>
      </c>
      <c r="AO31" s="142">
        <v>0</v>
      </c>
      <c r="AP31" s="142"/>
      <c r="AQ31" s="142"/>
      <c r="AR31" s="142">
        <v>125</v>
      </c>
      <c r="AS31" s="142">
        <v>0</v>
      </c>
      <c r="AT31" s="145"/>
      <c r="AU31" s="145"/>
      <c r="AV31" s="145"/>
      <c r="AW31" s="145"/>
      <c r="AX31" s="145"/>
      <c r="AY31" s="145">
        <f>VLOOKUP(E31,Table1[[BL NO.]:[Total Value USD]],21,0)</f>
        <v>2231.25</v>
      </c>
      <c r="AZ31" s="145">
        <f t="shared" si="18"/>
        <v>0</v>
      </c>
      <c r="BA31" s="9" t="s">
        <v>67</v>
      </c>
      <c r="BB31" s="7" t="s">
        <v>200</v>
      </c>
      <c r="BC31" s="7" t="s">
        <v>198</v>
      </c>
      <c r="BD31" s="7" t="s">
        <v>49</v>
      </c>
      <c r="BE31" s="10" t="s">
        <v>311</v>
      </c>
      <c r="BF31" s="9" t="s">
        <v>83</v>
      </c>
      <c r="BG31" s="146">
        <v>8.75</v>
      </c>
      <c r="BH31" s="146">
        <f t="shared" si="6"/>
        <v>2231.25</v>
      </c>
      <c r="BI31" s="147">
        <f t="shared" si="24"/>
        <v>31041.412500000002</v>
      </c>
      <c r="BJ31" s="147">
        <f t="shared" si="21"/>
        <v>7729311.7125000004</v>
      </c>
      <c r="BK31" s="148">
        <v>23264.087289999999</v>
      </c>
      <c r="BL31" s="147">
        <f t="shared" si="22"/>
        <v>5792757.7352099996</v>
      </c>
      <c r="BM31" s="44">
        <v>0</v>
      </c>
      <c r="BN31" s="23">
        <v>3547.59</v>
      </c>
      <c r="BO31" s="10" t="s">
        <v>50</v>
      </c>
      <c r="BP31" s="25" t="s">
        <v>40</v>
      </c>
      <c r="BQ31" s="27" t="s">
        <v>110</v>
      </c>
      <c r="BR31" s="10" t="s">
        <v>176</v>
      </c>
      <c r="BS31" s="27" t="s">
        <v>54</v>
      </c>
      <c r="BT31" s="14"/>
      <c r="BU31" s="14" t="s">
        <v>50</v>
      </c>
      <c r="BV31" s="149" t="s">
        <v>50</v>
      </c>
      <c r="BW31" s="14" t="s">
        <v>207</v>
      </c>
      <c r="BX31" s="150">
        <f t="shared" si="19"/>
        <v>2231.25</v>
      </c>
      <c r="BY31" s="154">
        <v>0</v>
      </c>
      <c r="BZ31" s="13">
        <f t="shared" si="10"/>
        <v>2231.25</v>
      </c>
      <c r="CA31" s="29">
        <f t="shared" si="11"/>
        <v>1</v>
      </c>
      <c r="CB31" s="22" t="s">
        <v>55</v>
      </c>
      <c r="CC31" s="7" t="s">
        <v>343</v>
      </c>
      <c r="CD31" s="7"/>
    </row>
    <row r="32" spans="1:82" x14ac:dyDescent="0.25">
      <c r="A32" s="123">
        <v>45966</v>
      </c>
      <c r="B32" s="6" t="str">
        <f t="shared" si="0"/>
        <v>Nov</v>
      </c>
      <c r="C32" s="39">
        <f t="shared" si="1"/>
        <v>2025</v>
      </c>
      <c r="D32" s="6">
        <v>29</v>
      </c>
      <c r="E32" s="6" t="s">
        <v>227</v>
      </c>
      <c r="F32" s="6" t="s">
        <v>69</v>
      </c>
      <c r="G32" s="7" t="s">
        <v>70</v>
      </c>
      <c r="H32" s="7" t="s">
        <v>52</v>
      </c>
      <c r="I32" s="7" t="s">
        <v>71</v>
      </c>
      <c r="J32" s="8">
        <v>33</v>
      </c>
      <c r="K32" s="8">
        <f t="shared" si="12"/>
        <v>9</v>
      </c>
      <c r="L32" s="8">
        <f>33-8</f>
        <v>25</v>
      </c>
      <c r="M32" s="152" t="s">
        <v>344</v>
      </c>
      <c r="N32" s="142">
        <v>0</v>
      </c>
      <c r="O32" s="142">
        <v>0</v>
      </c>
      <c r="P32" s="142">
        <v>0</v>
      </c>
      <c r="Q32" s="142">
        <v>0</v>
      </c>
      <c r="R32" s="142">
        <v>33</v>
      </c>
      <c r="S32" s="142">
        <v>8</v>
      </c>
      <c r="T32" s="143">
        <v>1</v>
      </c>
      <c r="U32" s="144">
        <f t="shared" si="23"/>
        <v>24</v>
      </c>
      <c r="V32" s="144"/>
      <c r="W32" s="144"/>
      <c r="X32" s="144">
        <f t="shared" si="14"/>
        <v>0</v>
      </c>
      <c r="Y32" s="144">
        <f t="shared" si="15"/>
        <v>9</v>
      </c>
      <c r="Z32" s="167">
        <v>16.52</v>
      </c>
      <c r="AA32" s="167">
        <f t="shared" si="16"/>
        <v>148.68</v>
      </c>
      <c r="AB32" s="142">
        <f t="shared" si="2"/>
        <v>0</v>
      </c>
      <c r="AC32" s="142"/>
      <c r="AD32" s="142"/>
      <c r="AE32" s="142"/>
      <c r="AF32" s="169">
        <f t="shared" si="20"/>
        <v>0</v>
      </c>
      <c r="AG32" s="142">
        <f t="shared" si="3"/>
        <v>1</v>
      </c>
      <c r="AH32" s="142"/>
      <c r="AI32" s="142"/>
      <c r="AJ32" s="142"/>
      <c r="AK32" s="169">
        <f t="shared" si="17"/>
        <v>0</v>
      </c>
      <c r="AL32" s="142">
        <v>3547.59</v>
      </c>
      <c r="AM32" s="169">
        <f t="shared" si="4"/>
        <v>0</v>
      </c>
      <c r="AN32" s="142">
        <f t="shared" si="5"/>
        <v>148.68</v>
      </c>
      <c r="AO32" s="142">
        <v>0</v>
      </c>
      <c r="AP32" s="142"/>
      <c r="AQ32" s="142"/>
      <c r="AR32" s="142">
        <v>0</v>
      </c>
      <c r="AS32" s="142">
        <v>0</v>
      </c>
      <c r="AT32" s="145"/>
      <c r="AU32" s="145"/>
      <c r="AV32" s="145"/>
      <c r="AW32" s="145"/>
      <c r="AX32" s="145"/>
      <c r="AY32" s="145">
        <f>VLOOKUP(E32,Table1[[BL NO.]:[Total Value USD]],21,0)</f>
        <v>148.68</v>
      </c>
      <c r="AZ32" s="145">
        <f t="shared" si="18"/>
        <v>0</v>
      </c>
      <c r="BA32" s="9" t="s">
        <v>67</v>
      </c>
      <c r="BB32" s="7" t="s">
        <v>200</v>
      </c>
      <c r="BC32" s="7" t="s">
        <v>198</v>
      </c>
      <c r="BD32" s="7" t="s">
        <v>49</v>
      </c>
      <c r="BE32" s="10" t="s">
        <v>179</v>
      </c>
      <c r="BF32" s="9" t="s">
        <v>74</v>
      </c>
      <c r="BG32" s="146">
        <v>16.52</v>
      </c>
      <c r="BH32" s="146">
        <f t="shared" si="6"/>
        <v>148.68</v>
      </c>
      <c r="BI32" s="147">
        <f t="shared" si="24"/>
        <v>58606.186800000003</v>
      </c>
      <c r="BJ32" s="147">
        <f t="shared" si="21"/>
        <v>1465154.6700000002</v>
      </c>
      <c r="BK32" s="148">
        <v>42710.4732</v>
      </c>
      <c r="BL32" s="147">
        <f t="shared" si="22"/>
        <v>1067761.83</v>
      </c>
      <c r="BM32" s="44">
        <v>0</v>
      </c>
      <c r="BN32" s="23">
        <v>3547.59</v>
      </c>
      <c r="BO32" s="10" t="s">
        <v>206</v>
      </c>
      <c r="BP32" s="25" t="s">
        <v>45</v>
      </c>
      <c r="BQ32" s="27" t="s">
        <v>110</v>
      </c>
      <c r="BR32" s="10" t="s">
        <v>176</v>
      </c>
      <c r="BS32" s="27" t="s">
        <v>54</v>
      </c>
      <c r="BT32" s="14"/>
      <c r="BU32" s="14" t="s">
        <v>65</v>
      </c>
      <c r="BV32" s="149" t="s">
        <v>42</v>
      </c>
      <c r="BW32" s="10" t="s">
        <v>61</v>
      </c>
      <c r="BX32" s="150">
        <f t="shared" si="19"/>
        <v>148.68</v>
      </c>
      <c r="BY32" s="154">
        <v>0</v>
      </c>
      <c r="BZ32" s="13">
        <f t="shared" si="10"/>
        <v>148.68</v>
      </c>
      <c r="CA32" s="29">
        <f t="shared" si="11"/>
        <v>1</v>
      </c>
      <c r="CB32" s="25" t="s">
        <v>62</v>
      </c>
      <c r="CC32" s="7"/>
      <c r="CD32" s="7"/>
    </row>
    <row r="33" spans="1:82" x14ac:dyDescent="0.25">
      <c r="A33" s="125">
        <v>45966</v>
      </c>
      <c r="B33" s="6" t="str">
        <f t="shared" si="0"/>
        <v>Nov</v>
      </c>
      <c r="C33" s="39">
        <f t="shared" si="1"/>
        <v>2025</v>
      </c>
      <c r="D33" s="6">
        <v>30</v>
      </c>
      <c r="E33" s="6" t="s">
        <v>228</v>
      </c>
      <c r="F33" s="6" t="s">
        <v>69</v>
      </c>
      <c r="G33" s="7" t="s">
        <v>70</v>
      </c>
      <c r="H33" s="7" t="s">
        <v>52</v>
      </c>
      <c r="I33" s="7" t="s">
        <v>71</v>
      </c>
      <c r="J33" s="8">
        <v>71</v>
      </c>
      <c r="K33" s="8">
        <f t="shared" si="12"/>
        <v>16</v>
      </c>
      <c r="L33" s="8">
        <f>71-15</f>
        <v>56</v>
      </c>
      <c r="M33" s="152" t="s">
        <v>345</v>
      </c>
      <c r="N33" s="142">
        <v>0</v>
      </c>
      <c r="O33" s="142">
        <v>0</v>
      </c>
      <c r="P33" s="142">
        <v>0</v>
      </c>
      <c r="Q33" s="142">
        <v>0</v>
      </c>
      <c r="R33" s="142">
        <v>71</v>
      </c>
      <c r="S33" s="142">
        <v>15</v>
      </c>
      <c r="T33" s="143">
        <v>1</v>
      </c>
      <c r="U33" s="144">
        <f t="shared" si="23"/>
        <v>55</v>
      </c>
      <c r="V33" s="144"/>
      <c r="W33" s="144"/>
      <c r="X33" s="144">
        <f t="shared" si="14"/>
        <v>0</v>
      </c>
      <c r="Y33" s="144">
        <f t="shared" si="15"/>
        <v>16</v>
      </c>
      <c r="Z33" s="167">
        <v>16.52</v>
      </c>
      <c r="AA33" s="167">
        <f t="shared" si="16"/>
        <v>264.32</v>
      </c>
      <c r="AB33" s="142">
        <f t="shared" si="2"/>
        <v>0</v>
      </c>
      <c r="AC33" s="142"/>
      <c r="AD33" s="142"/>
      <c r="AE33" s="142"/>
      <c r="AF33" s="169">
        <f t="shared" si="20"/>
        <v>0</v>
      </c>
      <c r="AG33" s="142">
        <f t="shared" si="3"/>
        <v>1</v>
      </c>
      <c r="AH33" s="142"/>
      <c r="AI33" s="142"/>
      <c r="AJ33" s="142"/>
      <c r="AK33" s="169">
        <f t="shared" si="17"/>
        <v>0</v>
      </c>
      <c r="AL33" s="142">
        <v>3547.59</v>
      </c>
      <c r="AM33" s="169">
        <f t="shared" si="4"/>
        <v>0</v>
      </c>
      <c r="AN33" s="142">
        <f t="shared" si="5"/>
        <v>264.32</v>
      </c>
      <c r="AO33" s="142">
        <v>0</v>
      </c>
      <c r="AP33" s="142"/>
      <c r="AQ33" s="142"/>
      <c r="AR33" s="142">
        <v>0</v>
      </c>
      <c r="AS33" s="142">
        <v>0</v>
      </c>
      <c r="AT33" s="145"/>
      <c r="AU33" s="145"/>
      <c r="AV33" s="145"/>
      <c r="AW33" s="145"/>
      <c r="AX33" s="145"/>
      <c r="AY33" s="145">
        <f>VLOOKUP(E33,Table1[[BL NO.]:[Total Value USD]],21,0)</f>
        <v>264.32</v>
      </c>
      <c r="AZ33" s="145">
        <f t="shared" si="18"/>
        <v>0</v>
      </c>
      <c r="BA33" s="9" t="s">
        <v>67</v>
      </c>
      <c r="BB33" s="7" t="s">
        <v>200</v>
      </c>
      <c r="BC33" s="7" t="s">
        <v>198</v>
      </c>
      <c r="BD33" s="7" t="s">
        <v>49</v>
      </c>
      <c r="BE33" s="10" t="s">
        <v>120</v>
      </c>
      <c r="BF33" s="9" t="s">
        <v>74</v>
      </c>
      <c r="BG33" s="146">
        <v>16.52</v>
      </c>
      <c r="BH33" s="146">
        <f t="shared" si="6"/>
        <v>264.32</v>
      </c>
      <c r="BI33" s="147">
        <f t="shared" si="24"/>
        <v>58606.186800000003</v>
      </c>
      <c r="BJ33" s="147">
        <f t="shared" si="21"/>
        <v>3281946.4608</v>
      </c>
      <c r="BK33" s="148">
        <v>42710.4732</v>
      </c>
      <c r="BL33" s="147">
        <f t="shared" si="22"/>
        <v>2391786.4992</v>
      </c>
      <c r="BM33" s="44">
        <v>0</v>
      </c>
      <c r="BN33" s="23">
        <v>3547.59</v>
      </c>
      <c r="BO33" s="10" t="s">
        <v>206</v>
      </c>
      <c r="BP33" s="25" t="s">
        <v>45</v>
      </c>
      <c r="BQ33" s="27" t="s">
        <v>110</v>
      </c>
      <c r="BR33" s="10" t="s">
        <v>176</v>
      </c>
      <c r="BS33" s="27" t="s">
        <v>54</v>
      </c>
      <c r="BT33" s="14"/>
      <c r="BU33" s="14" t="s">
        <v>65</v>
      </c>
      <c r="BV33" s="149" t="s">
        <v>42</v>
      </c>
      <c r="BW33" s="10" t="s">
        <v>61</v>
      </c>
      <c r="BX33" s="150">
        <f t="shared" si="19"/>
        <v>264.32</v>
      </c>
      <c r="BY33" s="154">
        <v>0</v>
      </c>
      <c r="BZ33" s="13">
        <f t="shared" si="10"/>
        <v>264.32</v>
      </c>
      <c r="CA33" s="29">
        <f t="shared" si="11"/>
        <v>1</v>
      </c>
      <c r="CB33" s="25" t="s">
        <v>62</v>
      </c>
      <c r="CC33" s="7"/>
      <c r="CD33" s="7"/>
    </row>
    <row r="34" spans="1:82" x14ac:dyDescent="0.25">
      <c r="A34" s="123">
        <v>45972</v>
      </c>
      <c r="B34" s="6" t="str">
        <f t="shared" si="0"/>
        <v>Nov</v>
      </c>
      <c r="C34" s="39">
        <f t="shared" si="1"/>
        <v>2025</v>
      </c>
      <c r="D34" s="6">
        <v>31</v>
      </c>
      <c r="E34" s="6">
        <v>259338012</v>
      </c>
      <c r="F34" s="6" t="s">
        <v>69</v>
      </c>
      <c r="G34" s="7" t="s">
        <v>70</v>
      </c>
      <c r="H34" s="7" t="s">
        <v>52</v>
      </c>
      <c r="I34" s="7" t="s">
        <v>71</v>
      </c>
      <c r="J34" s="8">
        <v>44</v>
      </c>
      <c r="K34" s="8">
        <f t="shared" si="12"/>
        <v>5</v>
      </c>
      <c r="L34" s="8">
        <f>44-5</f>
        <v>39</v>
      </c>
      <c r="M34" s="152" t="s">
        <v>346</v>
      </c>
      <c r="N34" s="142">
        <v>0</v>
      </c>
      <c r="O34" s="142">
        <v>0</v>
      </c>
      <c r="P34" s="142">
        <v>0</v>
      </c>
      <c r="Q34" s="142">
        <v>0</v>
      </c>
      <c r="R34" s="142">
        <v>44</v>
      </c>
      <c r="S34" s="142">
        <v>5</v>
      </c>
      <c r="T34" s="143">
        <v>0</v>
      </c>
      <c r="U34" s="144">
        <f t="shared" si="23"/>
        <v>39</v>
      </c>
      <c r="V34" s="144"/>
      <c r="W34" s="144"/>
      <c r="X34" s="144">
        <f t="shared" si="14"/>
        <v>0</v>
      </c>
      <c r="Y34" s="144">
        <f t="shared" si="15"/>
        <v>5</v>
      </c>
      <c r="Z34" s="167">
        <v>17.43</v>
      </c>
      <c r="AA34" s="167">
        <f t="shared" si="16"/>
        <v>87.15</v>
      </c>
      <c r="AB34" s="142">
        <f t="shared" si="2"/>
        <v>0</v>
      </c>
      <c r="AC34" s="142"/>
      <c r="AD34" s="142"/>
      <c r="AE34" s="142"/>
      <c r="AF34" s="169">
        <f t="shared" si="20"/>
        <v>0</v>
      </c>
      <c r="AG34" s="142">
        <f t="shared" si="3"/>
        <v>0</v>
      </c>
      <c r="AH34" s="142"/>
      <c r="AI34" s="142"/>
      <c r="AJ34" s="142"/>
      <c r="AK34" s="169">
        <f t="shared" si="17"/>
        <v>0</v>
      </c>
      <c r="AL34" s="142">
        <v>3547.59</v>
      </c>
      <c r="AM34" s="169">
        <f t="shared" si="4"/>
        <v>0</v>
      </c>
      <c r="AN34" s="142">
        <f t="shared" si="5"/>
        <v>87.15</v>
      </c>
      <c r="AO34" s="142">
        <v>0</v>
      </c>
      <c r="AP34" s="142"/>
      <c r="AQ34" s="142"/>
      <c r="AR34" s="142">
        <v>0</v>
      </c>
      <c r="AS34" s="142">
        <v>0</v>
      </c>
      <c r="AT34" s="145"/>
      <c r="AU34" s="145"/>
      <c r="AV34" s="145"/>
      <c r="AW34" s="145"/>
      <c r="AX34" s="145"/>
      <c r="AY34" s="145">
        <f>VLOOKUP(E34,Table1[[BL NO.]:[Total Value USD]],21,0)</f>
        <v>87.15</v>
      </c>
      <c r="AZ34" s="145">
        <f t="shared" si="18"/>
        <v>0</v>
      </c>
      <c r="BA34" s="9" t="s">
        <v>67</v>
      </c>
      <c r="BB34" s="7" t="s">
        <v>200</v>
      </c>
      <c r="BC34" s="7" t="s">
        <v>198</v>
      </c>
      <c r="BD34" s="7" t="s">
        <v>49</v>
      </c>
      <c r="BE34" s="10" t="s">
        <v>121</v>
      </c>
      <c r="BF34" s="9" t="s">
        <v>74</v>
      </c>
      <c r="BG34" s="146">
        <v>17.43</v>
      </c>
      <c r="BH34" s="146">
        <f t="shared" si="6"/>
        <v>87.15</v>
      </c>
      <c r="BI34" s="147">
        <f t="shared" si="24"/>
        <v>61834.493699999999</v>
      </c>
      <c r="BJ34" s="147">
        <f t="shared" si="21"/>
        <v>2411545.2543000001</v>
      </c>
      <c r="BK34" s="148">
        <v>42710.4732</v>
      </c>
      <c r="BL34" s="147">
        <f t="shared" si="22"/>
        <v>1665708.4547999999</v>
      </c>
      <c r="BM34" s="44">
        <v>0</v>
      </c>
      <c r="BN34" s="23">
        <v>3547.59</v>
      </c>
      <c r="BO34" s="10" t="s">
        <v>206</v>
      </c>
      <c r="BP34" s="25" t="s">
        <v>45</v>
      </c>
      <c r="BQ34" s="27" t="s">
        <v>110</v>
      </c>
      <c r="BR34" s="10" t="s">
        <v>176</v>
      </c>
      <c r="BS34" s="27" t="s">
        <v>54</v>
      </c>
      <c r="BT34" s="14"/>
      <c r="BU34" s="14" t="s">
        <v>65</v>
      </c>
      <c r="BV34" s="149" t="s">
        <v>42</v>
      </c>
      <c r="BW34" s="10" t="s">
        <v>61</v>
      </c>
      <c r="BX34" s="150">
        <f t="shared" si="19"/>
        <v>87.15</v>
      </c>
      <c r="BY34" s="154">
        <v>0</v>
      </c>
      <c r="BZ34" s="13">
        <f t="shared" si="10"/>
        <v>87.15</v>
      </c>
      <c r="CA34" s="29">
        <f t="shared" si="11"/>
        <v>1</v>
      </c>
      <c r="CB34" s="25" t="s">
        <v>62</v>
      </c>
      <c r="CC34" s="7"/>
      <c r="CD34" s="7"/>
    </row>
    <row r="35" spans="1:82" x14ac:dyDescent="0.25">
      <c r="A35" s="123">
        <v>45972</v>
      </c>
      <c r="B35" s="6" t="str">
        <f t="shared" si="0"/>
        <v>Nov</v>
      </c>
      <c r="C35" s="39">
        <f t="shared" si="1"/>
        <v>2025</v>
      </c>
      <c r="D35" s="6">
        <v>32</v>
      </c>
      <c r="E35" s="6">
        <v>259649778</v>
      </c>
      <c r="F35" s="6" t="s">
        <v>69</v>
      </c>
      <c r="G35" s="7" t="s">
        <v>70</v>
      </c>
      <c r="H35" s="7" t="s">
        <v>52</v>
      </c>
      <c r="I35" s="7" t="s">
        <v>71</v>
      </c>
      <c r="J35" s="8">
        <v>23</v>
      </c>
      <c r="K35" s="8">
        <f t="shared" si="12"/>
        <v>7</v>
      </c>
      <c r="L35" s="8">
        <f>23-7</f>
        <v>16</v>
      </c>
      <c r="M35" s="152" t="s">
        <v>347</v>
      </c>
      <c r="N35" s="142">
        <v>0</v>
      </c>
      <c r="O35" s="142">
        <v>0</v>
      </c>
      <c r="P35" s="142">
        <v>0</v>
      </c>
      <c r="Q35" s="142">
        <v>0</v>
      </c>
      <c r="R35" s="142">
        <v>23</v>
      </c>
      <c r="S35" s="142">
        <v>7</v>
      </c>
      <c r="T35" s="143">
        <v>0</v>
      </c>
      <c r="U35" s="144">
        <f t="shared" si="23"/>
        <v>16</v>
      </c>
      <c r="V35" s="144"/>
      <c r="W35" s="144"/>
      <c r="X35" s="144">
        <f t="shared" si="14"/>
        <v>0</v>
      </c>
      <c r="Y35" s="144">
        <f t="shared" si="15"/>
        <v>7</v>
      </c>
      <c r="Z35" s="167">
        <v>17.43</v>
      </c>
      <c r="AA35" s="167">
        <f t="shared" si="16"/>
        <v>122.00999999999999</v>
      </c>
      <c r="AB35" s="142">
        <f t="shared" si="2"/>
        <v>0</v>
      </c>
      <c r="AC35" s="142"/>
      <c r="AD35" s="142"/>
      <c r="AE35" s="142"/>
      <c r="AF35" s="169">
        <f t="shared" si="20"/>
        <v>0</v>
      </c>
      <c r="AG35" s="142">
        <f t="shared" ref="AG35:AG66" si="25">T35</f>
        <v>0</v>
      </c>
      <c r="AH35" s="142"/>
      <c r="AI35" s="142"/>
      <c r="AJ35" s="142"/>
      <c r="AK35" s="169">
        <f t="shared" si="17"/>
        <v>0</v>
      </c>
      <c r="AL35" s="142">
        <v>3547.59</v>
      </c>
      <c r="AM35" s="169">
        <f t="shared" ref="AM35:AM66" si="26">AF35+AK35</f>
        <v>0</v>
      </c>
      <c r="AN35" s="142">
        <f t="shared" ref="AN35:AN66" si="27">AA35-AM35</f>
        <v>122.00999999999999</v>
      </c>
      <c r="AO35" s="142">
        <v>0</v>
      </c>
      <c r="AP35" s="142"/>
      <c r="AQ35" s="142"/>
      <c r="AR35" s="142">
        <v>0</v>
      </c>
      <c r="AS35" s="142">
        <v>0</v>
      </c>
      <c r="AT35" s="145"/>
      <c r="AU35" s="145"/>
      <c r="AV35" s="145"/>
      <c r="AW35" s="145"/>
      <c r="AX35" s="145"/>
      <c r="AY35" s="145">
        <f>VLOOKUP(E35,Table1[[BL NO.]:[Total Value USD]],21,0)</f>
        <v>122.00999999999999</v>
      </c>
      <c r="AZ35" s="145">
        <f t="shared" si="18"/>
        <v>0</v>
      </c>
      <c r="BA35" s="9" t="s">
        <v>67</v>
      </c>
      <c r="BB35" s="7" t="s">
        <v>200</v>
      </c>
      <c r="BC35" s="7" t="s">
        <v>198</v>
      </c>
      <c r="BD35" s="7" t="s">
        <v>49</v>
      </c>
      <c r="BE35" s="10" t="s">
        <v>122</v>
      </c>
      <c r="BF35" s="9" t="s">
        <v>74</v>
      </c>
      <c r="BG35" s="146">
        <v>17.43</v>
      </c>
      <c r="BH35" s="146">
        <f t="shared" ref="BH35:BH66" si="28">BG35*K35</f>
        <v>122.00999999999999</v>
      </c>
      <c r="BI35" s="147">
        <f t="shared" si="24"/>
        <v>61834.493699999999</v>
      </c>
      <c r="BJ35" s="147">
        <f t="shared" si="21"/>
        <v>989351.89919999999</v>
      </c>
      <c r="BK35" s="148">
        <v>42710.4732</v>
      </c>
      <c r="BL35" s="147">
        <f t="shared" si="22"/>
        <v>683367.57120000001</v>
      </c>
      <c r="BM35" s="44">
        <v>0</v>
      </c>
      <c r="BN35" s="23">
        <v>3547.59</v>
      </c>
      <c r="BO35" s="10" t="s">
        <v>206</v>
      </c>
      <c r="BP35" s="25" t="s">
        <v>45</v>
      </c>
      <c r="BQ35" s="27" t="s">
        <v>110</v>
      </c>
      <c r="BR35" s="10" t="s">
        <v>176</v>
      </c>
      <c r="BS35" s="27" t="s">
        <v>54</v>
      </c>
      <c r="BT35" s="14"/>
      <c r="BU35" s="14" t="s">
        <v>65</v>
      </c>
      <c r="BV35" s="149" t="s">
        <v>42</v>
      </c>
      <c r="BW35" s="10" t="s">
        <v>61</v>
      </c>
      <c r="BX35" s="150">
        <f t="shared" si="19"/>
        <v>122.00999999999999</v>
      </c>
      <c r="BY35" s="154">
        <v>0</v>
      </c>
      <c r="BZ35" s="13">
        <f t="shared" si="10"/>
        <v>122.00999999999999</v>
      </c>
      <c r="CA35" s="29">
        <f t="shared" si="11"/>
        <v>1</v>
      </c>
      <c r="CB35" s="25" t="s">
        <v>62</v>
      </c>
      <c r="CC35" s="7"/>
      <c r="CD35" s="7"/>
    </row>
    <row r="36" spans="1:82" x14ac:dyDescent="0.25">
      <c r="A36" s="125">
        <v>45978</v>
      </c>
      <c r="B36" s="6" t="str">
        <f t="shared" si="0"/>
        <v>Nov</v>
      </c>
      <c r="C36" s="39">
        <f t="shared" si="1"/>
        <v>2025</v>
      </c>
      <c r="D36" s="6">
        <v>33</v>
      </c>
      <c r="E36" s="6" t="s">
        <v>229</v>
      </c>
      <c r="F36" s="6" t="s">
        <v>69</v>
      </c>
      <c r="G36" s="7" t="s">
        <v>70</v>
      </c>
      <c r="H36" s="7" t="s">
        <v>52</v>
      </c>
      <c r="I36" s="7" t="s">
        <v>71</v>
      </c>
      <c r="J36" s="8">
        <v>84</v>
      </c>
      <c r="K36" s="8">
        <f t="shared" si="12"/>
        <v>19</v>
      </c>
      <c r="L36" s="8">
        <f>84-19</f>
        <v>65</v>
      </c>
      <c r="M36" s="152" t="s">
        <v>348</v>
      </c>
      <c r="N36" s="142">
        <v>0</v>
      </c>
      <c r="O36" s="142">
        <v>0</v>
      </c>
      <c r="P36" s="142">
        <v>0</v>
      </c>
      <c r="Q36" s="142">
        <v>0</v>
      </c>
      <c r="R36" s="142">
        <v>84</v>
      </c>
      <c r="S36" s="142">
        <v>19</v>
      </c>
      <c r="T36" s="143">
        <v>0</v>
      </c>
      <c r="U36" s="144">
        <f t="shared" si="23"/>
        <v>65</v>
      </c>
      <c r="V36" s="144"/>
      <c r="W36" s="144"/>
      <c r="X36" s="144">
        <f t="shared" si="14"/>
        <v>0</v>
      </c>
      <c r="Y36" s="144">
        <f t="shared" si="15"/>
        <v>19</v>
      </c>
      <c r="Z36" s="167">
        <v>16.52</v>
      </c>
      <c r="AA36" s="167">
        <f t="shared" si="16"/>
        <v>313.88</v>
      </c>
      <c r="AB36" s="142">
        <f t="shared" si="2"/>
        <v>0</v>
      </c>
      <c r="AC36" s="142"/>
      <c r="AD36" s="142"/>
      <c r="AE36" s="142"/>
      <c r="AF36" s="169">
        <f t="shared" si="20"/>
        <v>0</v>
      </c>
      <c r="AG36" s="142">
        <f t="shared" si="25"/>
        <v>0</v>
      </c>
      <c r="AH36" s="142"/>
      <c r="AI36" s="142"/>
      <c r="AJ36" s="142"/>
      <c r="AK36" s="169">
        <f t="shared" si="17"/>
        <v>0</v>
      </c>
      <c r="AL36" s="142">
        <v>3547.59</v>
      </c>
      <c r="AM36" s="169">
        <f t="shared" si="26"/>
        <v>0</v>
      </c>
      <c r="AN36" s="142">
        <f t="shared" si="27"/>
        <v>313.88</v>
      </c>
      <c r="AO36" s="142">
        <v>0</v>
      </c>
      <c r="AP36" s="142"/>
      <c r="AQ36" s="142"/>
      <c r="AR36" s="142">
        <v>0</v>
      </c>
      <c r="AS36" s="142">
        <v>0</v>
      </c>
      <c r="AT36" s="145"/>
      <c r="AU36" s="145"/>
      <c r="AV36" s="145"/>
      <c r="AW36" s="145"/>
      <c r="AX36" s="145"/>
      <c r="AY36" s="145">
        <f>VLOOKUP(E36,Table1[[BL NO.]:[Total Value USD]],21,0)</f>
        <v>313.88</v>
      </c>
      <c r="AZ36" s="145">
        <f t="shared" si="18"/>
        <v>0</v>
      </c>
      <c r="BA36" s="9" t="s">
        <v>67</v>
      </c>
      <c r="BB36" s="7" t="s">
        <v>200</v>
      </c>
      <c r="BC36" s="7" t="s">
        <v>198</v>
      </c>
      <c r="BD36" s="7" t="s">
        <v>49</v>
      </c>
      <c r="BE36" s="10" t="s">
        <v>123</v>
      </c>
      <c r="BF36" s="9" t="s">
        <v>74</v>
      </c>
      <c r="BG36" s="146">
        <v>16.52</v>
      </c>
      <c r="BH36" s="146">
        <f t="shared" si="28"/>
        <v>313.88</v>
      </c>
      <c r="BI36" s="147">
        <f t="shared" si="24"/>
        <v>58606.186800000003</v>
      </c>
      <c r="BJ36" s="147">
        <f t="shared" si="21"/>
        <v>3809402.142</v>
      </c>
      <c r="BK36" s="148">
        <v>42710.4732</v>
      </c>
      <c r="BL36" s="147">
        <f t="shared" si="22"/>
        <v>2776180.7579999999</v>
      </c>
      <c r="BM36" s="44">
        <v>0</v>
      </c>
      <c r="BN36" s="23">
        <v>3547.59</v>
      </c>
      <c r="BO36" s="10" t="s">
        <v>206</v>
      </c>
      <c r="BP36" s="25" t="s">
        <v>45</v>
      </c>
      <c r="BQ36" s="27" t="s">
        <v>110</v>
      </c>
      <c r="BR36" s="10" t="s">
        <v>176</v>
      </c>
      <c r="BS36" s="27" t="s">
        <v>54</v>
      </c>
      <c r="BT36" s="14"/>
      <c r="BU36" s="14" t="s">
        <v>65</v>
      </c>
      <c r="BV36" s="149" t="s">
        <v>42</v>
      </c>
      <c r="BW36" s="14" t="s">
        <v>61</v>
      </c>
      <c r="BX36" s="150">
        <f t="shared" si="19"/>
        <v>313.88</v>
      </c>
      <c r="BY36" s="154">
        <v>0</v>
      </c>
      <c r="BZ36" s="13">
        <f t="shared" si="10"/>
        <v>313.88</v>
      </c>
      <c r="CA36" s="29">
        <f t="shared" si="11"/>
        <v>1</v>
      </c>
      <c r="CB36" s="23" t="s">
        <v>62</v>
      </c>
      <c r="CC36" s="7"/>
      <c r="CD36" s="7"/>
    </row>
    <row r="37" spans="1:82" x14ac:dyDescent="0.25">
      <c r="A37" s="125">
        <v>45979</v>
      </c>
      <c r="B37" s="6" t="str">
        <f t="shared" si="0"/>
        <v>Nov</v>
      </c>
      <c r="C37" s="39">
        <f t="shared" si="1"/>
        <v>2025</v>
      </c>
      <c r="D37" s="6">
        <v>34</v>
      </c>
      <c r="E37" s="6" t="s">
        <v>230</v>
      </c>
      <c r="F37" s="6" t="s">
        <v>69</v>
      </c>
      <c r="G37" s="7" t="s">
        <v>70</v>
      </c>
      <c r="H37" s="7" t="s">
        <v>52</v>
      </c>
      <c r="I37" s="7" t="s">
        <v>71</v>
      </c>
      <c r="J37" s="8">
        <v>57</v>
      </c>
      <c r="K37" s="8">
        <f t="shared" si="12"/>
        <v>8</v>
      </c>
      <c r="L37" s="8">
        <f>57-8</f>
        <v>49</v>
      </c>
      <c r="M37" s="152" t="s">
        <v>349</v>
      </c>
      <c r="N37" s="142">
        <v>0</v>
      </c>
      <c r="O37" s="142">
        <v>0</v>
      </c>
      <c r="P37" s="142">
        <v>0</v>
      </c>
      <c r="Q37" s="142">
        <v>0</v>
      </c>
      <c r="R37" s="142">
        <v>57</v>
      </c>
      <c r="S37" s="142">
        <v>8</v>
      </c>
      <c r="T37" s="143">
        <v>0</v>
      </c>
      <c r="U37" s="144">
        <f t="shared" si="23"/>
        <v>49</v>
      </c>
      <c r="V37" s="144"/>
      <c r="W37" s="144"/>
      <c r="X37" s="144">
        <f t="shared" si="14"/>
        <v>0</v>
      </c>
      <c r="Y37" s="144">
        <f t="shared" si="15"/>
        <v>8</v>
      </c>
      <c r="Z37" s="167">
        <v>16.52</v>
      </c>
      <c r="AA37" s="167">
        <f t="shared" si="16"/>
        <v>132.16</v>
      </c>
      <c r="AB37" s="142">
        <f t="shared" si="2"/>
        <v>0</v>
      </c>
      <c r="AC37" s="142"/>
      <c r="AD37" s="142"/>
      <c r="AE37" s="142"/>
      <c r="AF37" s="169">
        <f t="shared" si="20"/>
        <v>0</v>
      </c>
      <c r="AG37" s="142">
        <f t="shared" si="25"/>
        <v>0</v>
      </c>
      <c r="AH37" s="142"/>
      <c r="AI37" s="142"/>
      <c r="AJ37" s="142"/>
      <c r="AK37" s="169">
        <f t="shared" si="17"/>
        <v>0</v>
      </c>
      <c r="AL37" s="142">
        <v>3547.59</v>
      </c>
      <c r="AM37" s="169">
        <f t="shared" si="26"/>
        <v>0</v>
      </c>
      <c r="AN37" s="142">
        <f t="shared" si="27"/>
        <v>132.16</v>
      </c>
      <c r="AO37" s="142">
        <v>0</v>
      </c>
      <c r="AP37" s="142"/>
      <c r="AQ37" s="142"/>
      <c r="AR37" s="142">
        <v>0</v>
      </c>
      <c r="AS37" s="142">
        <v>0</v>
      </c>
      <c r="AT37" s="145"/>
      <c r="AU37" s="145"/>
      <c r="AV37" s="145"/>
      <c r="AW37" s="145"/>
      <c r="AX37" s="145"/>
      <c r="AY37" s="145">
        <f>VLOOKUP(E37,Table1[[BL NO.]:[Total Value USD]],21,0)</f>
        <v>132.16</v>
      </c>
      <c r="AZ37" s="145">
        <f t="shared" si="18"/>
        <v>0</v>
      </c>
      <c r="BA37" s="9" t="s">
        <v>67</v>
      </c>
      <c r="BB37" s="7" t="s">
        <v>200</v>
      </c>
      <c r="BC37" s="7" t="s">
        <v>198</v>
      </c>
      <c r="BD37" s="7" t="s">
        <v>49</v>
      </c>
      <c r="BE37" s="10" t="s">
        <v>124</v>
      </c>
      <c r="BF37" s="9" t="s">
        <v>74</v>
      </c>
      <c r="BG37" s="146">
        <v>16.52</v>
      </c>
      <c r="BH37" s="146">
        <f t="shared" si="28"/>
        <v>132.16</v>
      </c>
      <c r="BI37" s="147">
        <f t="shared" si="24"/>
        <v>58606.186800000003</v>
      </c>
      <c r="BJ37" s="147">
        <f t="shared" si="21"/>
        <v>2871703.1532000001</v>
      </c>
      <c r="BK37" s="148">
        <v>42711.4732</v>
      </c>
      <c r="BL37" s="147">
        <f t="shared" si="22"/>
        <v>2092862.1868</v>
      </c>
      <c r="BM37" s="44">
        <v>0</v>
      </c>
      <c r="BN37" s="23">
        <v>3547.59</v>
      </c>
      <c r="BO37" s="10" t="s">
        <v>206</v>
      </c>
      <c r="BP37" s="25" t="s">
        <v>45</v>
      </c>
      <c r="BQ37" s="27" t="s">
        <v>110</v>
      </c>
      <c r="BR37" s="10" t="s">
        <v>176</v>
      </c>
      <c r="BS37" s="27" t="s">
        <v>54</v>
      </c>
      <c r="BT37" s="14"/>
      <c r="BU37" s="14" t="s">
        <v>65</v>
      </c>
      <c r="BV37" s="149" t="s">
        <v>42</v>
      </c>
      <c r="BW37" s="14" t="s">
        <v>61</v>
      </c>
      <c r="BX37" s="150">
        <f t="shared" si="19"/>
        <v>132.16</v>
      </c>
      <c r="BY37" s="154">
        <v>0</v>
      </c>
      <c r="BZ37" s="13">
        <f t="shared" si="10"/>
        <v>132.16</v>
      </c>
      <c r="CA37" s="29">
        <f t="shared" si="11"/>
        <v>1</v>
      </c>
      <c r="CB37" s="23" t="s">
        <v>62</v>
      </c>
      <c r="CC37" s="7"/>
      <c r="CD37" s="7"/>
    </row>
    <row r="38" spans="1:82" x14ac:dyDescent="0.25">
      <c r="A38" s="125">
        <v>45993</v>
      </c>
      <c r="B38" s="6" t="str">
        <f t="shared" si="0"/>
        <v>Dec</v>
      </c>
      <c r="C38" s="39">
        <f t="shared" si="1"/>
        <v>2025</v>
      </c>
      <c r="D38" s="6">
        <v>35</v>
      </c>
      <c r="E38" s="195">
        <v>257625599</v>
      </c>
      <c r="F38" s="6" t="s">
        <v>69</v>
      </c>
      <c r="G38" s="7" t="s">
        <v>70</v>
      </c>
      <c r="H38" s="7" t="s">
        <v>52</v>
      </c>
      <c r="I38" s="7" t="s">
        <v>71</v>
      </c>
      <c r="J38" s="116">
        <v>35</v>
      </c>
      <c r="K38" s="8">
        <f t="shared" si="12"/>
        <v>9</v>
      </c>
      <c r="L38" s="8">
        <f>35-9</f>
        <v>26</v>
      </c>
      <c r="M38" s="152" t="s">
        <v>350</v>
      </c>
      <c r="N38" s="142">
        <v>0</v>
      </c>
      <c r="O38" s="142">
        <v>0</v>
      </c>
      <c r="P38" s="142">
        <v>0</v>
      </c>
      <c r="Q38" s="142">
        <v>0</v>
      </c>
      <c r="R38" s="142">
        <v>35</v>
      </c>
      <c r="S38" s="142">
        <v>9</v>
      </c>
      <c r="T38" s="143">
        <v>0</v>
      </c>
      <c r="U38" s="144">
        <f t="shared" si="23"/>
        <v>26</v>
      </c>
      <c r="V38" s="144"/>
      <c r="W38" s="144"/>
      <c r="X38" s="144">
        <f t="shared" si="14"/>
        <v>0</v>
      </c>
      <c r="Y38" s="144">
        <f t="shared" si="15"/>
        <v>9</v>
      </c>
      <c r="Z38" s="167">
        <v>17.744</v>
      </c>
      <c r="AA38" s="167">
        <f t="shared" si="16"/>
        <v>159.696</v>
      </c>
      <c r="AB38" s="142">
        <f t="shared" si="2"/>
        <v>0</v>
      </c>
      <c r="AC38" s="142"/>
      <c r="AD38" s="142"/>
      <c r="AE38" s="142"/>
      <c r="AF38" s="169">
        <f t="shared" si="20"/>
        <v>0</v>
      </c>
      <c r="AG38" s="142">
        <f t="shared" si="25"/>
        <v>0</v>
      </c>
      <c r="AH38" s="142"/>
      <c r="AI38" s="142"/>
      <c r="AJ38" s="142"/>
      <c r="AK38" s="169">
        <f t="shared" si="17"/>
        <v>0</v>
      </c>
      <c r="AL38" s="142">
        <v>3575.18</v>
      </c>
      <c r="AM38" s="169">
        <f t="shared" si="26"/>
        <v>0</v>
      </c>
      <c r="AN38" s="142">
        <f t="shared" si="27"/>
        <v>159.696</v>
      </c>
      <c r="AO38" s="142">
        <v>0</v>
      </c>
      <c r="AP38" s="142"/>
      <c r="AQ38" s="142"/>
      <c r="AR38" s="142">
        <v>0</v>
      </c>
      <c r="AS38" s="142">
        <v>0</v>
      </c>
      <c r="AT38" s="145"/>
      <c r="AU38" s="145"/>
      <c r="AV38" s="145"/>
      <c r="AW38" s="145"/>
      <c r="AX38" s="145"/>
      <c r="AY38" s="145">
        <f>VLOOKUP(E38,Table1[[BL NO.]:[Total Value USD]],21,0)</f>
        <v>159.696</v>
      </c>
      <c r="AZ38" s="145">
        <f t="shared" si="18"/>
        <v>0</v>
      </c>
      <c r="BA38" s="9" t="s">
        <v>67</v>
      </c>
      <c r="BB38" s="7" t="s">
        <v>200</v>
      </c>
      <c r="BC38" s="7" t="s">
        <v>198</v>
      </c>
      <c r="BD38" s="7" t="s">
        <v>49</v>
      </c>
      <c r="BE38" s="10" t="s">
        <v>125</v>
      </c>
      <c r="BF38" s="9" t="s">
        <v>74</v>
      </c>
      <c r="BG38" s="146">
        <v>17.744</v>
      </c>
      <c r="BH38" s="146">
        <f t="shared" si="28"/>
        <v>159.696</v>
      </c>
      <c r="BI38" s="147">
        <f t="shared" si="24"/>
        <v>63437.993919999994</v>
      </c>
      <c r="BJ38" s="147">
        <f t="shared" si="21"/>
        <v>1649387.8419199998</v>
      </c>
      <c r="BK38" s="148">
        <v>23264.08728</v>
      </c>
      <c r="BL38" s="147">
        <f t="shared" si="22"/>
        <v>604866.26928000001</v>
      </c>
      <c r="BM38" s="44">
        <v>0</v>
      </c>
      <c r="BN38" s="23">
        <v>3575.18</v>
      </c>
      <c r="BO38" s="10" t="s">
        <v>206</v>
      </c>
      <c r="BP38" s="25" t="s">
        <v>45</v>
      </c>
      <c r="BQ38" s="27" t="s">
        <v>110</v>
      </c>
      <c r="BR38" s="10" t="s">
        <v>176</v>
      </c>
      <c r="BS38" s="27" t="s">
        <v>54</v>
      </c>
      <c r="BT38" s="14"/>
      <c r="BU38" s="14" t="s">
        <v>65</v>
      </c>
      <c r="BV38" s="149" t="s">
        <v>42</v>
      </c>
      <c r="BW38" s="14" t="s">
        <v>61</v>
      </c>
      <c r="BX38" s="150">
        <f t="shared" si="19"/>
        <v>159.696</v>
      </c>
      <c r="BY38" s="154">
        <v>0</v>
      </c>
      <c r="BZ38" s="13">
        <f t="shared" si="10"/>
        <v>159.696</v>
      </c>
      <c r="CA38" s="29">
        <f t="shared" si="11"/>
        <v>1</v>
      </c>
      <c r="CB38" s="25" t="s">
        <v>62</v>
      </c>
      <c r="CC38" s="7" t="s">
        <v>351</v>
      </c>
      <c r="CD38" s="7"/>
    </row>
    <row r="39" spans="1:82" x14ac:dyDescent="0.25">
      <c r="A39" s="125">
        <v>45993</v>
      </c>
      <c r="B39" s="6" t="str">
        <f t="shared" si="0"/>
        <v>Dec</v>
      </c>
      <c r="C39" s="39">
        <f t="shared" si="1"/>
        <v>2025</v>
      </c>
      <c r="D39" s="6">
        <v>36</v>
      </c>
      <c r="E39" s="195">
        <v>257625490</v>
      </c>
      <c r="F39" s="6" t="s">
        <v>69</v>
      </c>
      <c r="G39" s="7" t="s">
        <v>70</v>
      </c>
      <c r="H39" s="7" t="s">
        <v>52</v>
      </c>
      <c r="I39" s="7" t="s">
        <v>71</v>
      </c>
      <c r="J39" s="116">
        <v>37</v>
      </c>
      <c r="K39" s="8">
        <f t="shared" si="12"/>
        <v>17</v>
      </c>
      <c r="L39" s="8">
        <f>37-13</f>
        <v>24</v>
      </c>
      <c r="M39" s="152" t="s">
        <v>352</v>
      </c>
      <c r="N39" s="142">
        <v>4</v>
      </c>
      <c r="O39" s="142">
        <v>0</v>
      </c>
      <c r="P39" s="142">
        <v>0</v>
      </c>
      <c r="Q39" s="142">
        <v>0</v>
      </c>
      <c r="R39" s="142">
        <v>33</v>
      </c>
      <c r="S39" s="142">
        <v>13</v>
      </c>
      <c r="T39" s="143">
        <v>0</v>
      </c>
      <c r="U39" s="144">
        <f t="shared" si="23"/>
        <v>20</v>
      </c>
      <c r="V39" s="144"/>
      <c r="W39" s="144"/>
      <c r="X39" s="144">
        <f t="shared" si="14"/>
        <v>0</v>
      </c>
      <c r="Y39" s="144">
        <f t="shared" si="15"/>
        <v>17</v>
      </c>
      <c r="Z39" s="167">
        <v>17.744</v>
      </c>
      <c r="AA39" s="167">
        <f t="shared" si="16"/>
        <v>301.64800000000002</v>
      </c>
      <c r="AB39" s="142">
        <f t="shared" si="2"/>
        <v>4</v>
      </c>
      <c r="AC39" s="142"/>
      <c r="AD39" s="142"/>
      <c r="AE39" s="142"/>
      <c r="AF39" s="169">
        <f t="shared" ref="AF39:AF74" si="29">AD39/AL39</f>
        <v>0</v>
      </c>
      <c r="AG39" s="142">
        <f t="shared" si="25"/>
        <v>0</v>
      </c>
      <c r="AH39" s="142"/>
      <c r="AI39" s="142"/>
      <c r="AJ39" s="142"/>
      <c r="AK39" s="169">
        <f t="shared" si="17"/>
        <v>0</v>
      </c>
      <c r="AL39" s="142">
        <v>3575.18</v>
      </c>
      <c r="AM39" s="169">
        <f t="shared" si="26"/>
        <v>0</v>
      </c>
      <c r="AN39" s="142">
        <f t="shared" si="27"/>
        <v>301.64800000000002</v>
      </c>
      <c r="AO39" s="142">
        <v>0</v>
      </c>
      <c r="AP39" s="142"/>
      <c r="AQ39" s="142"/>
      <c r="AR39" s="142">
        <v>0</v>
      </c>
      <c r="AS39" s="142">
        <v>0</v>
      </c>
      <c r="AT39" s="145"/>
      <c r="AU39" s="145"/>
      <c r="AV39" s="145"/>
      <c r="AW39" s="145"/>
      <c r="AX39" s="145"/>
      <c r="AY39" s="145">
        <f>VLOOKUP(E39,Table1[[BL NO.]:[Total Value USD]],21,0)</f>
        <v>301.64800000000002</v>
      </c>
      <c r="AZ39" s="145">
        <f t="shared" si="18"/>
        <v>0</v>
      </c>
      <c r="BA39" s="9" t="s">
        <v>67</v>
      </c>
      <c r="BB39" s="7" t="s">
        <v>200</v>
      </c>
      <c r="BC39" s="7" t="s">
        <v>198</v>
      </c>
      <c r="BD39" s="7" t="s">
        <v>49</v>
      </c>
      <c r="BE39" s="10" t="s">
        <v>126</v>
      </c>
      <c r="BF39" s="9" t="s">
        <v>74</v>
      </c>
      <c r="BG39" s="146">
        <v>17.744</v>
      </c>
      <c r="BH39" s="146">
        <f t="shared" si="28"/>
        <v>301.64800000000002</v>
      </c>
      <c r="BI39" s="147">
        <f t="shared" si="24"/>
        <v>63437.993919999994</v>
      </c>
      <c r="BJ39" s="147">
        <f t="shared" si="21"/>
        <v>1522511.85408</v>
      </c>
      <c r="BK39" s="148">
        <v>23264.08728</v>
      </c>
      <c r="BL39" s="147">
        <f t="shared" si="22"/>
        <v>558338.09471999994</v>
      </c>
      <c r="BM39" s="44">
        <v>0</v>
      </c>
      <c r="BN39" s="23">
        <v>3575.18</v>
      </c>
      <c r="BO39" s="10" t="s">
        <v>206</v>
      </c>
      <c r="BP39" s="25" t="s">
        <v>45</v>
      </c>
      <c r="BQ39" s="27" t="s">
        <v>110</v>
      </c>
      <c r="BR39" s="10" t="s">
        <v>176</v>
      </c>
      <c r="BS39" s="27" t="s">
        <v>54</v>
      </c>
      <c r="BT39" s="14"/>
      <c r="BU39" s="14" t="s">
        <v>65</v>
      </c>
      <c r="BV39" s="149" t="s">
        <v>42</v>
      </c>
      <c r="BW39" s="14" t="s">
        <v>61</v>
      </c>
      <c r="BX39" s="150">
        <f t="shared" si="19"/>
        <v>301.64800000000002</v>
      </c>
      <c r="BY39" s="154">
        <v>0</v>
      </c>
      <c r="BZ39" s="13">
        <f t="shared" si="10"/>
        <v>301.64800000000002</v>
      </c>
      <c r="CA39" s="29">
        <f t="shared" si="11"/>
        <v>1</v>
      </c>
      <c r="CB39" s="25" t="s">
        <v>62</v>
      </c>
      <c r="CC39" s="7" t="s">
        <v>353</v>
      </c>
      <c r="CD39" s="7"/>
    </row>
    <row r="40" spans="1:82" x14ac:dyDescent="0.25">
      <c r="A40" s="123">
        <v>45993</v>
      </c>
      <c r="B40" s="6" t="str">
        <f t="shared" si="0"/>
        <v>Dec</v>
      </c>
      <c r="C40" s="39">
        <f t="shared" si="1"/>
        <v>2025</v>
      </c>
      <c r="D40" s="6">
        <v>37</v>
      </c>
      <c r="E40" s="195">
        <v>257906213</v>
      </c>
      <c r="F40" s="6" t="s">
        <v>69</v>
      </c>
      <c r="G40" s="7" t="s">
        <v>70</v>
      </c>
      <c r="H40" s="7" t="s">
        <v>52</v>
      </c>
      <c r="I40" s="7" t="s">
        <v>71</v>
      </c>
      <c r="J40" s="116">
        <f>24+28</f>
        <v>52</v>
      </c>
      <c r="K40" s="8">
        <f t="shared" si="12"/>
        <v>6</v>
      </c>
      <c r="L40" s="8">
        <f>52-6</f>
        <v>46</v>
      </c>
      <c r="M40" s="152" t="s">
        <v>354</v>
      </c>
      <c r="N40" s="142">
        <v>0</v>
      </c>
      <c r="O40" s="142">
        <v>0</v>
      </c>
      <c r="P40" s="142">
        <v>0</v>
      </c>
      <c r="Q40" s="142">
        <v>24</v>
      </c>
      <c r="R40" s="142">
        <f>28</f>
        <v>28</v>
      </c>
      <c r="S40" s="142">
        <f>5+1</f>
        <v>6</v>
      </c>
      <c r="T40" s="143">
        <v>0</v>
      </c>
      <c r="U40" s="144">
        <f t="shared" si="23"/>
        <v>22</v>
      </c>
      <c r="V40" s="144"/>
      <c r="W40" s="144"/>
      <c r="X40" s="144">
        <f t="shared" si="14"/>
        <v>24</v>
      </c>
      <c r="Y40" s="144">
        <f t="shared" si="15"/>
        <v>6</v>
      </c>
      <c r="Z40" s="167">
        <v>17.744</v>
      </c>
      <c r="AA40" s="167">
        <f t="shared" si="16"/>
        <v>106.464</v>
      </c>
      <c r="AB40" s="142">
        <f t="shared" si="2"/>
        <v>0</v>
      </c>
      <c r="AC40" s="142"/>
      <c r="AD40" s="142"/>
      <c r="AE40" s="142"/>
      <c r="AF40" s="169">
        <f t="shared" si="29"/>
        <v>0</v>
      </c>
      <c r="AG40" s="142">
        <f t="shared" si="25"/>
        <v>0</v>
      </c>
      <c r="AH40" s="142"/>
      <c r="AI40" s="142"/>
      <c r="AJ40" s="142"/>
      <c r="AK40" s="169">
        <f t="shared" si="17"/>
        <v>0</v>
      </c>
      <c r="AL40" s="142">
        <v>3575.18</v>
      </c>
      <c r="AM40" s="169">
        <f t="shared" si="26"/>
        <v>0</v>
      </c>
      <c r="AN40" s="142">
        <f t="shared" si="27"/>
        <v>106.464</v>
      </c>
      <c r="AO40" s="142">
        <v>24</v>
      </c>
      <c r="AP40" s="142"/>
      <c r="AQ40" s="142"/>
      <c r="AR40" s="142">
        <v>0</v>
      </c>
      <c r="AS40" s="142">
        <v>0</v>
      </c>
      <c r="AT40" s="145"/>
      <c r="AU40" s="145"/>
      <c r="AV40" s="145"/>
      <c r="AW40" s="145"/>
      <c r="AX40" s="145"/>
      <c r="AY40" s="145">
        <f>VLOOKUP(E40,Table1[[BL NO.]:[Total Value USD]],21,0)</f>
        <v>106.464</v>
      </c>
      <c r="AZ40" s="145">
        <f t="shared" si="18"/>
        <v>0</v>
      </c>
      <c r="BA40" s="9" t="s">
        <v>67</v>
      </c>
      <c r="BB40" s="7" t="s">
        <v>200</v>
      </c>
      <c r="BC40" s="7" t="s">
        <v>198</v>
      </c>
      <c r="BD40" s="7" t="s">
        <v>49</v>
      </c>
      <c r="BE40" s="10" t="s">
        <v>180</v>
      </c>
      <c r="BF40" s="9" t="s">
        <v>74</v>
      </c>
      <c r="BG40" s="146">
        <v>17.744</v>
      </c>
      <c r="BH40" s="146">
        <f t="shared" si="28"/>
        <v>106.464</v>
      </c>
      <c r="BI40" s="147">
        <f t="shared" si="24"/>
        <v>63437.993919999994</v>
      </c>
      <c r="BJ40" s="147">
        <f t="shared" si="21"/>
        <v>2918147.7203199998</v>
      </c>
      <c r="BK40" s="148">
        <v>23264.08728</v>
      </c>
      <c r="BL40" s="147">
        <f t="shared" si="22"/>
        <v>1070148.0148799999</v>
      </c>
      <c r="BM40" s="44">
        <v>0</v>
      </c>
      <c r="BN40" s="23">
        <v>3575.18</v>
      </c>
      <c r="BO40" s="10" t="s">
        <v>206</v>
      </c>
      <c r="BP40" s="25" t="s">
        <v>45</v>
      </c>
      <c r="BQ40" s="27" t="s">
        <v>110</v>
      </c>
      <c r="BR40" s="10" t="s">
        <v>176</v>
      </c>
      <c r="BS40" s="27" t="s">
        <v>54</v>
      </c>
      <c r="BT40" s="14"/>
      <c r="BU40" s="118" t="s">
        <v>65</v>
      </c>
      <c r="BV40" s="149" t="s">
        <v>42</v>
      </c>
      <c r="BW40" s="14" t="s">
        <v>61</v>
      </c>
      <c r="BX40" s="150">
        <f t="shared" si="19"/>
        <v>106.464</v>
      </c>
      <c r="BY40" s="154">
        <v>0</v>
      </c>
      <c r="BZ40" s="13">
        <f t="shared" si="10"/>
        <v>106.464</v>
      </c>
      <c r="CA40" s="29">
        <f t="shared" si="11"/>
        <v>1</v>
      </c>
      <c r="CB40" s="25" t="s">
        <v>62</v>
      </c>
      <c r="CC40" s="7" t="s">
        <v>355</v>
      </c>
      <c r="CD40" s="7"/>
    </row>
    <row r="41" spans="1:82" x14ac:dyDescent="0.25">
      <c r="A41" s="123">
        <v>46006</v>
      </c>
      <c r="B41" s="6" t="str">
        <f t="shared" si="0"/>
        <v>Dec</v>
      </c>
      <c r="C41" s="39">
        <f t="shared" si="1"/>
        <v>2025</v>
      </c>
      <c r="D41" s="6">
        <v>38</v>
      </c>
      <c r="E41" s="6" t="s">
        <v>231</v>
      </c>
      <c r="F41" s="6" t="s">
        <v>69</v>
      </c>
      <c r="G41" s="7" t="s">
        <v>70</v>
      </c>
      <c r="H41" s="7" t="s">
        <v>52</v>
      </c>
      <c r="I41" s="7" t="s">
        <v>71</v>
      </c>
      <c r="J41" s="8">
        <v>55</v>
      </c>
      <c r="K41" s="8">
        <f t="shared" si="12"/>
        <v>8</v>
      </c>
      <c r="L41" s="8">
        <v>47</v>
      </c>
      <c r="M41" s="152" t="s">
        <v>356</v>
      </c>
      <c r="N41" s="142">
        <v>0</v>
      </c>
      <c r="O41" s="142">
        <v>0</v>
      </c>
      <c r="P41" s="142">
        <v>0</v>
      </c>
      <c r="Q41" s="142">
        <v>0</v>
      </c>
      <c r="R41" s="142">
        <v>55</v>
      </c>
      <c r="S41" s="142">
        <v>8</v>
      </c>
      <c r="T41" s="143">
        <v>0</v>
      </c>
      <c r="U41" s="144">
        <f t="shared" si="23"/>
        <v>47</v>
      </c>
      <c r="V41" s="144"/>
      <c r="W41" s="144"/>
      <c r="X41" s="144">
        <f t="shared" si="14"/>
        <v>0</v>
      </c>
      <c r="Y41" s="144">
        <f t="shared" si="15"/>
        <v>8</v>
      </c>
      <c r="Z41" s="167">
        <v>16.2087</v>
      </c>
      <c r="AA41" s="167">
        <f t="shared" si="16"/>
        <v>129.6696</v>
      </c>
      <c r="AB41" s="142">
        <f t="shared" si="2"/>
        <v>0</v>
      </c>
      <c r="AC41" s="142"/>
      <c r="AD41" s="142"/>
      <c r="AE41" s="142"/>
      <c r="AF41" s="169">
        <f t="shared" si="29"/>
        <v>0</v>
      </c>
      <c r="AG41" s="142">
        <f t="shared" si="25"/>
        <v>0</v>
      </c>
      <c r="AH41" s="142"/>
      <c r="AI41" s="142"/>
      <c r="AJ41" s="142"/>
      <c r="AK41" s="169">
        <f t="shared" si="17"/>
        <v>0</v>
      </c>
      <c r="AL41" s="142">
        <v>3575.18</v>
      </c>
      <c r="AM41" s="169">
        <f t="shared" si="26"/>
        <v>0</v>
      </c>
      <c r="AN41" s="142">
        <f t="shared" si="27"/>
        <v>129.6696</v>
      </c>
      <c r="AO41" s="142">
        <v>0</v>
      </c>
      <c r="AP41" s="142"/>
      <c r="AQ41" s="142"/>
      <c r="AR41" s="142">
        <v>0</v>
      </c>
      <c r="AS41" s="142">
        <v>0</v>
      </c>
      <c r="AT41" s="145"/>
      <c r="AU41" s="145"/>
      <c r="AV41" s="145"/>
      <c r="AW41" s="145"/>
      <c r="AX41" s="145"/>
      <c r="AY41" s="145">
        <f>VLOOKUP(E41,Table1[[BL NO.]:[Total Value USD]],21,0)</f>
        <v>129.6696</v>
      </c>
      <c r="AZ41" s="145">
        <f t="shared" si="18"/>
        <v>0</v>
      </c>
      <c r="BA41" s="9" t="s">
        <v>67</v>
      </c>
      <c r="BB41" s="7" t="s">
        <v>200</v>
      </c>
      <c r="BC41" s="7" t="s">
        <v>198</v>
      </c>
      <c r="BD41" s="7" t="s">
        <v>49</v>
      </c>
      <c r="BE41" s="10" t="s">
        <v>297</v>
      </c>
      <c r="BF41" s="9" t="s">
        <v>74</v>
      </c>
      <c r="BG41" s="146">
        <v>16.2087</v>
      </c>
      <c r="BH41" s="146">
        <f t="shared" si="28"/>
        <v>129.6696</v>
      </c>
      <c r="BI41" s="147">
        <f t="shared" si="24"/>
        <v>57949.020065999997</v>
      </c>
      <c r="BJ41" s="147">
        <f t="shared" si="21"/>
        <v>2723603.9431019998</v>
      </c>
      <c r="BK41" s="148">
        <v>42710.736519999999</v>
      </c>
      <c r="BL41" s="147">
        <f t="shared" si="22"/>
        <v>2007404.61644</v>
      </c>
      <c r="BM41" s="44">
        <v>0</v>
      </c>
      <c r="BN41" s="23">
        <v>3575.18</v>
      </c>
      <c r="BO41" s="10" t="s">
        <v>206</v>
      </c>
      <c r="BP41" s="25" t="s">
        <v>45</v>
      </c>
      <c r="BQ41" s="27" t="s">
        <v>110</v>
      </c>
      <c r="BR41" s="10" t="s">
        <v>176</v>
      </c>
      <c r="BS41" s="27" t="s">
        <v>54</v>
      </c>
      <c r="BT41" s="14"/>
      <c r="BU41" s="14" t="s">
        <v>65</v>
      </c>
      <c r="BV41" s="149" t="s">
        <v>42</v>
      </c>
      <c r="BW41" s="25" t="s">
        <v>61</v>
      </c>
      <c r="BX41" s="150">
        <f t="shared" si="19"/>
        <v>129.6696</v>
      </c>
      <c r="BY41" s="154">
        <v>0</v>
      </c>
      <c r="BZ41" s="13">
        <f t="shared" si="10"/>
        <v>129.6696</v>
      </c>
      <c r="CA41" s="29">
        <f t="shared" si="11"/>
        <v>1</v>
      </c>
      <c r="CB41" s="25" t="s">
        <v>62</v>
      </c>
      <c r="CC41" s="7"/>
      <c r="CD41" s="7"/>
    </row>
    <row r="42" spans="1:82" x14ac:dyDescent="0.25">
      <c r="A42" s="123">
        <v>46006</v>
      </c>
      <c r="B42" s="6" t="str">
        <f t="shared" si="0"/>
        <v>Dec</v>
      </c>
      <c r="C42" s="39">
        <f t="shared" si="1"/>
        <v>2025</v>
      </c>
      <c r="D42" s="6">
        <v>39</v>
      </c>
      <c r="E42" s="195" t="s">
        <v>232</v>
      </c>
      <c r="F42" s="6" t="s">
        <v>69</v>
      </c>
      <c r="G42" s="7" t="s">
        <v>70</v>
      </c>
      <c r="H42" s="7" t="s">
        <v>52</v>
      </c>
      <c r="I42" s="7" t="s">
        <v>71</v>
      </c>
      <c r="J42" s="116">
        <v>92</v>
      </c>
      <c r="K42" s="8">
        <f t="shared" si="12"/>
        <v>27</v>
      </c>
      <c r="L42" s="8">
        <f>92-14</f>
        <v>78</v>
      </c>
      <c r="M42" s="152" t="s">
        <v>357</v>
      </c>
      <c r="N42" s="142">
        <v>13</v>
      </c>
      <c r="O42" s="142">
        <v>0</v>
      </c>
      <c r="P42" s="142">
        <v>0</v>
      </c>
      <c r="Q42" s="142">
        <v>0</v>
      </c>
      <c r="R42" s="142">
        <v>76</v>
      </c>
      <c r="S42" s="142">
        <v>14</v>
      </c>
      <c r="T42" s="143">
        <v>0</v>
      </c>
      <c r="U42" s="144">
        <f t="shared" si="23"/>
        <v>62</v>
      </c>
      <c r="V42" s="144"/>
      <c r="W42" s="144"/>
      <c r="X42" s="144">
        <f t="shared" si="14"/>
        <v>0</v>
      </c>
      <c r="Y42" s="144">
        <f t="shared" si="15"/>
        <v>27</v>
      </c>
      <c r="Z42" s="167">
        <v>16.2087</v>
      </c>
      <c r="AA42" s="167">
        <f t="shared" si="16"/>
        <v>437.63490000000002</v>
      </c>
      <c r="AB42" s="142">
        <f t="shared" si="2"/>
        <v>13</v>
      </c>
      <c r="AC42" s="142"/>
      <c r="AD42" s="142"/>
      <c r="AE42" s="142"/>
      <c r="AF42" s="169">
        <f t="shared" si="29"/>
        <v>0</v>
      </c>
      <c r="AG42" s="142">
        <f t="shared" si="25"/>
        <v>0</v>
      </c>
      <c r="AH42" s="142"/>
      <c r="AI42" s="142"/>
      <c r="AJ42" s="142"/>
      <c r="AK42" s="169">
        <f t="shared" si="17"/>
        <v>0</v>
      </c>
      <c r="AL42" s="142">
        <v>3575.18</v>
      </c>
      <c r="AM42" s="169">
        <f t="shared" si="26"/>
        <v>0</v>
      </c>
      <c r="AN42" s="142">
        <f t="shared" si="27"/>
        <v>437.63490000000002</v>
      </c>
      <c r="AO42" s="142">
        <v>0</v>
      </c>
      <c r="AP42" s="142"/>
      <c r="AQ42" s="142"/>
      <c r="AR42" s="142">
        <v>0</v>
      </c>
      <c r="AS42" s="142">
        <v>0</v>
      </c>
      <c r="AT42" s="145"/>
      <c r="AU42" s="145"/>
      <c r="AV42" s="145"/>
      <c r="AW42" s="145"/>
      <c r="AX42" s="145"/>
      <c r="AY42" s="145">
        <f>VLOOKUP(E42,Table1[[BL NO.]:[Total Value USD]],21,0)</f>
        <v>437.63490000000002</v>
      </c>
      <c r="AZ42" s="145">
        <f t="shared" si="18"/>
        <v>0</v>
      </c>
      <c r="BA42" s="9" t="s">
        <v>67</v>
      </c>
      <c r="BB42" s="7" t="s">
        <v>200</v>
      </c>
      <c r="BC42" s="7" t="s">
        <v>198</v>
      </c>
      <c r="BD42" s="7" t="s">
        <v>49</v>
      </c>
      <c r="BE42" s="10" t="s">
        <v>129</v>
      </c>
      <c r="BF42" s="9" t="s">
        <v>130</v>
      </c>
      <c r="BG42" s="146">
        <v>16.2087</v>
      </c>
      <c r="BH42" s="146">
        <f t="shared" si="28"/>
        <v>437.63490000000002</v>
      </c>
      <c r="BI42" s="147">
        <f t="shared" si="24"/>
        <v>57949.020065999997</v>
      </c>
      <c r="BJ42" s="147">
        <f t="shared" si="21"/>
        <v>4520023.5651479997</v>
      </c>
      <c r="BK42" s="148">
        <v>42710.736519999999</v>
      </c>
      <c r="BL42" s="147">
        <f t="shared" si="22"/>
        <v>3331437.4485599999</v>
      </c>
      <c r="BM42" s="44">
        <v>0</v>
      </c>
      <c r="BN42" s="23">
        <v>3575.18</v>
      </c>
      <c r="BO42" s="10" t="s">
        <v>206</v>
      </c>
      <c r="BP42" s="25" t="s">
        <v>45</v>
      </c>
      <c r="BQ42" s="27" t="s">
        <v>110</v>
      </c>
      <c r="BR42" s="10" t="s">
        <v>176</v>
      </c>
      <c r="BS42" s="27" t="s">
        <v>54</v>
      </c>
      <c r="BT42" s="14"/>
      <c r="BU42" s="14" t="s">
        <v>65</v>
      </c>
      <c r="BV42" s="149" t="s">
        <v>42</v>
      </c>
      <c r="BW42" s="14" t="s">
        <v>61</v>
      </c>
      <c r="BX42" s="150">
        <f t="shared" si="19"/>
        <v>437.63490000000002</v>
      </c>
      <c r="BY42" s="154">
        <v>0</v>
      </c>
      <c r="BZ42" s="13">
        <f t="shared" si="10"/>
        <v>437.63490000000002</v>
      </c>
      <c r="CA42" s="29">
        <f t="shared" si="11"/>
        <v>1</v>
      </c>
      <c r="CB42" s="14" t="s">
        <v>62</v>
      </c>
      <c r="CC42" s="7" t="s">
        <v>358</v>
      </c>
      <c r="CD42" s="7"/>
    </row>
    <row r="43" spans="1:82" x14ac:dyDescent="0.25">
      <c r="A43" s="125">
        <v>46008</v>
      </c>
      <c r="B43" s="6" t="str">
        <f t="shared" si="0"/>
        <v>Dec</v>
      </c>
      <c r="C43" s="39">
        <f t="shared" si="1"/>
        <v>2025</v>
      </c>
      <c r="D43" s="6">
        <v>40</v>
      </c>
      <c r="E43" s="6" t="s">
        <v>233</v>
      </c>
      <c r="F43" s="6" t="s">
        <v>69</v>
      </c>
      <c r="G43" s="7" t="s">
        <v>70</v>
      </c>
      <c r="H43" s="7" t="s">
        <v>75</v>
      </c>
      <c r="I43" s="7" t="s">
        <v>160</v>
      </c>
      <c r="J43" s="8">
        <v>77</v>
      </c>
      <c r="K43" s="8">
        <f t="shared" si="12"/>
        <v>23</v>
      </c>
      <c r="L43" s="8">
        <f>77-13</f>
        <v>64</v>
      </c>
      <c r="M43" s="152" t="s">
        <v>359</v>
      </c>
      <c r="N43" s="142">
        <v>5</v>
      </c>
      <c r="O43" s="142">
        <v>5</v>
      </c>
      <c r="P43" s="142">
        <v>0</v>
      </c>
      <c r="Q43" s="142">
        <v>0</v>
      </c>
      <c r="R43" s="142">
        <v>67</v>
      </c>
      <c r="S43" s="142">
        <v>13</v>
      </c>
      <c r="T43" s="143">
        <v>0</v>
      </c>
      <c r="U43" s="144">
        <f t="shared" si="23"/>
        <v>54</v>
      </c>
      <c r="V43" s="144"/>
      <c r="W43" s="144"/>
      <c r="X43" s="144">
        <f t="shared" si="14"/>
        <v>0</v>
      </c>
      <c r="Y43" s="144">
        <f t="shared" si="15"/>
        <v>23</v>
      </c>
      <c r="Z43" s="167">
        <v>8.4628999999999994</v>
      </c>
      <c r="AA43" s="167">
        <f t="shared" si="16"/>
        <v>194.64669999999998</v>
      </c>
      <c r="AB43" s="142">
        <f t="shared" si="2"/>
        <v>5</v>
      </c>
      <c r="AC43" s="142"/>
      <c r="AD43" s="142"/>
      <c r="AE43" s="142"/>
      <c r="AF43" s="169">
        <f t="shared" si="29"/>
        <v>0</v>
      </c>
      <c r="AG43" s="142">
        <f t="shared" si="25"/>
        <v>0</v>
      </c>
      <c r="AH43" s="142"/>
      <c r="AI43" s="142"/>
      <c r="AJ43" s="142"/>
      <c r="AK43" s="169">
        <f t="shared" si="17"/>
        <v>0</v>
      </c>
      <c r="AL43" s="142">
        <v>3575.18</v>
      </c>
      <c r="AM43" s="169">
        <f t="shared" si="26"/>
        <v>0</v>
      </c>
      <c r="AN43" s="142">
        <f t="shared" si="27"/>
        <v>194.64669999999998</v>
      </c>
      <c r="AO43" s="142">
        <v>0</v>
      </c>
      <c r="AP43" s="142"/>
      <c r="AQ43" s="142"/>
      <c r="AR43" s="142">
        <v>5</v>
      </c>
      <c r="AS43" s="142">
        <v>0</v>
      </c>
      <c r="AT43" s="145"/>
      <c r="AU43" s="145"/>
      <c r="AV43" s="145"/>
      <c r="AW43" s="145"/>
      <c r="AX43" s="145"/>
      <c r="AY43" s="145">
        <f>VLOOKUP(E43,Table1[[BL NO.]:[Total Value USD]],21,0)</f>
        <v>194.64669999999998</v>
      </c>
      <c r="AZ43" s="145">
        <f t="shared" si="18"/>
        <v>0</v>
      </c>
      <c r="BA43" s="9" t="s">
        <v>67</v>
      </c>
      <c r="BB43" s="72" t="s">
        <v>200</v>
      </c>
      <c r="BC43" s="72" t="s">
        <v>198</v>
      </c>
      <c r="BD43" s="72" t="s">
        <v>49</v>
      </c>
      <c r="BE43" s="72" t="s">
        <v>181</v>
      </c>
      <c r="BF43" s="9" t="s">
        <v>74</v>
      </c>
      <c r="BG43" s="155">
        <v>8.4628999999999994</v>
      </c>
      <c r="BH43" s="146">
        <f t="shared" si="28"/>
        <v>194.64669999999998</v>
      </c>
      <c r="BI43" s="156">
        <f t="shared" si="24"/>
        <v>30256.390821999998</v>
      </c>
      <c r="BJ43" s="156">
        <f t="shared" si="21"/>
        <v>1936409.0126079998</v>
      </c>
      <c r="BK43" s="157">
        <v>23264.08728</v>
      </c>
      <c r="BL43" s="156">
        <f t="shared" si="22"/>
        <v>1488901.58592</v>
      </c>
      <c r="BM43" s="119">
        <v>0</v>
      </c>
      <c r="BN43" s="71">
        <v>3575.18</v>
      </c>
      <c r="BO43" s="72" t="s">
        <v>206</v>
      </c>
      <c r="BP43" s="120" t="s">
        <v>40</v>
      </c>
      <c r="BQ43" s="121" t="s">
        <v>110</v>
      </c>
      <c r="BR43" s="72" t="s">
        <v>176</v>
      </c>
      <c r="BS43" s="121" t="s">
        <v>54</v>
      </c>
      <c r="BT43" s="118"/>
      <c r="BU43" s="118" t="s">
        <v>41</v>
      </c>
      <c r="BV43" s="158" t="s">
        <v>42</v>
      </c>
      <c r="BW43" s="118" t="s">
        <v>298</v>
      </c>
      <c r="BX43" s="150">
        <f t="shared" si="19"/>
        <v>194.64669999999998</v>
      </c>
      <c r="BY43" s="154">
        <v>0</v>
      </c>
      <c r="BZ43" s="13">
        <f t="shared" si="10"/>
        <v>194.64669999999998</v>
      </c>
      <c r="CA43" s="29">
        <f t="shared" si="11"/>
        <v>1</v>
      </c>
      <c r="CB43" s="14" t="s">
        <v>299</v>
      </c>
      <c r="CC43" s="7"/>
      <c r="CD43" s="7"/>
    </row>
    <row r="44" spans="1:82" x14ac:dyDescent="0.25">
      <c r="A44" s="125">
        <v>46028</v>
      </c>
      <c r="B44" s="6" t="str">
        <f t="shared" si="0"/>
        <v>Jan</v>
      </c>
      <c r="C44" s="39">
        <f t="shared" si="1"/>
        <v>2026</v>
      </c>
      <c r="D44" s="6">
        <v>41</v>
      </c>
      <c r="E44" s="6" t="s">
        <v>234</v>
      </c>
      <c r="F44" s="6" t="s">
        <v>69</v>
      </c>
      <c r="G44" s="7" t="s">
        <v>70</v>
      </c>
      <c r="H44" s="7" t="s">
        <v>52</v>
      </c>
      <c r="I44" s="7" t="s">
        <v>71</v>
      </c>
      <c r="J44" s="8">
        <v>5</v>
      </c>
      <c r="K44" s="8">
        <f t="shared" si="12"/>
        <v>4</v>
      </c>
      <c r="L44" s="8">
        <f>5-2</f>
        <v>3</v>
      </c>
      <c r="M44" s="152" t="s">
        <v>360</v>
      </c>
      <c r="N44" s="142">
        <v>2</v>
      </c>
      <c r="O44" s="142">
        <v>0</v>
      </c>
      <c r="P44" s="142">
        <v>0</v>
      </c>
      <c r="Q44" s="142">
        <v>0</v>
      </c>
      <c r="R44" s="142">
        <v>3</v>
      </c>
      <c r="S44" s="142">
        <v>2</v>
      </c>
      <c r="T44" s="143">
        <v>0</v>
      </c>
      <c r="U44" s="144">
        <f t="shared" si="23"/>
        <v>1</v>
      </c>
      <c r="V44" s="144"/>
      <c r="W44" s="144"/>
      <c r="X44" s="144">
        <f t="shared" si="14"/>
        <v>0</v>
      </c>
      <c r="Y44" s="144">
        <f t="shared" si="15"/>
        <v>4</v>
      </c>
      <c r="Z44" s="167">
        <v>16.2087</v>
      </c>
      <c r="AA44" s="167">
        <f t="shared" si="16"/>
        <v>64.834800000000001</v>
      </c>
      <c r="AB44" s="142">
        <f t="shared" si="2"/>
        <v>2</v>
      </c>
      <c r="AC44" s="142"/>
      <c r="AD44" s="142"/>
      <c r="AE44" s="142"/>
      <c r="AF44" s="169">
        <f t="shared" si="29"/>
        <v>0</v>
      </c>
      <c r="AG44" s="142">
        <f t="shared" si="25"/>
        <v>0</v>
      </c>
      <c r="AH44" s="142"/>
      <c r="AI44" s="142"/>
      <c r="AJ44" s="142"/>
      <c r="AK44" s="169">
        <f t="shared" si="17"/>
        <v>0</v>
      </c>
      <c r="AL44" s="142">
        <v>3600</v>
      </c>
      <c r="AM44" s="169">
        <f t="shared" si="26"/>
        <v>0</v>
      </c>
      <c r="AN44" s="142">
        <f t="shared" si="27"/>
        <v>64.834800000000001</v>
      </c>
      <c r="AO44" s="142">
        <v>0</v>
      </c>
      <c r="AP44" s="142"/>
      <c r="AQ44" s="142"/>
      <c r="AR44" s="142">
        <v>0</v>
      </c>
      <c r="AS44" s="142">
        <v>0</v>
      </c>
      <c r="AT44" s="145"/>
      <c r="AU44" s="145"/>
      <c r="AV44" s="145"/>
      <c r="AW44" s="145"/>
      <c r="AX44" s="145"/>
      <c r="AY44" s="145">
        <f>VLOOKUP(E44,Table1[[BL NO.]:[Total Value USD]],21,0)</f>
        <v>64.834800000000001</v>
      </c>
      <c r="AZ44" s="145">
        <f t="shared" si="18"/>
        <v>0</v>
      </c>
      <c r="BA44" s="9" t="s">
        <v>67</v>
      </c>
      <c r="BB44" s="7" t="s">
        <v>200</v>
      </c>
      <c r="BC44" s="7" t="s">
        <v>198</v>
      </c>
      <c r="BD44" s="7" t="s">
        <v>49</v>
      </c>
      <c r="BE44" s="10" t="s">
        <v>131</v>
      </c>
      <c r="BF44" s="9" t="s">
        <v>74</v>
      </c>
      <c r="BG44" s="146">
        <v>16.2087</v>
      </c>
      <c r="BH44" s="146">
        <f t="shared" si="28"/>
        <v>64.834800000000001</v>
      </c>
      <c r="BI44" s="147">
        <f t="shared" si="24"/>
        <v>58351.32</v>
      </c>
      <c r="BJ44" s="147">
        <f t="shared" si="21"/>
        <v>175053.96</v>
      </c>
      <c r="BK44" s="148">
        <v>62040.82</v>
      </c>
      <c r="BL44" s="147">
        <f t="shared" si="22"/>
        <v>186122.46</v>
      </c>
      <c r="BM44" s="44">
        <v>0</v>
      </c>
      <c r="BN44" s="23">
        <v>3600</v>
      </c>
      <c r="BO44" s="10" t="s">
        <v>206</v>
      </c>
      <c r="BP44" s="25" t="s">
        <v>45</v>
      </c>
      <c r="BQ44" s="27" t="s">
        <v>110</v>
      </c>
      <c r="BR44" s="10" t="s">
        <v>176</v>
      </c>
      <c r="BS44" s="27" t="s">
        <v>54</v>
      </c>
      <c r="BT44" s="14"/>
      <c r="BU44" s="14" t="s">
        <v>65</v>
      </c>
      <c r="BV44" s="149" t="s">
        <v>42</v>
      </c>
      <c r="BW44" s="25" t="s">
        <v>61</v>
      </c>
      <c r="BX44" s="150">
        <f t="shared" si="19"/>
        <v>64.834800000000001</v>
      </c>
      <c r="BY44" s="154">
        <v>0</v>
      </c>
      <c r="BZ44" s="13">
        <f t="shared" si="10"/>
        <v>64.834800000000001</v>
      </c>
      <c r="CA44" s="29">
        <f t="shared" si="11"/>
        <v>1</v>
      </c>
      <c r="CB44" s="25" t="s">
        <v>62</v>
      </c>
      <c r="CC44" s="7"/>
      <c r="CD44" s="7"/>
    </row>
    <row r="45" spans="1:82" x14ac:dyDescent="0.25">
      <c r="A45" s="123">
        <v>46028</v>
      </c>
      <c r="B45" s="6" t="str">
        <f t="shared" si="0"/>
        <v>Jan</v>
      </c>
      <c r="C45" s="39">
        <f t="shared" si="1"/>
        <v>2026</v>
      </c>
      <c r="D45" s="6">
        <v>42</v>
      </c>
      <c r="E45" s="6" t="s">
        <v>235</v>
      </c>
      <c r="F45" s="6" t="s">
        <v>69</v>
      </c>
      <c r="G45" s="7" t="s">
        <v>70</v>
      </c>
      <c r="H45" s="7" t="s">
        <v>52</v>
      </c>
      <c r="I45" s="7" t="s">
        <v>71</v>
      </c>
      <c r="J45" s="8">
        <v>70</v>
      </c>
      <c r="K45" s="8">
        <f t="shared" si="12"/>
        <v>55</v>
      </c>
      <c r="L45" s="8">
        <f>70-9</f>
        <v>61</v>
      </c>
      <c r="M45" s="152" t="s">
        <v>361</v>
      </c>
      <c r="N45" s="142">
        <v>46</v>
      </c>
      <c r="O45" s="142">
        <v>0</v>
      </c>
      <c r="P45" s="142">
        <v>0</v>
      </c>
      <c r="Q45" s="142">
        <v>0</v>
      </c>
      <c r="R45" s="142">
        <v>24</v>
      </c>
      <c r="S45" s="142">
        <v>9</v>
      </c>
      <c r="T45" s="143">
        <v>0</v>
      </c>
      <c r="U45" s="144">
        <f t="shared" si="23"/>
        <v>15</v>
      </c>
      <c r="V45" s="144"/>
      <c r="W45" s="144"/>
      <c r="X45" s="144">
        <f t="shared" si="14"/>
        <v>0</v>
      </c>
      <c r="Y45" s="144">
        <f t="shared" si="15"/>
        <v>55</v>
      </c>
      <c r="Z45" s="167">
        <v>16.2087</v>
      </c>
      <c r="AA45" s="167">
        <f t="shared" si="16"/>
        <v>891.47850000000005</v>
      </c>
      <c r="AB45" s="142">
        <f t="shared" si="2"/>
        <v>46</v>
      </c>
      <c r="AC45" s="142"/>
      <c r="AD45" s="142"/>
      <c r="AE45" s="142"/>
      <c r="AF45" s="169">
        <f t="shared" si="29"/>
        <v>0</v>
      </c>
      <c r="AG45" s="142">
        <f t="shared" si="25"/>
        <v>0</v>
      </c>
      <c r="AH45" s="142"/>
      <c r="AI45" s="142"/>
      <c r="AJ45" s="142"/>
      <c r="AK45" s="169">
        <f t="shared" si="17"/>
        <v>0</v>
      </c>
      <c r="AL45" s="142">
        <v>3600</v>
      </c>
      <c r="AM45" s="169">
        <f t="shared" si="26"/>
        <v>0</v>
      </c>
      <c r="AN45" s="142">
        <f t="shared" si="27"/>
        <v>891.47850000000005</v>
      </c>
      <c r="AO45" s="142">
        <v>0</v>
      </c>
      <c r="AP45" s="142"/>
      <c r="AQ45" s="142"/>
      <c r="AR45" s="142">
        <v>0</v>
      </c>
      <c r="AS45" s="142">
        <v>0</v>
      </c>
      <c r="AT45" s="145"/>
      <c r="AU45" s="145"/>
      <c r="AV45" s="145"/>
      <c r="AW45" s="145"/>
      <c r="AX45" s="145"/>
      <c r="AY45" s="145">
        <f>VLOOKUP(E45,Table1[[BL NO.]:[Total Value USD]],21,0)</f>
        <v>891.47850000000005</v>
      </c>
      <c r="AZ45" s="145">
        <f t="shared" si="18"/>
        <v>0</v>
      </c>
      <c r="BA45" s="9" t="s">
        <v>67</v>
      </c>
      <c r="BB45" s="7" t="s">
        <v>200</v>
      </c>
      <c r="BC45" s="7" t="s">
        <v>198</v>
      </c>
      <c r="BD45" s="7" t="s">
        <v>49</v>
      </c>
      <c r="BE45" s="10" t="s">
        <v>132</v>
      </c>
      <c r="BF45" s="9" t="s">
        <v>130</v>
      </c>
      <c r="BG45" s="146">
        <v>16.2087</v>
      </c>
      <c r="BH45" s="146">
        <f t="shared" si="28"/>
        <v>891.47850000000005</v>
      </c>
      <c r="BI45" s="147">
        <f t="shared" si="24"/>
        <v>58351.32</v>
      </c>
      <c r="BJ45" s="147">
        <f t="shared" si="21"/>
        <v>3559430.52</v>
      </c>
      <c r="BK45" s="148">
        <v>62040.82</v>
      </c>
      <c r="BL45" s="147">
        <f t="shared" si="22"/>
        <v>3784490.02</v>
      </c>
      <c r="BM45" s="44">
        <v>0</v>
      </c>
      <c r="BN45" s="23">
        <v>3600</v>
      </c>
      <c r="BO45" s="10" t="s">
        <v>206</v>
      </c>
      <c r="BP45" s="25" t="s">
        <v>45</v>
      </c>
      <c r="BQ45" s="27" t="s">
        <v>110</v>
      </c>
      <c r="BR45" s="10" t="s">
        <v>176</v>
      </c>
      <c r="BS45" s="27" t="s">
        <v>54</v>
      </c>
      <c r="BT45" s="14"/>
      <c r="BU45" s="14" t="s">
        <v>65</v>
      </c>
      <c r="BV45" s="149" t="s">
        <v>42</v>
      </c>
      <c r="BW45" s="25" t="s">
        <v>61</v>
      </c>
      <c r="BX45" s="150">
        <f t="shared" si="19"/>
        <v>891.47850000000005</v>
      </c>
      <c r="BY45" s="154">
        <v>0</v>
      </c>
      <c r="BZ45" s="13">
        <f t="shared" si="10"/>
        <v>891.47850000000005</v>
      </c>
      <c r="CA45" s="29">
        <f t="shared" si="11"/>
        <v>1</v>
      </c>
      <c r="CB45" s="25" t="s">
        <v>62</v>
      </c>
      <c r="CC45" s="7"/>
      <c r="CD45" s="7"/>
    </row>
    <row r="46" spans="1:82" x14ac:dyDescent="0.25">
      <c r="A46" s="123">
        <v>45789</v>
      </c>
      <c r="B46" s="6" t="s">
        <v>264</v>
      </c>
      <c r="C46" s="39">
        <v>2025</v>
      </c>
      <c r="D46" s="6">
        <v>43</v>
      </c>
      <c r="E46" s="6" t="s">
        <v>267</v>
      </c>
      <c r="F46" s="6" t="s">
        <v>69</v>
      </c>
      <c r="G46" s="7" t="s">
        <v>70</v>
      </c>
      <c r="H46" s="7" t="s">
        <v>252</v>
      </c>
      <c r="I46" s="7" t="s">
        <v>253</v>
      </c>
      <c r="J46" s="8">
        <v>415</v>
      </c>
      <c r="K46" s="8">
        <f t="shared" si="12"/>
        <v>415</v>
      </c>
      <c r="L46" s="8">
        <v>415</v>
      </c>
      <c r="M46" s="152" t="s">
        <v>313</v>
      </c>
      <c r="N46" s="142">
        <v>0</v>
      </c>
      <c r="O46" s="142">
        <v>364</v>
      </c>
      <c r="P46" s="142">
        <v>51</v>
      </c>
      <c r="Q46" s="142">
        <v>0</v>
      </c>
      <c r="R46" s="142">
        <v>0</v>
      </c>
      <c r="S46" s="142">
        <v>0</v>
      </c>
      <c r="T46" s="143">
        <v>0</v>
      </c>
      <c r="U46" s="144">
        <f t="shared" si="23"/>
        <v>0</v>
      </c>
      <c r="V46" s="144"/>
      <c r="W46" s="144"/>
      <c r="X46" s="144">
        <f t="shared" si="14"/>
        <v>0</v>
      </c>
      <c r="Y46" s="144">
        <f t="shared" si="15"/>
        <v>415</v>
      </c>
      <c r="Z46" s="167">
        <v>9.31</v>
      </c>
      <c r="AA46" s="167">
        <f t="shared" si="16"/>
        <v>3863.65</v>
      </c>
      <c r="AB46" s="142">
        <f t="shared" si="2"/>
        <v>0</v>
      </c>
      <c r="AC46" s="142"/>
      <c r="AD46" s="142"/>
      <c r="AE46" s="142"/>
      <c r="AF46" s="169">
        <f t="shared" si="29"/>
        <v>0</v>
      </c>
      <c r="AG46" s="142">
        <f t="shared" si="25"/>
        <v>0</v>
      </c>
      <c r="AH46" s="142"/>
      <c r="AI46" s="142"/>
      <c r="AJ46" s="142"/>
      <c r="AK46" s="169">
        <f t="shared" si="17"/>
        <v>0</v>
      </c>
      <c r="AL46" s="142">
        <v>2627</v>
      </c>
      <c r="AM46" s="169">
        <f t="shared" si="26"/>
        <v>0</v>
      </c>
      <c r="AN46" s="142">
        <f t="shared" si="27"/>
        <v>3863.65</v>
      </c>
      <c r="AO46" s="142">
        <v>0</v>
      </c>
      <c r="AP46" s="142"/>
      <c r="AQ46" s="142"/>
      <c r="AR46" s="142">
        <v>364</v>
      </c>
      <c r="AS46" s="142">
        <v>51</v>
      </c>
      <c r="AT46" s="145"/>
      <c r="AU46" s="145"/>
      <c r="AV46" s="145"/>
      <c r="AW46" s="145"/>
      <c r="AX46" s="145"/>
      <c r="AY46" s="145">
        <f>VLOOKUP(E46,Table1[[BL NO.]:[Total Value USD]],21,0)</f>
        <v>3863.65</v>
      </c>
      <c r="AZ46" s="145">
        <f t="shared" si="18"/>
        <v>0</v>
      </c>
      <c r="BA46" s="9" t="s">
        <v>254</v>
      </c>
      <c r="BB46" s="7" t="s">
        <v>255</v>
      </c>
      <c r="BC46" s="7" t="s">
        <v>198</v>
      </c>
      <c r="BD46" s="7" t="s">
        <v>49</v>
      </c>
      <c r="BE46" s="10" t="s">
        <v>256</v>
      </c>
      <c r="BF46" s="9" t="s">
        <v>257</v>
      </c>
      <c r="BG46" s="146">
        <v>9.31</v>
      </c>
      <c r="BH46" s="146">
        <f t="shared" si="28"/>
        <v>3863.65</v>
      </c>
      <c r="BI46" s="147">
        <f>BG46*BN46</f>
        <v>24457.370000000003</v>
      </c>
      <c r="BJ46" s="147">
        <f t="shared" si="21"/>
        <v>10149808.550000001</v>
      </c>
      <c r="BK46" s="148">
        <v>31301.811430000002</v>
      </c>
      <c r="BL46" s="147">
        <f t="shared" si="22"/>
        <v>12990251.743450001</v>
      </c>
      <c r="BM46" s="44">
        <v>0</v>
      </c>
      <c r="BN46" s="23">
        <v>2627</v>
      </c>
      <c r="BO46" s="10" t="s">
        <v>50</v>
      </c>
      <c r="BP46" s="25" t="s">
        <v>40</v>
      </c>
      <c r="BQ46" s="27" t="s">
        <v>64</v>
      </c>
      <c r="BR46" s="10" t="s">
        <v>176</v>
      </c>
      <c r="BS46" s="27" t="s">
        <v>54</v>
      </c>
      <c r="BT46" s="14"/>
      <c r="BU46" s="14" t="s">
        <v>50</v>
      </c>
      <c r="BV46" s="154" t="s">
        <v>50</v>
      </c>
      <c r="BW46" s="14" t="s">
        <v>207</v>
      </c>
      <c r="BX46" s="150">
        <v>3863.65</v>
      </c>
      <c r="BY46" s="154">
        <v>0</v>
      </c>
      <c r="BZ46" s="13">
        <v>3863.65</v>
      </c>
      <c r="CA46" s="29">
        <f t="shared" si="11"/>
        <v>1</v>
      </c>
      <c r="CB46" s="25" t="s">
        <v>55</v>
      </c>
      <c r="CC46" s="7"/>
      <c r="CD46" s="7"/>
    </row>
    <row r="47" spans="1:82" x14ac:dyDescent="0.25">
      <c r="A47" s="123">
        <v>45789</v>
      </c>
      <c r="B47" s="6" t="s">
        <v>264</v>
      </c>
      <c r="C47" s="39">
        <v>2025</v>
      </c>
      <c r="D47" s="6">
        <v>44</v>
      </c>
      <c r="E47" s="6" t="s">
        <v>268</v>
      </c>
      <c r="F47" s="6" t="s">
        <v>69</v>
      </c>
      <c r="G47" s="7" t="s">
        <v>70</v>
      </c>
      <c r="H47" s="7" t="s">
        <v>258</v>
      </c>
      <c r="I47" s="7" t="s">
        <v>259</v>
      </c>
      <c r="J47" s="8">
        <v>88</v>
      </c>
      <c r="K47" s="8">
        <f t="shared" si="12"/>
        <v>88</v>
      </c>
      <c r="L47" s="8">
        <v>88</v>
      </c>
      <c r="M47" s="152" t="s">
        <v>313</v>
      </c>
      <c r="N47" s="142">
        <v>0</v>
      </c>
      <c r="O47" s="142">
        <v>88</v>
      </c>
      <c r="P47" s="142">
        <v>0</v>
      </c>
      <c r="Q47" s="142">
        <v>0</v>
      </c>
      <c r="R47" s="142">
        <v>0</v>
      </c>
      <c r="S47" s="142">
        <v>0</v>
      </c>
      <c r="T47" s="143">
        <v>0</v>
      </c>
      <c r="U47" s="144">
        <f t="shared" si="23"/>
        <v>0</v>
      </c>
      <c r="V47" s="144"/>
      <c r="W47" s="144"/>
      <c r="X47" s="144">
        <f t="shared" si="14"/>
        <v>0</v>
      </c>
      <c r="Y47" s="144">
        <f t="shared" si="15"/>
        <v>88</v>
      </c>
      <c r="Z47" s="167">
        <v>29.6</v>
      </c>
      <c r="AA47" s="167">
        <f t="shared" si="16"/>
        <v>2604.8000000000002</v>
      </c>
      <c r="AB47" s="142">
        <f t="shared" si="2"/>
        <v>0</v>
      </c>
      <c r="AC47" s="142"/>
      <c r="AD47" s="142"/>
      <c r="AE47" s="142"/>
      <c r="AF47" s="169">
        <f t="shared" si="29"/>
        <v>0</v>
      </c>
      <c r="AG47" s="142">
        <f t="shared" si="25"/>
        <v>0</v>
      </c>
      <c r="AH47" s="142"/>
      <c r="AI47" s="142"/>
      <c r="AJ47" s="142"/>
      <c r="AK47" s="169">
        <f t="shared" si="17"/>
        <v>0</v>
      </c>
      <c r="AL47" s="142">
        <v>2627</v>
      </c>
      <c r="AM47" s="169">
        <f t="shared" si="26"/>
        <v>0</v>
      </c>
      <c r="AN47" s="142">
        <f t="shared" si="27"/>
        <v>2604.8000000000002</v>
      </c>
      <c r="AO47" s="142">
        <v>0</v>
      </c>
      <c r="AP47" s="142"/>
      <c r="AQ47" s="142"/>
      <c r="AR47" s="142">
        <v>88</v>
      </c>
      <c r="AS47" s="142">
        <v>0</v>
      </c>
      <c r="AT47" s="145"/>
      <c r="AU47" s="145"/>
      <c r="AV47" s="145"/>
      <c r="AW47" s="145"/>
      <c r="AX47" s="145"/>
      <c r="AY47" s="145">
        <f>VLOOKUP(E47,Table1[[BL NO.]:[Total Value USD]],21,0)</f>
        <v>2604.8000000000002</v>
      </c>
      <c r="AZ47" s="145">
        <f t="shared" si="18"/>
        <v>0</v>
      </c>
      <c r="BA47" s="9" t="s">
        <v>260</v>
      </c>
      <c r="BB47" s="7" t="s">
        <v>255</v>
      </c>
      <c r="BC47" s="7" t="s">
        <v>198</v>
      </c>
      <c r="BD47" s="7" t="s">
        <v>49</v>
      </c>
      <c r="BE47" s="10" t="s">
        <v>261</v>
      </c>
      <c r="BF47" s="9" t="s">
        <v>257</v>
      </c>
      <c r="BG47" s="146">
        <v>29.6</v>
      </c>
      <c r="BH47" s="146">
        <f t="shared" si="28"/>
        <v>2604.8000000000002</v>
      </c>
      <c r="BI47" s="147">
        <f>BG47*BN47</f>
        <v>77759.199999999997</v>
      </c>
      <c r="BJ47" s="147">
        <f t="shared" si="21"/>
        <v>6842809.5999999996</v>
      </c>
      <c r="BK47" s="148">
        <v>96566.186310000005</v>
      </c>
      <c r="BL47" s="147">
        <f t="shared" si="22"/>
        <v>8497824.3952799998</v>
      </c>
      <c r="BM47" s="44">
        <v>0</v>
      </c>
      <c r="BN47" s="23">
        <v>2627</v>
      </c>
      <c r="BO47" s="10" t="s">
        <v>50</v>
      </c>
      <c r="BP47" s="25" t="s">
        <v>40</v>
      </c>
      <c r="BQ47" s="27" t="s">
        <v>64</v>
      </c>
      <c r="BR47" s="10" t="s">
        <v>176</v>
      </c>
      <c r="BS47" s="27" t="s">
        <v>54</v>
      </c>
      <c r="BT47" s="14"/>
      <c r="BU47" s="14" t="s">
        <v>50</v>
      </c>
      <c r="BV47" s="154" t="s">
        <v>50</v>
      </c>
      <c r="BW47" s="14" t="s">
        <v>207</v>
      </c>
      <c r="BX47" s="150">
        <v>2604.8000000000002</v>
      </c>
      <c r="BY47" s="154">
        <v>0</v>
      </c>
      <c r="BZ47" s="13">
        <v>2604.8000000000002</v>
      </c>
      <c r="CA47" s="29">
        <f t="shared" si="11"/>
        <v>1</v>
      </c>
      <c r="CB47" s="25" t="s">
        <v>55</v>
      </c>
      <c r="CC47" s="7"/>
      <c r="CD47" s="7"/>
    </row>
    <row r="48" spans="1:82" x14ac:dyDescent="0.25">
      <c r="A48" s="125">
        <v>45799</v>
      </c>
      <c r="B48" s="6" t="s">
        <v>264</v>
      </c>
      <c r="C48" s="39">
        <v>2025</v>
      </c>
      <c r="D48" s="6">
        <v>45</v>
      </c>
      <c r="E48" s="6" t="s">
        <v>269</v>
      </c>
      <c r="F48" s="6" t="s">
        <v>69</v>
      </c>
      <c r="G48" s="7" t="s">
        <v>70</v>
      </c>
      <c r="H48" s="7" t="s">
        <v>252</v>
      </c>
      <c r="I48" s="7" t="s">
        <v>253</v>
      </c>
      <c r="J48" s="8">
        <v>95</v>
      </c>
      <c r="K48" s="8">
        <f t="shared" si="12"/>
        <v>95</v>
      </c>
      <c r="L48" s="8">
        <v>95</v>
      </c>
      <c r="M48" s="152" t="s">
        <v>313</v>
      </c>
      <c r="N48" s="142">
        <v>0</v>
      </c>
      <c r="O48" s="142">
        <v>58</v>
      </c>
      <c r="P48" s="142">
        <v>37</v>
      </c>
      <c r="Q48" s="142">
        <v>0</v>
      </c>
      <c r="R48" s="142">
        <v>0</v>
      </c>
      <c r="S48" s="142">
        <v>0</v>
      </c>
      <c r="T48" s="143">
        <v>0</v>
      </c>
      <c r="U48" s="144">
        <f t="shared" si="23"/>
        <v>0</v>
      </c>
      <c r="V48" s="144"/>
      <c r="W48" s="144"/>
      <c r="X48" s="144">
        <f t="shared" si="14"/>
        <v>0</v>
      </c>
      <c r="Y48" s="144">
        <f t="shared" si="15"/>
        <v>95</v>
      </c>
      <c r="Z48" s="167">
        <v>9.6</v>
      </c>
      <c r="AA48" s="167">
        <f t="shared" si="16"/>
        <v>912</v>
      </c>
      <c r="AB48" s="142">
        <f t="shared" si="2"/>
        <v>0</v>
      </c>
      <c r="AC48" s="142"/>
      <c r="AD48" s="142"/>
      <c r="AE48" s="142"/>
      <c r="AF48" s="169">
        <f t="shared" si="29"/>
        <v>0</v>
      </c>
      <c r="AG48" s="142">
        <f t="shared" si="25"/>
        <v>0</v>
      </c>
      <c r="AH48" s="142"/>
      <c r="AI48" s="142"/>
      <c r="AJ48" s="142"/>
      <c r="AK48" s="169">
        <f t="shared" si="17"/>
        <v>0</v>
      </c>
      <c r="AL48" s="142">
        <v>2627</v>
      </c>
      <c r="AM48" s="169">
        <f t="shared" si="26"/>
        <v>0</v>
      </c>
      <c r="AN48" s="142">
        <f t="shared" si="27"/>
        <v>912</v>
      </c>
      <c r="AO48" s="142">
        <v>0</v>
      </c>
      <c r="AP48" s="142"/>
      <c r="AQ48" s="142"/>
      <c r="AR48" s="142">
        <v>58</v>
      </c>
      <c r="AS48" s="142">
        <v>37</v>
      </c>
      <c r="AT48" s="145"/>
      <c r="AU48" s="145"/>
      <c r="AV48" s="145"/>
      <c r="AW48" s="145"/>
      <c r="AX48" s="145"/>
      <c r="AY48" s="145">
        <f>VLOOKUP(E48,Table1[[BL NO.]:[Total Value USD]],21,0)</f>
        <v>912</v>
      </c>
      <c r="AZ48" s="145">
        <f t="shared" si="18"/>
        <v>0</v>
      </c>
      <c r="BA48" s="9" t="s">
        <v>254</v>
      </c>
      <c r="BB48" s="7" t="s">
        <v>255</v>
      </c>
      <c r="BC48" s="7" t="s">
        <v>198</v>
      </c>
      <c r="BD48" s="7" t="s">
        <v>49</v>
      </c>
      <c r="BE48" s="10" t="s">
        <v>262</v>
      </c>
      <c r="BF48" s="9" t="s">
        <v>257</v>
      </c>
      <c r="BG48" s="146">
        <v>9.6</v>
      </c>
      <c r="BH48" s="146">
        <f t="shared" si="28"/>
        <v>912</v>
      </c>
      <c r="BI48" s="147">
        <f>BG48*BN48</f>
        <v>25219.200000000001</v>
      </c>
      <c r="BJ48" s="147">
        <f t="shared" ref="BJ48:BJ73" si="30">BI48*L48</f>
        <v>2395824</v>
      </c>
      <c r="BK48" s="148">
        <v>31301.811430000002</v>
      </c>
      <c r="BL48" s="147">
        <f t="shared" ref="BL48:BL73" si="31">BK48*L48</f>
        <v>2973672.0858500004</v>
      </c>
      <c r="BM48" s="44">
        <v>388.8</v>
      </c>
      <c r="BN48" s="23">
        <v>2627</v>
      </c>
      <c r="BO48" s="10" t="s">
        <v>39</v>
      </c>
      <c r="BP48" s="25" t="s">
        <v>40</v>
      </c>
      <c r="BQ48" s="27" t="s">
        <v>64</v>
      </c>
      <c r="BR48" s="10" t="s">
        <v>176</v>
      </c>
      <c r="BS48" s="27" t="s">
        <v>54</v>
      </c>
      <c r="BT48" s="14"/>
      <c r="BU48" s="14" t="s">
        <v>41</v>
      </c>
      <c r="BV48" s="154" t="s">
        <v>42</v>
      </c>
      <c r="BW48" s="14" t="s">
        <v>266</v>
      </c>
      <c r="BX48" s="150">
        <v>912</v>
      </c>
      <c r="BY48" s="154">
        <v>388.8</v>
      </c>
      <c r="BZ48" s="13">
        <v>523.20000000000005</v>
      </c>
      <c r="CA48" s="29">
        <f t="shared" si="11"/>
        <v>0.5736842105263158</v>
      </c>
      <c r="CB48" s="23" t="s">
        <v>263</v>
      </c>
      <c r="CC48" s="7"/>
      <c r="CD48" s="7"/>
    </row>
    <row r="49" spans="1:82" x14ac:dyDescent="0.25">
      <c r="A49" s="123">
        <v>46039</v>
      </c>
      <c r="B49" s="6" t="str">
        <f t="shared" si="0"/>
        <v>Jan</v>
      </c>
      <c r="C49" s="39">
        <f t="shared" si="1"/>
        <v>2026</v>
      </c>
      <c r="D49" s="6">
        <v>46</v>
      </c>
      <c r="E49" s="195" t="s">
        <v>236</v>
      </c>
      <c r="F49" s="6" t="s">
        <v>69</v>
      </c>
      <c r="G49" s="7" t="s">
        <v>70</v>
      </c>
      <c r="H49" s="7" t="s">
        <v>52</v>
      </c>
      <c r="I49" s="7" t="s">
        <v>71</v>
      </c>
      <c r="J49" s="8">
        <v>45</v>
      </c>
      <c r="K49" s="8">
        <f t="shared" si="12"/>
        <v>15</v>
      </c>
      <c r="L49" s="8">
        <f>45-15</f>
        <v>30</v>
      </c>
      <c r="M49" s="152" t="s">
        <v>362</v>
      </c>
      <c r="N49" s="142">
        <v>0</v>
      </c>
      <c r="O49" s="142">
        <v>0</v>
      </c>
      <c r="P49" s="142">
        <v>0</v>
      </c>
      <c r="Q49" s="142">
        <v>0</v>
      </c>
      <c r="R49" s="142">
        <v>45</v>
      </c>
      <c r="S49" s="142">
        <v>15</v>
      </c>
      <c r="T49" s="143">
        <v>0</v>
      </c>
      <c r="U49" s="144">
        <f t="shared" si="23"/>
        <v>30</v>
      </c>
      <c r="V49" s="144"/>
      <c r="W49" s="144"/>
      <c r="X49" s="144">
        <f t="shared" si="14"/>
        <v>0</v>
      </c>
      <c r="Y49" s="144">
        <f t="shared" si="15"/>
        <v>15</v>
      </c>
      <c r="Z49" s="167">
        <v>15.79</v>
      </c>
      <c r="AA49" s="167">
        <f t="shared" si="16"/>
        <v>236.85</v>
      </c>
      <c r="AB49" s="142">
        <f t="shared" si="2"/>
        <v>0</v>
      </c>
      <c r="AC49" s="142"/>
      <c r="AD49" s="142"/>
      <c r="AE49" s="142"/>
      <c r="AF49" s="169">
        <f t="shared" si="29"/>
        <v>0</v>
      </c>
      <c r="AG49" s="142">
        <f t="shared" si="25"/>
        <v>0</v>
      </c>
      <c r="AH49" s="142"/>
      <c r="AI49" s="142"/>
      <c r="AJ49" s="142"/>
      <c r="AK49" s="169">
        <f t="shared" si="17"/>
        <v>0</v>
      </c>
      <c r="AL49" s="142">
        <v>3600</v>
      </c>
      <c r="AM49" s="169">
        <f t="shared" si="26"/>
        <v>0</v>
      </c>
      <c r="AN49" s="142">
        <f t="shared" si="27"/>
        <v>236.85</v>
      </c>
      <c r="AO49" s="142">
        <v>0</v>
      </c>
      <c r="AP49" s="142"/>
      <c r="AQ49" s="142"/>
      <c r="AR49" s="142">
        <v>0</v>
      </c>
      <c r="AS49" s="142">
        <v>0</v>
      </c>
      <c r="AT49" s="145"/>
      <c r="AU49" s="145"/>
      <c r="AV49" s="145"/>
      <c r="AW49" s="145"/>
      <c r="AX49" s="145"/>
      <c r="AY49" s="145">
        <f>VLOOKUP(E49,Table1[[BL NO.]:[Total Value USD]],21,0)</f>
        <v>236.85</v>
      </c>
      <c r="AZ49" s="145">
        <f t="shared" si="18"/>
        <v>0</v>
      </c>
      <c r="BA49" s="9" t="s">
        <v>67</v>
      </c>
      <c r="BB49" s="7" t="s">
        <v>200</v>
      </c>
      <c r="BC49" s="7" t="s">
        <v>198</v>
      </c>
      <c r="BD49" s="7" t="s">
        <v>49</v>
      </c>
      <c r="BE49" s="10" t="s">
        <v>133</v>
      </c>
      <c r="BF49" s="9" t="s">
        <v>74</v>
      </c>
      <c r="BG49" s="146">
        <v>15.79</v>
      </c>
      <c r="BH49" s="146">
        <f t="shared" si="28"/>
        <v>236.85</v>
      </c>
      <c r="BI49" s="147">
        <f t="shared" si="24"/>
        <v>56844</v>
      </c>
      <c r="BJ49" s="147">
        <f t="shared" si="30"/>
        <v>1705320</v>
      </c>
      <c r="BK49" s="148">
        <v>62040.82</v>
      </c>
      <c r="BL49" s="147">
        <f t="shared" si="31"/>
        <v>1861224.6</v>
      </c>
      <c r="BM49" s="44">
        <v>0</v>
      </c>
      <c r="BN49" s="23">
        <v>3600</v>
      </c>
      <c r="BO49" s="10" t="s">
        <v>206</v>
      </c>
      <c r="BP49" s="25" t="s">
        <v>45</v>
      </c>
      <c r="BQ49" s="27" t="s">
        <v>110</v>
      </c>
      <c r="BR49" s="10" t="s">
        <v>176</v>
      </c>
      <c r="BS49" s="27" t="s">
        <v>54</v>
      </c>
      <c r="BT49" s="14"/>
      <c r="BU49" s="14" t="s">
        <v>65</v>
      </c>
      <c r="BV49" s="149" t="s">
        <v>42</v>
      </c>
      <c r="BW49" s="25" t="s">
        <v>61</v>
      </c>
      <c r="BX49" s="150">
        <f t="shared" ref="BX49:BX61" si="32">BH49</f>
        <v>236.85</v>
      </c>
      <c r="BY49" s="154">
        <v>0</v>
      </c>
      <c r="BZ49" s="13">
        <f t="shared" si="10"/>
        <v>236.85</v>
      </c>
      <c r="CA49" s="29">
        <f t="shared" si="11"/>
        <v>1</v>
      </c>
      <c r="CB49" s="25" t="s">
        <v>62</v>
      </c>
      <c r="CC49" s="7"/>
      <c r="CD49" s="7"/>
    </row>
    <row r="50" spans="1:82" x14ac:dyDescent="0.25">
      <c r="A50" s="123">
        <v>46039</v>
      </c>
      <c r="B50" s="6" t="str">
        <f t="shared" si="0"/>
        <v>Jan</v>
      </c>
      <c r="C50" s="39">
        <f t="shared" si="1"/>
        <v>2026</v>
      </c>
      <c r="D50" s="6">
        <v>47</v>
      </c>
      <c r="E50" s="195" t="s">
        <v>237</v>
      </c>
      <c r="F50" s="6" t="s">
        <v>69</v>
      </c>
      <c r="G50" s="7" t="s">
        <v>70</v>
      </c>
      <c r="H50" s="7" t="s">
        <v>52</v>
      </c>
      <c r="I50" s="7" t="s">
        <v>71</v>
      </c>
      <c r="J50" s="116">
        <v>42</v>
      </c>
      <c r="K50" s="8">
        <f t="shared" si="12"/>
        <v>8</v>
      </c>
      <c r="L50" s="8">
        <f>42-8</f>
        <v>34</v>
      </c>
      <c r="M50" s="152" t="s">
        <v>363</v>
      </c>
      <c r="N50" s="142">
        <v>0</v>
      </c>
      <c r="O50" s="142">
        <v>0</v>
      </c>
      <c r="P50" s="142">
        <v>0</v>
      </c>
      <c r="Q50" s="142">
        <v>0</v>
      </c>
      <c r="R50" s="142">
        <v>42</v>
      </c>
      <c r="S50" s="142">
        <v>8</v>
      </c>
      <c r="T50" s="143">
        <v>0</v>
      </c>
      <c r="U50" s="144">
        <f t="shared" si="23"/>
        <v>34</v>
      </c>
      <c r="V50" s="144"/>
      <c r="W50" s="144"/>
      <c r="X50" s="144">
        <f t="shared" si="14"/>
        <v>0</v>
      </c>
      <c r="Y50" s="144">
        <f t="shared" si="15"/>
        <v>8</v>
      </c>
      <c r="Z50" s="167">
        <v>15.66</v>
      </c>
      <c r="AA50" s="167">
        <f t="shared" si="16"/>
        <v>125.28</v>
      </c>
      <c r="AB50" s="142">
        <f t="shared" si="2"/>
        <v>0</v>
      </c>
      <c r="AC50" s="142"/>
      <c r="AD50" s="142"/>
      <c r="AE50" s="142"/>
      <c r="AF50" s="169">
        <f t="shared" si="29"/>
        <v>0</v>
      </c>
      <c r="AG50" s="142">
        <f t="shared" si="25"/>
        <v>0</v>
      </c>
      <c r="AH50" s="142"/>
      <c r="AI50" s="142"/>
      <c r="AJ50" s="142"/>
      <c r="AK50" s="169">
        <f t="shared" si="17"/>
        <v>0</v>
      </c>
      <c r="AL50" s="142">
        <v>3600</v>
      </c>
      <c r="AM50" s="169">
        <f t="shared" si="26"/>
        <v>0</v>
      </c>
      <c r="AN50" s="142">
        <f t="shared" si="27"/>
        <v>125.28</v>
      </c>
      <c r="AO50" s="142">
        <v>0</v>
      </c>
      <c r="AP50" s="142"/>
      <c r="AQ50" s="142"/>
      <c r="AR50" s="142">
        <v>0</v>
      </c>
      <c r="AS50" s="142">
        <v>0</v>
      </c>
      <c r="AT50" s="145"/>
      <c r="AU50" s="145"/>
      <c r="AV50" s="145"/>
      <c r="AW50" s="145"/>
      <c r="AX50" s="145"/>
      <c r="AY50" s="145">
        <f>VLOOKUP(E50,Table1[[BL NO.]:[Total Value USD]],21,0)</f>
        <v>125.28</v>
      </c>
      <c r="AZ50" s="145">
        <f t="shared" si="18"/>
        <v>0</v>
      </c>
      <c r="BA50" s="9" t="s">
        <v>67</v>
      </c>
      <c r="BB50" s="7" t="s">
        <v>200</v>
      </c>
      <c r="BC50" s="7" t="s">
        <v>198</v>
      </c>
      <c r="BD50" s="7" t="s">
        <v>49</v>
      </c>
      <c r="BE50" s="10" t="s">
        <v>134</v>
      </c>
      <c r="BF50" s="9" t="s">
        <v>74</v>
      </c>
      <c r="BG50" s="146">
        <v>15.66</v>
      </c>
      <c r="BH50" s="146">
        <f t="shared" si="28"/>
        <v>125.28</v>
      </c>
      <c r="BI50" s="147">
        <f t="shared" si="24"/>
        <v>56376</v>
      </c>
      <c r="BJ50" s="147">
        <f t="shared" si="30"/>
        <v>1916784</v>
      </c>
      <c r="BK50" s="148">
        <v>62040.82</v>
      </c>
      <c r="BL50" s="147">
        <f t="shared" si="31"/>
        <v>2109387.88</v>
      </c>
      <c r="BM50" s="44">
        <v>0</v>
      </c>
      <c r="BN50" s="23">
        <v>3600</v>
      </c>
      <c r="BO50" s="10" t="s">
        <v>206</v>
      </c>
      <c r="BP50" s="25" t="s">
        <v>45</v>
      </c>
      <c r="BQ50" s="27" t="s">
        <v>110</v>
      </c>
      <c r="BR50" s="10" t="s">
        <v>176</v>
      </c>
      <c r="BS50" s="27" t="s">
        <v>54</v>
      </c>
      <c r="BT50" s="14"/>
      <c r="BU50" s="14" t="s">
        <v>65</v>
      </c>
      <c r="BV50" s="149" t="s">
        <v>42</v>
      </c>
      <c r="BW50" s="25" t="s">
        <v>61</v>
      </c>
      <c r="BX50" s="150">
        <f t="shared" si="32"/>
        <v>125.28</v>
      </c>
      <c r="BY50" s="154">
        <v>0</v>
      </c>
      <c r="BZ50" s="13">
        <f t="shared" si="10"/>
        <v>125.28</v>
      </c>
      <c r="CA50" s="29">
        <f t="shared" si="11"/>
        <v>1</v>
      </c>
      <c r="CB50" s="25" t="s">
        <v>62</v>
      </c>
      <c r="CC50" s="7" t="s">
        <v>364</v>
      </c>
      <c r="CD50" s="7"/>
    </row>
    <row r="51" spans="1:82" x14ac:dyDescent="0.25">
      <c r="A51" s="123">
        <v>46039</v>
      </c>
      <c r="B51" s="6" t="str">
        <f t="shared" si="0"/>
        <v>Jan</v>
      </c>
      <c r="C51" s="39">
        <f t="shared" si="1"/>
        <v>2026</v>
      </c>
      <c r="D51" s="6">
        <v>48</v>
      </c>
      <c r="E51" s="6" t="s">
        <v>238</v>
      </c>
      <c r="F51" s="6" t="s">
        <v>69</v>
      </c>
      <c r="G51" s="7" t="s">
        <v>70</v>
      </c>
      <c r="H51" s="7" t="s">
        <v>52</v>
      </c>
      <c r="I51" s="7" t="s">
        <v>71</v>
      </c>
      <c r="J51" s="116">
        <v>23</v>
      </c>
      <c r="K51" s="8">
        <f t="shared" si="12"/>
        <v>5</v>
      </c>
      <c r="L51" s="8">
        <f>23-5</f>
        <v>18</v>
      </c>
      <c r="M51" s="152" t="s">
        <v>365</v>
      </c>
      <c r="N51" s="142">
        <v>0</v>
      </c>
      <c r="O51" s="142">
        <v>0</v>
      </c>
      <c r="P51" s="142">
        <v>0</v>
      </c>
      <c r="Q51" s="142">
        <v>0</v>
      </c>
      <c r="R51" s="142">
        <v>23</v>
      </c>
      <c r="S51" s="142">
        <v>5</v>
      </c>
      <c r="T51" s="143">
        <v>0</v>
      </c>
      <c r="U51" s="144">
        <f t="shared" si="23"/>
        <v>18</v>
      </c>
      <c r="V51" s="144"/>
      <c r="W51" s="144"/>
      <c r="X51" s="144">
        <f t="shared" si="14"/>
        <v>0</v>
      </c>
      <c r="Y51" s="144">
        <f t="shared" si="15"/>
        <v>5</v>
      </c>
      <c r="Z51" s="167">
        <v>15.79</v>
      </c>
      <c r="AA51" s="167">
        <f t="shared" si="16"/>
        <v>78.949999999999989</v>
      </c>
      <c r="AB51" s="142">
        <f t="shared" si="2"/>
        <v>0</v>
      </c>
      <c r="AC51" s="142"/>
      <c r="AD51" s="142"/>
      <c r="AE51" s="142"/>
      <c r="AF51" s="169">
        <f t="shared" si="29"/>
        <v>0</v>
      </c>
      <c r="AG51" s="142">
        <f t="shared" si="25"/>
        <v>0</v>
      </c>
      <c r="AH51" s="142"/>
      <c r="AI51" s="142"/>
      <c r="AJ51" s="142"/>
      <c r="AK51" s="169">
        <f t="shared" si="17"/>
        <v>0</v>
      </c>
      <c r="AL51" s="142">
        <v>3600</v>
      </c>
      <c r="AM51" s="169">
        <f t="shared" si="26"/>
        <v>0</v>
      </c>
      <c r="AN51" s="142">
        <f t="shared" si="27"/>
        <v>78.949999999999989</v>
      </c>
      <c r="AO51" s="142">
        <v>0</v>
      </c>
      <c r="AP51" s="142"/>
      <c r="AQ51" s="142"/>
      <c r="AR51" s="142">
        <v>0</v>
      </c>
      <c r="AS51" s="142">
        <v>0</v>
      </c>
      <c r="AT51" s="145"/>
      <c r="AU51" s="145"/>
      <c r="AV51" s="145"/>
      <c r="AW51" s="145"/>
      <c r="AX51" s="145"/>
      <c r="AY51" s="145">
        <f>VLOOKUP(E51,Table1[[BL NO.]:[Total Value USD]],21,0)</f>
        <v>78.949999999999989</v>
      </c>
      <c r="AZ51" s="145">
        <f t="shared" si="18"/>
        <v>0</v>
      </c>
      <c r="BA51" s="9" t="s">
        <v>67</v>
      </c>
      <c r="BB51" s="7" t="s">
        <v>200</v>
      </c>
      <c r="BC51" s="7" t="s">
        <v>198</v>
      </c>
      <c r="BD51" s="7" t="s">
        <v>49</v>
      </c>
      <c r="BE51" s="10" t="s">
        <v>135</v>
      </c>
      <c r="BF51" s="9" t="s">
        <v>74</v>
      </c>
      <c r="BG51" s="146">
        <v>15.79</v>
      </c>
      <c r="BH51" s="146">
        <f t="shared" si="28"/>
        <v>78.949999999999989</v>
      </c>
      <c r="BI51" s="147">
        <f t="shared" si="24"/>
        <v>56844</v>
      </c>
      <c r="BJ51" s="147">
        <f t="shared" si="30"/>
        <v>1023192</v>
      </c>
      <c r="BK51" s="148">
        <v>62040.82</v>
      </c>
      <c r="BL51" s="147">
        <f t="shared" si="31"/>
        <v>1116734.76</v>
      </c>
      <c r="BM51" s="44">
        <v>0</v>
      </c>
      <c r="BN51" s="23">
        <v>3600</v>
      </c>
      <c r="BO51" s="10" t="s">
        <v>206</v>
      </c>
      <c r="BP51" s="25" t="s">
        <v>45</v>
      </c>
      <c r="BQ51" s="27" t="s">
        <v>110</v>
      </c>
      <c r="BR51" s="10" t="s">
        <v>176</v>
      </c>
      <c r="BS51" s="27" t="s">
        <v>54</v>
      </c>
      <c r="BT51" s="14"/>
      <c r="BU51" s="14" t="s">
        <v>65</v>
      </c>
      <c r="BV51" s="149" t="s">
        <v>42</v>
      </c>
      <c r="BW51" s="25" t="s">
        <v>61</v>
      </c>
      <c r="BX51" s="150">
        <f t="shared" si="32"/>
        <v>78.949999999999989</v>
      </c>
      <c r="BY51" s="154">
        <v>0</v>
      </c>
      <c r="BZ51" s="13">
        <f t="shared" si="10"/>
        <v>78.949999999999989</v>
      </c>
      <c r="CA51" s="29">
        <f t="shared" si="11"/>
        <v>1</v>
      </c>
      <c r="CB51" s="25" t="s">
        <v>62</v>
      </c>
      <c r="CC51" s="7" t="s">
        <v>364</v>
      </c>
      <c r="CD51" s="7"/>
    </row>
    <row r="52" spans="1:82" x14ac:dyDescent="0.25">
      <c r="A52" s="123">
        <v>46075</v>
      </c>
      <c r="B52" s="6" t="str">
        <f t="shared" si="0"/>
        <v>Feb</v>
      </c>
      <c r="C52" s="39">
        <f t="shared" si="1"/>
        <v>2026</v>
      </c>
      <c r="D52" s="6">
        <v>49</v>
      </c>
      <c r="E52" s="6" t="s">
        <v>242</v>
      </c>
      <c r="F52" s="6" t="s">
        <v>136</v>
      </c>
      <c r="G52" s="7" t="s">
        <v>137</v>
      </c>
      <c r="H52" s="7">
        <v>4000000058</v>
      </c>
      <c r="I52" s="7" t="s">
        <v>71</v>
      </c>
      <c r="J52" s="8">
        <v>36</v>
      </c>
      <c r="K52" s="8">
        <f t="shared" si="12"/>
        <v>18</v>
      </c>
      <c r="L52" s="8">
        <f>36-5</f>
        <v>31</v>
      </c>
      <c r="M52" s="152" t="s">
        <v>366</v>
      </c>
      <c r="N52" s="142">
        <v>13</v>
      </c>
      <c r="O52" s="142">
        <v>0</v>
      </c>
      <c r="P52" s="142">
        <v>0</v>
      </c>
      <c r="Q52" s="142">
        <v>0</v>
      </c>
      <c r="R52" s="142">
        <v>23</v>
      </c>
      <c r="S52" s="142">
        <v>5</v>
      </c>
      <c r="T52" s="143">
        <v>0</v>
      </c>
      <c r="U52" s="144">
        <f t="shared" si="23"/>
        <v>18</v>
      </c>
      <c r="V52" s="144"/>
      <c r="W52" s="144"/>
      <c r="X52" s="144">
        <f t="shared" si="14"/>
        <v>0</v>
      </c>
      <c r="Y52" s="144">
        <f t="shared" si="15"/>
        <v>18</v>
      </c>
      <c r="Z52" s="167">
        <v>15.79</v>
      </c>
      <c r="AA52" s="167">
        <f t="shared" si="16"/>
        <v>284.21999999999997</v>
      </c>
      <c r="AB52" s="142">
        <f t="shared" si="2"/>
        <v>13</v>
      </c>
      <c r="AC52" s="142"/>
      <c r="AD52" s="142"/>
      <c r="AE52" s="142"/>
      <c r="AF52" s="169">
        <f t="shared" si="29"/>
        <v>0</v>
      </c>
      <c r="AG52" s="142">
        <f t="shared" si="25"/>
        <v>0</v>
      </c>
      <c r="AH52" s="142"/>
      <c r="AI52" s="142"/>
      <c r="AJ52" s="142"/>
      <c r="AK52" s="169">
        <f t="shared" si="17"/>
        <v>0</v>
      </c>
      <c r="AL52" s="142">
        <v>3500</v>
      </c>
      <c r="AM52" s="169">
        <f t="shared" si="26"/>
        <v>0</v>
      </c>
      <c r="AN52" s="142">
        <f t="shared" si="27"/>
        <v>284.21999999999997</v>
      </c>
      <c r="AO52" s="142">
        <v>0</v>
      </c>
      <c r="AP52" s="142"/>
      <c r="AQ52" s="142"/>
      <c r="AR52" s="142">
        <v>0</v>
      </c>
      <c r="AS52" s="142">
        <v>0</v>
      </c>
      <c r="AT52" s="145"/>
      <c r="AU52" s="145"/>
      <c r="AV52" s="145"/>
      <c r="AW52" s="145"/>
      <c r="AX52" s="145"/>
      <c r="AY52" s="145">
        <f>VLOOKUP(E52,Table1[[BL NO.]:[Total Value USD]],21,0)</f>
        <v>284.21999999999997</v>
      </c>
      <c r="AZ52" s="145">
        <f t="shared" si="18"/>
        <v>0</v>
      </c>
      <c r="BA52" s="9" t="s">
        <v>67</v>
      </c>
      <c r="BB52" s="7" t="s">
        <v>200</v>
      </c>
      <c r="BC52" s="7" t="s">
        <v>198</v>
      </c>
      <c r="BD52" s="7" t="s">
        <v>49</v>
      </c>
      <c r="BE52" s="10" t="s">
        <v>182</v>
      </c>
      <c r="BF52" s="9" t="s">
        <v>74</v>
      </c>
      <c r="BG52" s="146">
        <v>15.79</v>
      </c>
      <c r="BH52" s="146">
        <f t="shared" si="28"/>
        <v>284.21999999999997</v>
      </c>
      <c r="BI52" s="147">
        <f t="shared" si="24"/>
        <v>55265</v>
      </c>
      <c r="BJ52" s="147">
        <f t="shared" si="30"/>
        <v>1713215</v>
      </c>
      <c r="BK52" s="148">
        <v>59621.440000000002</v>
      </c>
      <c r="BL52" s="147">
        <f t="shared" si="31"/>
        <v>1848264.6400000001</v>
      </c>
      <c r="BM52" s="44">
        <v>0</v>
      </c>
      <c r="BN52" s="23">
        <v>3500</v>
      </c>
      <c r="BO52" s="10" t="s">
        <v>206</v>
      </c>
      <c r="BP52" s="10" t="s">
        <v>40</v>
      </c>
      <c r="BQ52" s="27" t="s">
        <v>110</v>
      </c>
      <c r="BR52" s="10" t="s">
        <v>176</v>
      </c>
      <c r="BS52" s="27" t="s">
        <v>54</v>
      </c>
      <c r="BT52" s="14"/>
      <c r="BU52" s="14" t="s">
        <v>41</v>
      </c>
      <c r="BV52" s="149" t="s">
        <v>42</v>
      </c>
      <c r="BW52" s="14" t="s">
        <v>270</v>
      </c>
      <c r="BX52" s="150">
        <f t="shared" si="32"/>
        <v>284.21999999999997</v>
      </c>
      <c r="BY52" s="154">
        <v>0</v>
      </c>
      <c r="BZ52" s="13">
        <f t="shared" si="10"/>
        <v>284.21999999999997</v>
      </c>
      <c r="CA52" s="29">
        <f t="shared" si="11"/>
        <v>1</v>
      </c>
      <c r="CB52" s="25" t="s">
        <v>141</v>
      </c>
      <c r="CC52" s="7"/>
      <c r="CD52" s="7"/>
    </row>
    <row r="53" spans="1:82" x14ac:dyDescent="0.25">
      <c r="A53" s="123">
        <v>46075</v>
      </c>
      <c r="B53" s="6" t="str">
        <f t="shared" si="0"/>
        <v>Feb</v>
      </c>
      <c r="C53" s="39">
        <f t="shared" si="1"/>
        <v>2026</v>
      </c>
      <c r="D53" s="6">
        <v>50</v>
      </c>
      <c r="E53" s="6" t="s">
        <v>243</v>
      </c>
      <c r="F53" s="6" t="s">
        <v>136</v>
      </c>
      <c r="G53" s="7" t="s">
        <v>137</v>
      </c>
      <c r="H53" s="7">
        <v>4000000058</v>
      </c>
      <c r="I53" s="7" t="s">
        <v>71</v>
      </c>
      <c r="J53" s="8">
        <v>29</v>
      </c>
      <c r="K53" s="8">
        <f t="shared" si="12"/>
        <v>10</v>
      </c>
      <c r="L53" s="8">
        <f>29-9</f>
        <v>20</v>
      </c>
      <c r="M53" s="152" t="s">
        <v>367</v>
      </c>
      <c r="N53" s="142">
        <v>1</v>
      </c>
      <c r="O53" s="142">
        <v>0</v>
      </c>
      <c r="P53" s="142">
        <v>0</v>
      </c>
      <c r="Q53" s="142">
        <v>0</v>
      </c>
      <c r="R53" s="142">
        <v>28</v>
      </c>
      <c r="S53" s="142">
        <v>9</v>
      </c>
      <c r="T53" s="143">
        <v>0</v>
      </c>
      <c r="U53" s="144">
        <f t="shared" si="23"/>
        <v>19</v>
      </c>
      <c r="V53" s="144"/>
      <c r="W53" s="144"/>
      <c r="X53" s="144">
        <f t="shared" si="14"/>
        <v>0</v>
      </c>
      <c r="Y53" s="144">
        <f t="shared" si="15"/>
        <v>10</v>
      </c>
      <c r="Z53" s="167">
        <v>15.79</v>
      </c>
      <c r="AA53" s="167">
        <f t="shared" si="16"/>
        <v>157.89999999999998</v>
      </c>
      <c r="AB53" s="142">
        <f t="shared" si="2"/>
        <v>1</v>
      </c>
      <c r="AC53" s="142"/>
      <c r="AD53" s="142"/>
      <c r="AE53" s="142"/>
      <c r="AF53" s="169">
        <f t="shared" si="29"/>
        <v>0</v>
      </c>
      <c r="AG53" s="142">
        <f t="shared" si="25"/>
        <v>0</v>
      </c>
      <c r="AH53" s="142"/>
      <c r="AI53" s="142"/>
      <c r="AJ53" s="142"/>
      <c r="AK53" s="169">
        <f t="shared" si="17"/>
        <v>0</v>
      </c>
      <c r="AL53" s="142">
        <v>3500</v>
      </c>
      <c r="AM53" s="169">
        <f t="shared" si="26"/>
        <v>0</v>
      </c>
      <c r="AN53" s="142">
        <f t="shared" si="27"/>
        <v>157.89999999999998</v>
      </c>
      <c r="AO53" s="142">
        <v>0</v>
      </c>
      <c r="AP53" s="142"/>
      <c r="AQ53" s="142"/>
      <c r="AR53" s="142">
        <v>0</v>
      </c>
      <c r="AS53" s="142">
        <v>0</v>
      </c>
      <c r="AT53" s="145"/>
      <c r="AU53" s="145"/>
      <c r="AV53" s="145"/>
      <c r="AW53" s="145"/>
      <c r="AX53" s="145"/>
      <c r="AY53" s="145">
        <f>VLOOKUP(E53,Table1[[BL NO.]:[Total Value USD]],21,0)</f>
        <v>157.89999999999998</v>
      </c>
      <c r="AZ53" s="145">
        <f t="shared" si="18"/>
        <v>0</v>
      </c>
      <c r="BA53" s="9" t="s">
        <v>67</v>
      </c>
      <c r="BB53" s="7" t="s">
        <v>200</v>
      </c>
      <c r="BC53" s="7" t="s">
        <v>198</v>
      </c>
      <c r="BD53" s="7" t="s">
        <v>49</v>
      </c>
      <c r="BE53" s="10" t="s">
        <v>183</v>
      </c>
      <c r="BF53" s="9" t="s">
        <v>74</v>
      </c>
      <c r="BG53" s="146">
        <v>15.79</v>
      </c>
      <c r="BH53" s="146">
        <f t="shared" si="28"/>
        <v>157.89999999999998</v>
      </c>
      <c r="BI53" s="147">
        <f t="shared" si="24"/>
        <v>55265</v>
      </c>
      <c r="BJ53" s="147">
        <f t="shared" si="30"/>
        <v>1105300</v>
      </c>
      <c r="BK53" s="148">
        <v>59621.440000000002</v>
      </c>
      <c r="BL53" s="147">
        <f t="shared" si="31"/>
        <v>1192428.8</v>
      </c>
      <c r="BM53" s="44">
        <v>0</v>
      </c>
      <c r="BN53" s="23">
        <v>3500</v>
      </c>
      <c r="BO53" s="10" t="s">
        <v>206</v>
      </c>
      <c r="BP53" s="10" t="s">
        <v>40</v>
      </c>
      <c r="BQ53" s="27" t="s">
        <v>110</v>
      </c>
      <c r="BR53" s="10" t="s">
        <v>176</v>
      </c>
      <c r="BS53" s="27" t="s">
        <v>54</v>
      </c>
      <c r="BT53" s="14"/>
      <c r="BU53" s="14" t="s">
        <v>41</v>
      </c>
      <c r="BV53" s="149" t="s">
        <v>42</v>
      </c>
      <c r="BW53" s="14" t="s">
        <v>270</v>
      </c>
      <c r="BX53" s="150">
        <f t="shared" si="32"/>
        <v>157.89999999999998</v>
      </c>
      <c r="BY53" s="154">
        <v>0</v>
      </c>
      <c r="BZ53" s="13">
        <f t="shared" si="10"/>
        <v>157.89999999999998</v>
      </c>
      <c r="CA53" s="29">
        <f t="shared" si="11"/>
        <v>1</v>
      </c>
      <c r="CB53" s="25" t="s">
        <v>141</v>
      </c>
      <c r="CC53" s="7"/>
      <c r="CD53" s="7"/>
    </row>
    <row r="54" spans="1:82" x14ac:dyDescent="0.25">
      <c r="A54" s="123">
        <v>46075</v>
      </c>
      <c r="B54" s="6" t="str">
        <f t="shared" si="0"/>
        <v>Feb</v>
      </c>
      <c r="C54" s="39">
        <f t="shared" si="1"/>
        <v>2026</v>
      </c>
      <c r="D54" s="6">
        <v>51</v>
      </c>
      <c r="E54" s="6" t="s">
        <v>244</v>
      </c>
      <c r="F54" s="6" t="s">
        <v>136</v>
      </c>
      <c r="G54" s="7" t="s">
        <v>137</v>
      </c>
      <c r="H54" s="7">
        <v>4000000058</v>
      </c>
      <c r="I54" s="7" t="s">
        <v>71</v>
      </c>
      <c r="J54" s="8">
        <v>45</v>
      </c>
      <c r="K54" s="8">
        <f t="shared" si="12"/>
        <v>13</v>
      </c>
      <c r="L54" s="8">
        <f>45-12</f>
        <v>33</v>
      </c>
      <c r="M54" s="152" t="s">
        <v>368</v>
      </c>
      <c r="N54" s="142">
        <v>1</v>
      </c>
      <c r="O54" s="142">
        <v>0</v>
      </c>
      <c r="P54" s="142">
        <v>0</v>
      </c>
      <c r="Q54" s="142">
        <v>0</v>
      </c>
      <c r="R54" s="142">
        <v>44</v>
      </c>
      <c r="S54" s="142">
        <v>12</v>
      </c>
      <c r="T54" s="143">
        <v>0</v>
      </c>
      <c r="U54" s="144">
        <f t="shared" si="23"/>
        <v>32</v>
      </c>
      <c r="V54" s="144"/>
      <c r="W54" s="144"/>
      <c r="X54" s="144">
        <f t="shared" si="14"/>
        <v>0</v>
      </c>
      <c r="Y54" s="144">
        <f t="shared" si="15"/>
        <v>13</v>
      </c>
      <c r="Z54" s="167">
        <v>15.79</v>
      </c>
      <c r="AA54" s="167">
        <f t="shared" si="16"/>
        <v>205.26999999999998</v>
      </c>
      <c r="AB54" s="142">
        <f t="shared" si="2"/>
        <v>1</v>
      </c>
      <c r="AC54" s="142"/>
      <c r="AD54" s="142"/>
      <c r="AE54" s="142"/>
      <c r="AF54" s="169">
        <f t="shared" si="29"/>
        <v>0</v>
      </c>
      <c r="AG54" s="142">
        <f t="shared" si="25"/>
        <v>0</v>
      </c>
      <c r="AH54" s="142"/>
      <c r="AI54" s="142"/>
      <c r="AJ54" s="142"/>
      <c r="AK54" s="169">
        <f t="shared" si="17"/>
        <v>0</v>
      </c>
      <c r="AL54" s="142">
        <v>3500</v>
      </c>
      <c r="AM54" s="169">
        <f t="shared" si="26"/>
        <v>0</v>
      </c>
      <c r="AN54" s="142">
        <f t="shared" si="27"/>
        <v>205.26999999999998</v>
      </c>
      <c r="AO54" s="142">
        <v>0</v>
      </c>
      <c r="AP54" s="142"/>
      <c r="AQ54" s="142"/>
      <c r="AR54" s="142">
        <v>0</v>
      </c>
      <c r="AS54" s="142">
        <v>0</v>
      </c>
      <c r="AT54" s="145"/>
      <c r="AU54" s="145"/>
      <c r="AV54" s="145"/>
      <c r="AW54" s="145"/>
      <c r="AX54" s="145"/>
      <c r="AY54" s="145">
        <f>VLOOKUP(E54,Table1[[BL NO.]:[Total Value USD]],21,0)</f>
        <v>205.26999999999998</v>
      </c>
      <c r="AZ54" s="145">
        <f t="shared" si="18"/>
        <v>0</v>
      </c>
      <c r="BA54" s="9" t="s">
        <v>67</v>
      </c>
      <c r="BB54" s="7" t="s">
        <v>200</v>
      </c>
      <c r="BC54" s="7" t="s">
        <v>198</v>
      </c>
      <c r="BD54" s="7" t="s">
        <v>49</v>
      </c>
      <c r="BE54" s="10" t="s">
        <v>184</v>
      </c>
      <c r="BF54" s="9" t="s">
        <v>74</v>
      </c>
      <c r="BG54" s="146">
        <v>15.79</v>
      </c>
      <c r="BH54" s="146">
        <f t="shared" si="28"/>
        <v>205.26999999999998</v>
      </c>
      <c r="BI54" s="147">
        <f t="shared" si="24"/>
        <v>55265</v>
      </c>
      <c r="BJ54" s="147">
        <f t="shared" si="30"/>
        <v>1823745</v>
      </c>
      <c r="BK54" s="148">
        <v>59621.440000000002</v>
      </c>
      <c r="BL54" s="147">
        <f t="shared" si="31"/>
        <v>1967507.52</v>
      </c>
      <c r="BM54" s="44">
        <v>0</v>
      </c>
      <c r="BN54" s="23">
        <v>3500</v>
      </c>
      <c r="BO54" s="10" t="s">
        <v>206</v>
      </c>
      <c r="BP54" s="10" t="s">
        <v>40</v>
      </c>
      <c r="BQ54" s="27" t="s">
        <v>110</v>
      </c>
      <c r="BR54" s="10" t="s">
        <v>176</v>
      </c>
      <c r="BS54" s="27" t="s">
        <v>54</v>
      </c>
      <c r="BT54" s="14"/>
      <c r="BU54" s="14" t="s">
        <v>41</v>
      </c>
      <c r="BV54" s="149" t="s">
        <v>42</v>
      </c>
      <c r="BW54" s="14" t="s">
        <v>270</v>
      </c>
      <c r="BX54" s="150">
        <f t="shared" si="32"/>
        <v>205.26999999999998</v>
      </c>
      <c r="BY54" s="154">
        <v>0</v>
      </c>
      <c r="BZ54" s="13">
        <f t="shared" si="10"/>
        <v>205.26999999999998</v>
      </c>
      <c r="CA54" s="29">
        <f t="shared" si="11"/>
        <v>1</v>
      </c>
      <c r="CB54" s="25" t="s">
        <v>141</v>
      </c>
      <c r="CC54" s="7"/>
      <c r="CD54" s="7"/>
    </row>
    <row r="55" spans="1:82" x14ac:dyDescent="0.25">
      <c r="A55" s="123">
        <v>46089</v>
      </c>
      <c r="B55" s="6" t="str">
        <f t="shared" si="0"/>
        <v>Mar</v>
      </c>
      <c r="C55" s="39">
        <f t="shared" si="1"/>
        <v>2026</v>
      </c>
      <c r="D55" s="6">
        <v>52</v>
      </c>
      <c r="E55" s="6" t="s">
        <v>239</v>
      </c>
      <c r="F55" s="6" t="s">
        <v>136</v>
      </c>
      <c r="G55" s="7" t="s">
        <v>137</v>
      </c>
      <c r="H55" s="7">
        <v>4000000058</v>
      </c>
      <c r="I55" s="7" t="s">
        <v>71</v>
      </c>
      <c r="J55" s="8">
        <v>37</v>
      </c>
      <c r="K55" s="8">
        <f t="shared" si="12"/>
        <v>20</v>
      </c>
      <c r="L55" s="8">
        <f>37-9</f>
        <v>28</v>
      </c>
      <c r="M55" s="152" t="s">
        <v>369</v>
      </c>
      <c r="N55" s="142">
        <v>11</v>
      </c>
      <c r="O55" s="142">
        <v>0</v>
      </c>
      <c r="P55" s="142">
        <v>0</v>
      </c>
      <c r="Q55" s="142">
        <v>0</v>
      </c>
      <c r="R55" s="142">
        <v>26</v>
      </c>
      <c r="S55" s="142">
        <v>9</v>
      </c>
      <c r="T55" s="143">
        <v>0</v>
      </c>
      <c r="U55" s="144">
        <f t="shared" si="23"/>
        <v>17</v>
      </c>
      <c r="V55" s="144"/>
      <c r="W55" s="144"/>
      <c r="X55" s="144">
        <f t="shared" si="14"/>
        <v>0</v>
      </c>
      <c r="Y55" s="144">
        <f t="shared" si="15"/>
        <v>20</v>
      </c>
      <c r="Z55" s="167">
        <v>15.79</v>
      </c>
      <c r="AA55" s="167">
        <f t="shared" si="16"/>
        <v>315.79999999999995</v>
      </c>
      <c r="AB55" s="142">
        <f t="shared" si="2"/>
        <v>11</v>
      </c>
      <c r="AC55" s="142"/>
      <c r="AD55" s="142"/>
      <c r="AE55" s="142"/>
      <c r="AF55" s="169">
        <f t="shared" si="29"/>
        <v>0</v>
      </c>
      <c r="AG55" s="142">
        <f t="shared" si="25"/>
        <v>0</v>
      </c>
      <c r="AH55" s="142"/>
      <c r="AI55" s="142"/>
      <c r="AJ55" s="142"/>
      <c r="AK55" s="169">
        <f t="shared" si="17"/>
        <v>0</v>
      </c>
      <c r="AL55" s="142">
        <v>3510</v>
      </c>
      <c r="AM55" s="169">
        <f t="shared" si="26"/>
        <v>0</v>
      </c>
      <c r="AN55" s="142">
        <f t="shared" si="27"/>
        <v>315.79999999999995</v>
      </c>
      <c r="AO55" s="142">
        <v>0</v>
      </c>
      <c r="AP55" s="142"/>
      <c r="AQ55" s="142"/>
      <c r="AR55" s="142">
        <v>0</v>
      </c>
      <c r="AS55" s="142">
        <v>0</v>
      </c>
      <c r="AT55" s="145"/>
      <c r="AU55" s="145"/>
      <c r="AV55" s="145"/>
      <c r="AW55" s="145"/>
      <c r="AX55" s="145"/>
      <c r="AY55" s="145">
        <f>VLOOKUP(E55,Table1[[BL NO.]:[Total Value USD]],21,0)</f>
        <v>315.79999999999995</v>
      </c>
      <c r="AZ55" s="145">
        <f t="shared" si="18"/>
        <v>0</v>
      </c>
      <c r="BA55" s="9" t="s">
        <v>67</v>
      </c>
      <c r="BB55" s="7" t="s">
        <v>200</v>
      </c>
      <c r="BC55" s="7" t="s">
        <v>198</v>
      </c>
      <c r="BD55" s="7" t="s">
        <v>49</v>
      </c>
      <c r="BE55" s="10" t="s">
        <v>138</v>
      </c>
      <c r="BF55" s="9" t="s">
        <v>74</v>
      </c>
      <c r="BG55" s="146">
        <v>15.79</v>
      </c>
      <c r="BH55" s="146">
        <f t="shared" si="28"/>
        <v>315.79999999999995</v>
      </c>
      <c r="BI55" s="147">
        <f t="shared" si="24"/>
        <v>55422.899999999994</v>
      </c>
      <c r="BJ55" s="147">
        <f t="shared" si="30"/>
        <v>1551841.1999999997</v>
      </c>
      <c r="BK55" s="148">
        <v>59621.440000000002</v>
      </c>
      <c r="BL55" s="147">
        <f t="shared" si="31"/>
        <v>1669400.32</v>
      </c>
      <c r="BM55" s="44">
        <v>0</v>
      </c>
      <c r="BN55" s="23">
        <v>3510</v>
      </c>
      <c r="BO55" s="10" t="s">
        <v>50</v>
      </c>
      <c r="BP55" s="10" t="s">
        <v>40</v>
      </c>
      <c r="BQ55" s="27" t="s">
        <v>110</v>
      </c>
      <c r="BR55" s="10" t="s">
        <v>176</v>
      </c>
      <c r="BS55" s="27" t="s">
        <v>54</v>
      </c>
      <c r="BT55" s="14"/>
      <c r="BU55" s="14" t="s">
        <v>50</v>
      </c>
      <c r="BV55" s="149" t="s">
        <v>50</v>
      </c>
      <c r="BW55" s="14" t="s">
        <v>207</v>
      </c>
      <c r="BX55" s="150">
        <f t="shared" si="32"/>
        <v>315.79999999999995</v>
      </c>
      <c r="BY55" s="154">
        <v>0</v>
      </c>
      <c r="BZ55" s="13">
        <f t="shared" si="10"/>
        <v>315.79999999999995</v>
      </c>
      <c r="CA55" s="29">
        <f t="shared" si="11"/>
        <v>1</v>
      </c>
      <c r="CB55" s="22" t="s">
        <v>55</v>
      </c>
      <c r="CC55" s="7"/>
      <c r="CD55" s="7"/>
    </row>
    <row r="56" spans="1:82" x14ac:dyDescent="0.25">
      <c r="A56" s="123">
        <v>46089</v>
      </c>
      <c r="B56" s="6" t="str">
        <f t="shared" si="0"/>
        <v>Mar</v>
      </c>
      <c r="C56" s="39">
        <f t="shared" si="1"/>
        <v>2026</v>
      </c>
      <c r="D56" s="6">
        <v>53</v>
      </c>
      <c r="E56" s="195" t="s">
        <v>245</v>
      </c>
      <c r="F56" s="6" t="s">
        <v>153</v>
      </c>
      <c r="G56" s="7" t="s">
        <v>396</v>
      </c>
      <c r="H56" s="7">
        <v>4000000088</v>
      </c>
      <c r="I56" s="7" t="s">
        <v>160</v>
      </c>
      <c r="J56" s="116">
        <v>71</v>
      </c>
      <c r="K56" s="8">
        <f t="shared" si="12"/>
        <v>28</v>
      </c>
      <c r="L56" s="8">
        <f>71-13</f>
        <v>58</v>
      </c>
      <c r="M56" s="152" t="s">
        <v>370</v>
      </c>
      <c r="N56" s="142">
        <v>15</v>
      </c>
      <c r="O56" s="142">
        <v>0</v>
      </c>
      <c r="P56" s="142">
        <v>0</v>
      </c>
      <c r="Q56" s="142">
        <v>0</v>
      </c>
      <c r="R56" s="142">
        <v>56</v>
      </c>
      <c r="S56" s="142">
        <v>13</v>
      </c>
      <c r="T56" s="143">
        <v>0</v>
      </c>
      <c r="U56" s="144">
        <f t="shared" si="23"/>
        <v>43</v>
      </c>
      <c r="V56" s="144"/>
      <c r="W56" s="144"/>
      <c r="X56" s="144">
        <f t="shared" si="14"/>
        <v>0</v>
      </c>
      <c r="Y56" s="144">
        <f t="shared" si="15"/>
        <v>28</v>
      </c>
      <c r="Z56" s="167">
        <v>7.7991549295774645</v>
      </c>
      <c r="AA56" s="167">
        <f t="shared" si="16"/>
        <v>218.37633802816902</v>
      </c>
      <c r="AB56" s="142">
        <f t="shared" si="2"/>
        <v>15</v>
      </c>
      <c r="AC56" s="142"/>
      <c r="AD56" s="142"/>
      <c r="AE56" s="142"/>
      <c r="AF56" s="169">
        <f t="shared" si="29"/>
        <v>0</v>
      </c>
      <c r="AG56" s="142">
        <f t="shared" si="25"/>
        <v>0</v>
      </c>
      <c r="AH56" s="142"/>
      <c r="AI56" s="142"/>
      <c r="AJ56" s="142"/>
      <c r="AK56" s="169">
        <f t="shared" si="17"/>
        <v>0</v>
      </c>
      <c r="AL56" s="142">
        <v>3510</v>
      </c>
      <c r="AM56" s="169">
        <f t="shared" si="26"/>
        <v>0</v>
      </c>
      <c r="AN56" s="142">
        <f t="shared" si="27"/>
        <v>218.37633802816902</v>
      </c>
      <c r="AO56" s="142">
        <v>0</v>
      </c>
      <c r="AP56" s="142"/>
      <c r="AQ56" s="142"/>
      <c r="AR56" s="142">
        <v>0</v>
      </c>
      <c r="AS56" s="142">
        <v>0</v>
      </c>
      <c r="AT56" s="145"/>
      <c r="AU56" s="145"/>
      <c r="AV56" s="145"/>
      <c r="AW56" s="145"/>
      <c r="AX56" s="145"/>
      <c r="AY56" s="145">
        <f>VLOOKUP(E56,Table1[[BL NO.]:[Total Value USD]],21,0)</f>
        <v>218.37633802816902</v>
      </c>
      <c r="AZ56" s="145">
        <f t="shared" si="18"/>
        <v>0</v>
      </c>
      <c r="BA56" s="9" t="s">
        <v>67</v>
      </c>
      <c r="BB56" s="7" t="s">
        <v>200</v>
      </c>
      <c r="BC56" s="7" t="s">
        <v>198</v>
      </c>
      <c r="BD56" s="7" t="s">
        <v>49</v>
      </c>
      <c r="BE56" s="10" t="s">
        <v>140</v>
      </c>
      <c r="BF56" s="9" t="s">
        <v>130</v>
      </c>
      <c r="BG56" s="146">
        <v>7.7991549295774645</v>
      </c>
      <c r="BH56" s="146">
        <f t="shared" si="28"/>
        <v>218.37633802816902</v>
      </c>
      <c r="BI56" s="147">
        <f t="shared" si="24"/>
        <v>27375.033802816899</v>
      </c>
      <c r="BJ56" s="147">
        <f t="shared" si="30"/>
        <v>1587751.96056338</v>
      </c>
      <c r="BK56" s="148">
        <v>28977.5</v>
      </c>
      <c r="BL56" s="147">
        <f t="shared" si="31"/>
        <v>1680695</v>
      </c>
      <c r="BM56" s="44">
        <v>0</v>
      </c>
      <c r="BN56" s="23">
        <v>3510</v>
      </c>
      <c r="BO56" s="10" t="s">
        <v>206</v>
      </c>
      <c r="BP56" s="10" t="s">
        <v>40</v>
      </c>
      <c r="BQ56" s="27" t="s">
        <v>110</v>
      </c>
      <c r="BR56" s="10" t="s">
        <v>176</v>
      </c>
      <c r="BS56" s="27" t="s">
        <v>54</v>
      </c>
      <c r="BT56" s="14"/>
      <c r="BU56" s="14" t="s">
        <v>41</v>
      </c>
      <c r="BV56" s="149" t="s">
        <v>42</v>
      </c>
      <c r="BW56" s="14" t="s">
        <v>270</v>
      </c>
      <c r="BX56" s="150">
        <f t="shared" si="32"/>
        <v>218.37633802816902</v>
      </c>
      <c r="BY56" s="154">
        <v>0</v>
      </c>
      <c r="BZ56" s="13">
        <f t="shared" si="10"/>
        <v>218.37633802816902</v>
      </c>
      <c r="CA56" s="29">
        <f t="shared" si="11"/>
        <v>1</v>
      </c>
      <c r="CB56" s="25" t="s">
        <v>141</v>
      </c>
      <c r="CC56" s="7" t="s">
        <v>371</v>
      </c>
      <c r="CD56" s="7"/>
    </row>
    <row r="57" spans="1:82" x14ac:dyDescent="0.25">
      <c r="A57" s="123">
        <v>46089</v>
      </c>
      <c r="B57" s="6" t="str">
        <f t="shared" si="0"/>
        <v>Mar</v>
      </c>
      <c r="C57" s="39">
        <f t="shared" si="1"/>
        <v>2026</v>
      </c>
      <c r="D57" s="6">
        <v>54</v>
      </c>
      <c r="E57" s="6" t="s">
        <v>240</v>
      </c>
      <c r="F57" s="6" t="s">
        <v>153</v>
      </c>
      <c r="G57" s="7" t="s">
        <v>396</v>
      </c>
      <c r="H57" s="7">
        <v>4000000088</v>
      </c>
      <c r="I57" s="7" t="s">
        <v>160</v>
      </c>
      <c r="J57" s="8">
        <v>221</v>
      </c>
      <c r="K57" s="8">
        <f t="shared" si="12"/>
        <v>143</v>
      </c>
      <c r="L57" s="8">
        <f>221-16-3-3</f>
        <v>199</v>
      </c>
      <c r="M57" s="152" t="s">
        <v>372</v>
      </c>
      <c r="N57" s="142">
        <v>7</v>
      </c>
      <c r="O57" s="142">
        <v>117</v>
      </c>
      <c r="P57" s="142">
        <v>0</v>
      </c>
      <c r="Q57" s="142">
        <v>0</v>
      </c>
      <c r="R57" s="142">
        <v>97</v>
      </c>
      <c r="S57" s="142">
        <v>16</v>
      </c>
      <c r="T57" s="143">
        <v>3</v>
      </c>
      <c r="U57" s="144">
        <f t="shared" si="23"/>
        <v>78</v>
      </c>
      <c r="V57" s="144"/>
      <c r="W57" s="144"/>
      <c r="X57" s="144">
        <f t="shared" si="14"/>
        <v>0</v>
      </c>
      <c r="Y57" s="144">
        <f t="shared" si="15"/>
        <v>143</v>
      </c>
      <c r="Z57" s="167">
        <v>7.7991549295774645</v>
      </c>
      <c r="AA57" s="167">
        <f t="shared" si="16"/>
        <v>1115.2791549295773</v>
      </c>
      <c r="AB57" s="142">
        <f t="shared" si="2"/>
        <v>7</v>
      </c>
      <c r="AC57" s="142"/>
      <c r="AD57" s="142"/>
      <c r="AE57" s="142"/>
      <c r="AF57" s="169">
        <f t="shared" si="29"/>
        <v>0</v>
      </c>
      <c r="AG57" s="142">
        <f t="shared" si="25"/>
        <v>3</v>
      </c>
      <c r="AH57" s="142"/>
      <c r="AI57" s="142"/>
      <c r="AJ57" s="142"/>
      <c r="AK57" s="169">
        <f t="shared" si="17"/>
        <v>0</v>
      </c>
      <c r="AL57" s="142">
        <v>3510</v>
      </c>
      <c r="AM57" s="169">
        <f t="shared" si="26"/>
        <v>0</v>
      </c>
      <c r="AN57" s="142">
        <f t="shared" si="27"/>
        <v>1115.2791549295773</v>
      </c>
      <c r="AO57" s="142">
        <v>0</v>
      </c>
      <c r="AP57" s="142"/>
      <c r="AQ57" s="142"/>
      <c r="AR57" s="142">
        <v>117</v>
      </c>
      <c r="AS57" s="142">
        <v>0</v>
      </c>
      <c r="AT57" s="145"/>
      <c r="AU57" s="145"/>
      <c r="AV57" s="145"/>
      <c r="AW57" s="145"/>
      <c r="AX57" s="145"/>
      <c r="AY57" s="145">
        <f>VLOOKUP(E57,Table1[[BL NO.]:[Total Value USD]],21,0)</f>
        <v>1115.2791549295773</v>
      </c>
      <c r="AZ57" s="145">
        <f t="shared" si="18"/>
        <v>0</v>
      </c>
      <c r="BA57" s="9" t="s">
        <v>67</v>
      </c>
      <c r="BB57" s="7" t="s">
        <v>200</v>
      </c>
      <c r="BC57" s="7" t="s">
        <v>198</v>
      </c>
      <c r="BD57" s="7" t="s">
        <v>49</v>
      </c>
      <c r="BE57" s="10" t="s">
        <v>143</v>
      </c>
      <c r="BF57" s="9" t="s">
        <v>144</v>
      </c>
      <c r="BG57" s="146">
        <v>7.7991549295774645</v>
      </c>
      <c r="BH57" s="146">
        <f t="shared" si="28"/>
        <v>1115.2791549295773</v>
      </c>
      <c r="BI57" s="147">
        <f t="shared" si="24"/>
        <v>27375.033802816899</v>
      </c>
      <c r="BJ57" s="147">
        <f t="shared" si="30"/>
        <v>5447631.7267605625</v>
      </c>
      <c r="BK57" s="148">
        <v>28977.5</v>
      </c>
      <c r="BL57" s="147">
        <f t="shared" si="31"/>
        <v>5766522.5</v>
      </c>
      <c r="BM57" s="44">
        <v>0</v>
      </c>
      <c r="BN57" s="23">
        <v>3510</v>
      </c>
      <c r="BO57" s="10" t="s">
        <v>206</v>
      </c>
      <c r="BP57" s="10" t="s">
        <v>40</v>
      </c>
      <c r="BQ57" s="27" t="s">
        <v>110</v>
      </c>
      <c r="BR57" s="10" t="s">
        <v>176</v>
      </c>
      <c r="BS57" s="27" t="s">
        <v>54</v>
      </c>
      <c r="BT57" s="14"/>
      <c r="BU57" s="14" t="s">
        <v>41</v>
      </c>
      <c r="BV57" s="149" t="s">
        <v>42</v>
      </c>
      <c r="BW57" s="14" t="s">
        <v>270</v>
      </c>
      <c r="BX57" s="150">
        <f t="shared" si="32"/>
        <v>1115.2791549295773</v>
      </c>
      <c r="BY57" s="154">
        <v>0</v>
      </c>
      <c r="BZ57" s="13">
        <f t="shared" si="10"/>
        <v>1115.2791549295773</v>
      </c>
      <c r="CA57" s="29">
        <f t="shared" si="11"/>
        <v>1</v>
      </c>
      <c r="CB57" s="25" t="s">
        <v>141</v>
      </c>
      <c r="CC57" s="7"/>
      <c r="CD57" s="7"/>
    </row>
    <row r="58" spans="1:82" x14ac:dyDescent="0.25">
      <c r="A58" s="123">
        <v>46118</v>
      </c>
      <c r="B58" s="6" t="str">
        <f t="shared" si="0"/>
        <v>Apr</v>
      </c>
      <c r="C58" s="39">
        <f t="shared" si="1"/>
        <v>2026</v>
      </c>
      <c r="D58" s="6">
        <v>55</v>
      </c>
      <c r="E58" s="6" t="s">
        <v>246</v>
      </c>
      <c r="F58" s="6" t="s">
        <v>153</v>
      </c>
      <c r="G58" s="7" t="s">
        <v>396</v>
      </c>
      <c r="H58" s="7">
        <v>4000000088</v>
      </c>
      <c r="I58" s="7" t="s">
        <v>160</v>
      </c>
      <c r="J58" s="8">
        <v>98</v>
      </c>
      <c r="K58" s="8">
        <f t="shared" si="12"/>
        <v>31</v>
      </c>
      <c r="L58" s="8">
        <f>98-18</f>
        <v>80</v>
      </c>
      <c r="M58" s="152" t="s">
        <v>373</v>
      </c>
      <c r="N58" s="142">
        <v>0</v>
      </c>
      <c r="O58" s="142">
        <v>13</v>
      </c>
      <c r="P58" s="142">
        <v>0</v>
      </c>
      <c r="Q58" s="142">
        <v>0</v>
      </c>
      <c r="R58" s="142">
        <v>85</v>
      </c>
      <c r="S58" s="142">
        <v>18</v>
      </c>
      <c r="T58" s="143">
        <v>0</v>
      </c>
      <c r="U58" s="144">
        <f t="shared" si="23"/>
        <v>67</v>
      </c>
      <c r="V58" s="144"/>
      <c r="W58" s="144"/>
      <c r="X58" s="144">
        <f t="shared" si="14"/>
        <v>0</v>
      </c>
      <c r="Y58" s="144">
        <f t="shared" si="15"/>
        <v>31</v>
      </c>
      <c r="Z58" s="167">
        <v>7.7991549295774645</v>
      </c>
      <c r="AA58" s="167">
        <f t="shared" si="16"/>
        <v>241.77380281690139</v>
      </c>
      <c r="AB58" s="142">
        <f t="shared" si="2"/>
        <v>0</v>
      </c>
      <c r="AC58" s="142"/>
      <c r="AD58" s="142"/>
      <c r="AE58" s="142"/>
      <c r="AF58" s="169">
        <f t="shared" si="29"/>
        <v>0</v>
      </c>
      <c r="AG58" s="142">
        <f t="shared" si="25"/>
        <v>0</v>
      </c>
      <c r="AH58" s="142"/>
      <c r="AI58" s="142"/>
      <c r="AJ58" s="142"/>
      <c r="AK58" s="169">
        <f t="shared" si="17"/>
        <v>0</v>
      </c>
      <c r="AL58" s="142">
        <v>3535</v>
      </c>
      <c r="AM58" s="169">
        <f t="shared" si="26"/>
        <v>0</v>
      </c>
      <c r="AN58" s="142">
        <f t="shared" si="27"/>
        <v>241.77380281690139</v>
      </c>
      <c r="AO58" s="142">
        <v>0</v>
      </c>
      <c r="AP58" s="142"/>
      <c r="AQ58" s="142"/>
      <c r="AR58" s="142">
        <v>13</v>
      </c>
      <c r="AS58" s="142">
        <v>0</v>
      </c>
      <c r="AT58" s="145"/>
      <c r="AU58" s="145"/>
      <c r="AV58" s="145"/>
      <c r="AW58" s="145"/>
      <c r="AX58" s="145"/>
      <c r="AY58" s="145">
        <f>VLOOKUP(E58,Table1[[BL NO.]:[Total Value USD]],21,0)</f>
        <v>241.77380281690139</v>
      </c>
      <c r="AZ58" s="145">
        <f t="shared" si="18"/>
        <v>0</v>
      </c>
      <c r="BA58" s="9" t="s">
        <v>67</v>
      </c>
      <c r="BB58" s="7" t="s">
        <v>200</v>
      </c>
      <c r="BC58" s="7" t="s">
        <v>198</v>
      </c>
      <c r="BD58" s="7" t="s">
        <v>49</v>
      </c>
      <c r="BE58" s="10" t="s">
        <v>145</v>
      </c>
      <c r="BF58" s="9" t="s">
        <v>130</v>
      </c>
      <c r="BG58" s="146">
        <v>7.7991549295774645</v>
      </c>
      <c r="BH58" s="146">
        <f t="shared" si="28"/>
        <v>241.77380281690139</v>
      </c>
      <c r="BI58" s="147">
        <f t="shared" si="24"/>
        <v>27570.012676056336</v>
      </c>
      <c r="BJ58" s="147">
        <f t="shared" si="30"/>
        <v>2205601.0140845068</v>
      </c>
      <c r="BK58" s="148">
        <v>34287.78</v>
      </c>
      <c r="BL58" s="147">
        <f t="shared" si="31"/>
        <v>2743022.4</v>
      </c>
      <c r="BM58" s="44">
        <v>0</v>
      </c>
      <c r="BN58" s="23">
        <v>3535</v>
      </c>
      <c r="BO58" s="10" t="s">
        <v>206</v>
      </c>
      <c r="BP58" s="25" t="s">
        <v>40</v>
      </c>
      <c r="BQ58" s="27" t="s">
        <v>110</v>
      </c>
      <c r="BR58" s="10" t="s">
        <v>176</v>
      </c>
      <c r="BS58" s="27" t="s">
        <v>54</v>
      </c>
      <c r="BT58" s="14"/>
      <c r="BU58" s="14" t="s">
        <v>41</v>
      </c>
      <c r="BV58" s="149" t="s">
        <v>42</v>
      </c>
      <c r="BW58" s="14" t="s">
        <v>270</v>
      </c>
      <c r="BX58" s="150">
        <f t="shared" si="32"/>
        <v>241.77380281690139</v>
      </c>
      <c r="BY58" s="154">
        <v>0</v>
      </c>
      <c r="BZ58" s="13">
        <f t="shared" si="10"/>
        <v>241.77380281690139</v>
      </c>
      <c r="CA58" s="29">
        <f t="shared" si="11"/>
        <v>1</v>
      </c>
      <c r="CB58" s="23" t="s">
        <v>141</v>
      </c>
      <c r="CC58" s="7"/>
      <c r="CD58" s="7"/>
    </row>
    <row r="59" spans="1:82" x14ac:dyDescent="0.25">
      <c r="A59" s="125">
        <v>46119</v>
      </c>
      <c r="B59" s="6" t="str">
        <f t="shared" si="0"/>
        <v>Apr</v>
      </c>
      <c r="C59" s="39">
        <f t="shared" si="1"/>
        <v>2026</v>
      </c>
      <c r="D59" s="6">
        <v>56</v>
      </c>
      <c r="E59" s="6" t="s">
        <v>248</v>
      </c>
      <c r="F59" s="6" t="s">
        <v>153</v>
      </c>
      <c r="G59" s="7" t="s">
        <v>396</v>
      </c>
      <c r="H59" s="7">
        <v>4000000058</v>
      </c>
      <c r="I59" s="7" t="s">
        <v>71</v>
      </c>
      <c r="J59" s="8">
        <v>179</v>
      </c>
      <c r="K59" s="8">
        <f t="shared" si="12"/>
        <v>153</v>
      </c>
      <c r="L59" s="8">
        <f>179-11</f>
        <v>168</v>
      </c>
      <c r="M59" s="152" t="s">
        <v>374</v>
      </c>
      <c r="N59" s="142">
        <v>95</v>
      </c>
      <c r="O59" s="142">
        <v>45</v>
      </c>
      <c r="P59" s="142">
        <v>0</v>
      </c>
      <c r="Q59" s="142">
        <v>0</v>
      </c>
      <c r="R59" s="142">
        <v>39</v>
      </c>
      <c r="S59" s="142">
        <v>11</v>
      </c>
      <c r="T59" s="143">
        <v>2</v>
      </c>
      <c r="U59" s="144">
        <f t="shared" si="23"/>
        <v>26</v>
      </c>
      <c r="V59" s="144"/>
      <c r="W59" s="144"/>
      <c r="X59" s="144">
        <f t="shared" si="14"/>
        <v>0</v>
      </c>
      <c r="Y59" s="144">
        <f t="shared" si="15"/>
        <v>153</v>
      </c>
      <c r="Z59" s="167">
        <v>18.093071895424835</v>
      </c>
      <c r="AA59" s="167">
        <f t="shared" si="16"/>
        <v>2768.24</v>
      </c>
      <c r="AB59" s="142">
        <f t="shared" si="2"/>
        <v>95</v>
      </c>
      <c r="AC59" s="142">
        <v>20000</v>
      </c>
      <c r="AD59" s="142">
        <f>AB59*AC59</f>
        <v>1900000</v>
      </c>
      <c r="AE59" s="142"/>
      <c r="AF59" s="169">
        <f t="shared" si="29"/>
        <v>455.17267814021238</v>
      </c>
      <c r="AG59" s="142">
        <f t="shared" si="25"/>
        <v>2</v>
      </c>
      <c r="AH59" s="142"/>
      <c r="AI59" s="142"/>
      <c r="AJ59" s="142"/>
      <c r="AK59" s="169">
        <f t="shared" si="17"/>
        <v>0</v>
      </c>
      <c r="AL59" s="142">
        <v>4174.24</v>
      </c>
      <c r="AM59" s="169">
        <f t="shared" si="26"/>
        <v>455.17267814021238</v>
      </c>
      <c r="AN59" s="142">
        <f t="shared" si="27"/>
        <v>2313.0673218597876</v>
      </c>
      <c r="AO59" s="142">
        <v>0</v>
      </c>
      <c r="AP59" s="142"/>
      <c r="AQ59" s="142"/>
      <c r="AR59" s="142">
        <v>45</v>
      </c>
      <c r="AS59" s="142">
        <v>0</v>
      </c>
      <c r="AT59" s="145"/>
      <c r="AU59" s="145"/>
      <c r="AV59" s="145"/>
      <c r="AW59" s="145"/>
      <c r="AX59" s="145"/>
      <c r="AY59" s="145">
        <f>VLOOKUP(E59,Table1[[BL NO.]:[Total Value USD]],21,0)</f>
        <v>2768.24</v>
      </c>
      <c r="AZ59" s="145">
        <f t="shared" si="18"/>
        <v>-455.17267814021216</v>
      </c>
      <c r="BA59" s="9" t="s">
        <v>67</v>
      </c>
      <c r="BB59" s="7" t="s">
        <v>200</v>
      </c>
      <c r="BC59" s="7" t="s">
        <v>198</v>
      </c>
      <c r="BD59" s="7" t="s">
        <v>49</v>
      </c>
      <c r="BE59" s="10" t="s">
        <v>280</v>
      </c>
      <c r="BF59" s="9" t="s">
        <v>147</v>
      </c>
      <c r="BG59" s="146">
        <v>16.477619047619047</v>
      </c>
      <c r="BH59" s="146">
        <f t="shared" si="28"/>
        <v>2521.0757142857142</v>
      </c>
      <c r="BI59" s="147">
        <f t="shared" si="24"/>
        <v>58248.383333333331</v>
      </c>
      <c r="BJ59" s="147">
        <f t="shared" si="30"/>
        <v>9785728.4000000004</v>
      </c>
      <c r="BK59" s="148">
        <v>63416</v>
      </c>
      <c r="BL59" s="147">
        <f t="shared" si="31"/>
        <v>10653888</v>
      </c>
      <c r="BM59" s="44">
        <v>0</v>
      </c>
      <c r="BN59" s="23">
        <v>3535</v>
      </c>
      <c r="BO59" s="10" t="s">
        <v>50</v>
      </c>
      <c r="BP59" s="25" t="s">
        <v>40</v>
      </c>
      <c r="BQ59" s="27" t="s">
        <v>110</v>
      </c>
      <c r="BR59" s="10" t="s">
        <v>176</v>
      </c>
      <c r="BS59" s="27" t="s">
        <v>54</v>
      </c>
      <c r="BT59" s="14"/>
      <c r="BU59" s="14" t="s">
        <v>41</v>
      </c>
      <c r="BV59" s="149" t="s">
        <v>50</v>
      </c>
      <c r="BW59" s="14" t="s">
        <v>207</v>
      </c>
      <c r="BX59" s="150">
        <f t="shared" si="32"/>
        <v>2521.0757142857142</v>
      </c>
      <c r="BY59" s="154">
        <v>0</v>
      </c>
      <c r="BZ59" s="13">
        <f t="shared" si="10"/>
        <v>2521.0757142857142</v>
      </c>
      <c r="CA59" s="29">
        <f t="shared" si="11"/>
        <v>1</v>
      </c>
      <c r="CB59" s="22" t="s">
        <v>55</v>
      </c>
      <c r="CC59" s="7"/>
      <c r="CD59" s="7"/>
    </row>
    <row r="60" spans="1:82" x14ac:dyDescent="0.25">
      <c r="A60" s="123">
        <v>46119</v>
      </c>
      <c r="B60" s="6" t="str">
        <f t="shared" si="0"/>
        <v>Apr</v>
      </c>
      <c r="C60" s="39">
        <f t="shared" si="1"/>
        <v>2026</v>
      </c>
      <c r="D60" s="6">
        <v>57</v>
      </c>
      <c r="E60" s="6" t="s">
        <v>247</v>
      </c>
      <c r="F60" s="6" t="s">
        <v>136</v>
      </c>
      <c r="G60" s="7" t="s">
        <v>137</v>
      </c>
      <c r="H60" s="7">
        <v>4000000058</v>
      </c>
      <c r="I60" s="7" t="s">
        <v>71</v>
      </c>
      <c r="J60" s="8">
        <v>37</v>
      </c>
      <c r="K60" s="8">
        <f t="shared" si="12"/>
        <v>18</v>
      </c>
      <c r="L60" s="8">
        <f>37-14</f>
        <v>23</v>
      </c>
      <c r="M60" s="152" t="s">
        <v>375</v>
      </c>
      <c r="N60" s="142">
        <v>1</v>
      </c>
      <c r="O60" s="142">
        <v>0</v>
      </c>
      <c r="P60" s="142">
        <v>0</v>
      </c>
      <c r="Q60" s="142">
        <v>0</v>
      </c>
      <c r="R60" s="142">
        <v>36</v>
      </c>
      <c r="S60" s="142">
        <f>14</f>
        <v>14</v>
      </c>
      <c r="T60" s="143">
        <v>3</v>
      </c>
      <c r="U60" s="144">
        <f t="shared" si="23"/>
        <v>19</v>
      </c>
      <c r="V60" s="144"/>
      <c r="W60" s="144"/>
      <c r="X60" s="144">
        <f t="shared" si="14"/>
        <v>0</v>
      </c>
      <c r="Y60" s="144">
        <f t="shared" si="15"/>
        <v>18</v>
      </c>
      <c r="Z60" s="167">
        <v>15.465027932960894</v>
      </c>
      <c r="AA60" s="167">
        <f t="shared" si="16"/>
        <v>278.37050279329605</v>
      </c>
      <c r="AB60" s="142">
        <f t="shared" si="2"/>
        <v>1</v>
      </c>
      <c r="AC60" s="142"/>
      <c r="AD60" s="142"/>
      <c r="AE60" s="142"/>
      <c r="AF60" s="169">
        <f t="shared" si="29"/>
        <v>0</v>
      </c>
      <c r="AG60" s="142">
        <f t="shared" si="25"/>
        <v>3</v>
      </c>
      <c r="AH60" s="142"/>
      <c r="AI60" s="142"/>
      <c r="AJ60" s="142"/>
      <c r="AK60" s="169">
        <f t="shared" si="17"/>
        <v>0</v>
      </c>
      <c r="AL60" s="142">
        <v>3535</v>
      </c>
      <c r="AM60" s="169">
        <f t="shared" si="26"/>
        <v>0</v>
      </c>
      <c r="AN60" s="142">
        <f t="shared" si="27"/>
        <v>278.37050279329605</v>
      </c>
      <c r="AO60" s="142">
        <v>0</v>
      </c>
      <c r="AP60" s="142"/>
      <c r="AQ60" s="142"/>
      <c r="AR60" s="142">
        <v>0</v>
      </c>
      <c r="AS60" s="142">
        <v>0</v>
      </c>
      <c r="AT60" s="145"/>
      <c r="AU60" s="145"/>
      <c r="AV60" s="145"/>
      <c r="AW60" s="145"/>
      <c r="AX60" s="145"/>
      <c r="AY60" s="145">
        <f>VLOOKUP(E60,Table1[[BL NO.]:[Total Value USD]],21,0)</f>
        <v>278.37050279329605</v>
      </c>
      <c r="AZ60" s="145">
        <f t="shared" si="18"/>
        <v>0</v>
      </c>
      <c r="BA60" s="9" t="s">
        <v>67</v>
      </c>
      <c r="BB60" s="7" t="s">
        <v>200</v>
      </c>
      <c r="BC60" s="7" t="s">
        <v>198</v>
      </c>
      <c r="BD60" s="7" t="s">
        <v>49</v>
      </c>
      <c r="BE60" s="10" t="s">
        <v>148</v>
      </c>
      <c r="BF60" s="9" t="s">
        <v>74</v>
      </c>
      <c r="BG60" s="146">
        <v>15.465027932960894</v>
      </c>
      <c r="BH60" s="146">
        <f t="shared" si="28"/>
        <v>278.37050279329605</v>
      </c>
      <c r="BI60" s="147">
        <f t="shared" si="24"/>
        <v>54668.87374301676</v>
      </c>
      <c r="BJ60" s="147">
        <f t="shared" si="30"/>
        <v>1257384.0960893854</v>
      </c>
      <c r="BK60" s="148">
        <v>63416</v>
      </c>
      <c r="BL60" s="147">
        <f t="shared" si="31"/>
        <v>1458568</v>
      </c>
      <c r="BM60" s="44">
        <v>0</v>
      </c>
      <c r="BN60" s="23">
        <v>3535</v>
      </c>
      <c r="BO60" s="10" t="s">
        <v>206</v>
      </c>
      <c r="BP60" s="25" t="s">
        <v>45</v>
      </c>
      <c r="BQ60" s="27" t="s">
        <v>110</v>
      </c>
      <c r="BR60" s="10" t="s">
        <v>176</v>
      </c>
      <c r="BS60" s="27" t="s">
        <v>54</v>
      </c>
      <c r="BT60" s="14"/>
      <c r="BU60" s="14" t="s">
        <v>41</v>
      </c>
      <c r="BV60" s="149" t="s">
        <v>42</v>
      </c>
      <c r="BW60" s="14" t="s">
        <v>270</v>
      </c>
      <c r="BX60" s="150">
        <f t="shared" si="32"/>
        <v>278.37050279329605</v>
      </c>
      <c r="BY60" s="154">
        <v>0</v>
      </c>
      <c r="BZ60" s="13">
        <f t="shared" si="10"/>
        <v>278.37050279329605</v>
      </c>
      <c r="CA60" s="29">
        <f t="shared" si="11"/>
        <v>1</v>
      </c>
      <c r="CB60" s="22" t="s">
        <v>141</v>
      </c>
      <c r="CC60" s="7"/>
      <c r="CD60" s="7"/>
    </row>
    <row r="61" spans="1:82" x14ac:dyDescent="0.25">
      <c r="A61" s="123">
        <v>46119</v>
      </c>
      <c r="B61" s="6" t="str">
        <f t="shared" si="0"/>
        <v>Apr</v>
      </c>
      <c r="C61" s="39">
        <f t="shared" si="1"/>
        <v>2026</v>
      </c>
      <c r="D61" s="6">
        <v>58</v>
      </c>
      <c r="E61" s="6" t="s">
        <v>249</v>
      </c>
      <c r="F61" s="6" t="s">
        <v>153</v>
      </c>
      <c r="G61" s="7" t="s">
        <v>396</v>
      </c>
      <c r="H61" s="7">
        <v>4000000058</v>
      </c>
      <c r="I61" s="7" t="s">
        <v>71</v>
      </c>
      <c r="J61" s="8">
        <v>72</v>
      </c>
      <c r="K61" s="8">
        <f t="shared" si="12"/>
        <v>56</v>
      </c>
      <c r="L61" s="8">
        <f>72-6</f>
        <v>66</v>
      </c>
      <c r="M61" s="152" t="s">
        <v>376</v>
      </c>
      <c r="N61" s="142">
        <v>7</v>
      </c>
      <c r="O61" s="142">
        <v>43</v>
      </c>
      <c r="P61" s="142">
        <v>0</v>
      </c>
      <c r="Q61" s="142">
        <v>0</v>
      </c>
      <c r="R61" s="142">
        <v>22</v>
      </c>
      <c r="S61" s="142">
        <v>6</v>
      </c>
      <c r="T61" s="143">
        <v>0</v>
      </c>
      <c r="U61" s="144">
        <f t="shared" si="23"/>
        <v>16</v>
      </c>
      <c r="V61" s="144"/>
      <c r="W61" s="144"/>
      <c r="X61" s="144">
        <f t="shared" si="14"/>
        <v>0</v>
      </c>
      <c r="Y61" s="144">
        <f t="shared" si="15"/>
        <v>56</v>
      </c>
      <c r="Z61" s="167">
        <v>15.465027932960894</v>
      </c>
      <c r="AA61" s="167">
        <f t="shared" si="16"/>
        <v>866.04156424581004</v>
      </c>
      <c r="AB61" s="142">
        <f t="shared" si="2"/>
        <v>7</v>
      </c>
      <c r="AC61" s="142"/>
      <c r="AD61" s="142"/>
      <c r="AE61" s="142"/>
      <c r="AF61" s="169">
        <f t="shared" si="29"/>
        <v>0</v>
      </c>
      <c r="AG61" s="142">
        <f t="shared" si="25"/>
        <v>0</v>
      </c>
      <c r="AH61" s="142"/>
      <c r="AI61" s="142"/>
      <c r="AJ61" s="142"/>
      <c r="AK61" s="169">
        <f t="shared" si="17"/>
        <v>0</v>
      </c>
      <c r="AL61" s="142">
        <v>3535</v>
      </c>
      <c r="AM61" s="169">
        <f t="shared" si="26"/>
        <v>0</v>
      </c>
      <c r="AN61" s="142">
        <f t="shared" si="27"/>
        <v>866.04156424581004</v>
      </c>
      <c r="AO61" s="142">
        <v>0</v>
      </c>
      <c r="AP61" s="142"/>
      <c r="AQ61" s="142"/>
      <c r="AR61" s="142">
        <v>43</v>
      </c>
      <c r="AS61" s="142">
        <v>0</v>
      </c>
      <c r="AT61" s="145"/>
      <c r="AU61" s="145"/>
      <c r="AV61" s="145"/>
      <c r="AW61" s="145"/>
      <c r="AX61" s="145"/>
      <c r="AY61" s="145">
        <f>VLOOKUP(E61,Table1[[BL NO.]:[Total Value USD]],21,0)</f>
        <v>866.04156424581004</v>
      </c>
      <c r="AZ61" s="145">
        <f t="shared" si="18"/>
        <v>0</v>
      </c>
      <c r="BA61" s="9" t="s">
        <v>67</v>
      </c>
      <c r="BB61" s="7" t="s">
        <v>200</v>
      </c>
      <c r="BC61" s="7" t="s">
        <v>198</v>
      </c>
      <c r="BD61" s="7" t="s">
        <v>49</v>
      </c>
      <c r="BE61" s="10" t="s">
        <v>149</v>
      </c>
      <c r="BF61" s="9" t="s">
        <v>147</v>
      </c>
      <c r="BG61" s="146">
        <v>15.465027932960894</v>
      </c>
      <c r="BH61" s="146">
        <f t="shared" si="28"/>
        <v>866.04156424581004</v>
      </c>
      <c r="BI61" s="147">
        <f t="shared" si="24"/>
        <v>54668.87374301676</v>
      </c>
      <c r="BJ61" s="147">
        <f t="shared" si="30"/>
        <v>3608145.6670391061</v>
      </c>
      <c r="BK61" s="148">
        <v>63416</v>
      </c>
      <c r="BL61" s="147">
        <f t="shared" si="31"/>
        <v>4185456</v>
      </c>
      <c r="BM61" s="44">
        <v>0</v>
      </c>
      <c r="BN61" s="23">
        <v>3535</v>
      </c>
      <c r="BO61" s="10" t="s">
        <v>206</v>
      </c>
      <c r="BP61" s="25" t="s">
        <v>40</v>
      </c>
      <c r="BQ61" s="27" t="s">
        <v>110</v>
      </c>
      <c r="BR61" s="10" t="s">
        <v>176</v>
      </c>
      <c r="BS61" s="27" t="s">
        <v>54</v>
      </c>
      <c r="BT61" s="14"/>
      <c r="BU61" s="14" t="s">
        <v>41</v>
      </c>
      <c r="BV61" s="154" t="s">
        <v>42</v>
      </c>
      <c r="BW61" s="14" t="s">
        <v>270</v>
      </c>
      <c r="BX61" s="150">
        <f t="shared" si="32"/>
        <v>866.04156424581004</v>
      </c>
      <c r="BY61" s="154">
        <v>0</v>
      </c>
      <c r="BZ61" s="13">
        <f t="shared" si="10"/>
        <v>866.04156424581004</v>
      </c>
      <c r="CA61" s="29">
        <f t="shared" si="11"/>
        <v>1</v>
      </c>
      <c r="CB61" s="22" t="s">
        <v>141</v>
      </c>
      <c r="CC61" s="7"/>
      <c r="CD61" s="7"/>
    </row>
    <row r="62" spans="1:82" x14ac:dyDescent="0.25">
      <c r="A62" s="123">
        <v>46120</v>
      </c>
      <c r="B62" s="6" t="s">
        <v>265</v>
      </c>
      <c r="C62" s="39">
        <v>2026</v>
      </c>
      <c r="D62" s="6">
        <v>59</v>
      </c>
      <c r="E62" s="6" t="s">
        <v>250</v>
      </c>
      <c r="F62" s="6" t="s">
        <v>153</v>
      </c>
      <c r="G62" s="7" t="s">
        <v>396</v>
      </c>
      <c r="H62" s="7">
        <v>4000000058</v>
      </c>
      <c r="I62" s="7" t="s">
        <v>71</v>
      </c>
      <c r="J62" s="8">
        <v>206</v>
      </c>
      <c r="K62" s="8">
        <f t="shared" si="12"/>
        <v>16</v>
      </c>
      <c r="L62" s="8">
        <f>206-13</f>
        <v>193</v>
      </c>
      <c r="M62" s="152" t="s">
        <v>378</v>
      </c>
      <c r="N62" s="142">
        <v>0</v>
      </c>
      <c r="O62" s="142">
        <v>0</v>
      </c>
      <c r="P62" s="142">
        <v>0</v>
      </c>
      <c r="Q62" s="142">
        <v>157</v>
      </c>
      <c r="R62" s="142">
        <v>49</v>
      </c>
      <c r="S62" s="142">
        <v>13</v>
      </c>
      <c r="T62" s="143">
        <v>0</v>
      </c>
      <c r="U62" s="144">
        <f t="shared" si="23"/>
        <v>36</v>
      </c>
      <c r="V62" s="144">
        <v>1</v>
      </c>
      <c r="W62" s="144">
        <v>2</v>
      </c>
      <c r="X62" s="144">
        <f t="shared" si="14"/>
        <v>154</v>
      </c>
      <c r="Y62" s="144">
        <f t="shared" si="15"/>
        <v>16</v>
      </c>
      <c r="Z62" s="167">
        <v>15.465</v>
      </c>
      <c r="AA62" s="167">
        <f t="shared" si="16"/>
        <v>247.44</v>
      </c>
      <c r="AB62" s="142">
        <f t="shared" si="2"/>
        <v>2</v>
      </c>
      <c r="AC62" s="142"/>
      <c r="AD62" s="142"/>
      <c r="AE62" s="142"/>
      <c r="AF62" s="169">
        <f t="shared" si="29"/>
        <v>0</v>
      </c>
      <c r="AG62" s="142">
        <f t="shared" si="25"/>
        <v>0</v>
      </c>
      <c r="AH62" s="142"/>
      <c r="AI62" s="142"/>
      <c r="AJ62" s="142"/>
      <c r="AK62" s="169">
        <f t="shared" si="17"/>
        <v>0</v>
      </c>
      <c r="AL62" s="142">
        <v>3535</v>
      </c>
      <c r="AM62" s="169">
        <f t="shared" si="26"/>
        <v>0</v>
      </c>
      <c r="AN62" s="142">
        <f t="shared" si="27"/>
        <v>247.44</v>
      </c>
      <c r="AO62" s="142">
        <v>157</v>
      </c>
      <c r="AP62" s="142">
        <v>2</v>
      </c>
      <c r="AQ62" s="142">
        <v>1</v>
      </c>
      <c r="AR62" s="142">
        <v>0</v>
      </c>
      <c r="AS62" s="142">
        <v>0</v>
      </c>
      <c r="AT62" s="145"/>
      <c r="AU62" s="145"/>
      <c r="AV62" s="145"/>
      <c r="AW62" s="145"/>
      <c r="AX62" s="145"/>
      <c r="AY62" s="145">
        <f>VLOOKUP(E62,Table1[[BL NO.]:[Total Value USD]],21,0)</f>
        <v>247.44</v>
      </c>
      <c r="AZ62" s="145">
        <f t="shared" si="18"/>
        <v>0</v>
      </c>
      <c r="BA62" s="9" t="s">
        <v>67</v>
      </c>
      <c r="BB62" s="7" t="s">
        <v>200</v>
      </c>
      <c r="BC62" s="7" t="s">
        <v>198</v>
      </c>
      <c r="BD62" s="7" t="s">
        <v>49</v>
      </c>
      <c r="BE62" s="10" t="s">
        <v>150</v>
      </c>
      <c r="BF62" s="9" t="s">
        <v>130</v>
      </c>
      <c r="BG62" s="146">
        <v>15.465</v>
      </c>
      <c r="BH62" s="146">
        <f t="shared" si="28"/>
        <v>247.44</v>
      </c>
      <c r="BI62" s="147">
        <f t="shared" si="24"/>
        <v>54668.775000000001</v>
      </c>
      <c r="BJ62" s="147">
        <f t="shared" si="30"/>
        <v>10551073.575000001</v>
      </c>
      <c r="BK62" s="148">
        <v>63416</v>
      </c>
      <c r="BL62" s="147">
        <f t="shared" si="31"/>
        <v>12239288</v>
      </c>
      <c r="BM62" s="44">
        <v>0</v>
      </c>
      <c r="BN62" s="23">
        <v>3535</v>
      </c>
      <c r="BO62" s="10" t="s">
        <v>206</v>
      </c>
      <c r="BP62" s="25" t="s">
        <v>45</v>
      </c>
      <c r="BQ62" s="27" t="s">
        <v>151</v>
      </c>
      <c r="BR62" s="10" t="s">
        <v>176</v>
      </c>
      <c r="BS62" s="27" t="s">
        <v>54</v>
      </c>
      <c r="BT62" s="14"/>
      <c r="BU62" s="14" t="s">
        <v>41</v>
      </c>
      <c r="BV62" s="154" t="s">
        <v>42</v>
      </c>
      <c r="BW62" s="14" t="s">
        <v>270</v>
      </c>
      <c r="BX62" s="150">
        <v>3185.79</v>
      </c>
      <c r="BY62" s="154">
        <v>0</v>
      </c>
      <c r="BZ62" s="13">
        <f t="shared" si="10"/>
        <v>3185.79</v>
      </c>
      <c r="CA62" s="29">
        <f t="shared" si="11"/>
        <v>1</v>
      </c>
      <c r="CB62" s="23" t="s">
        <v>141</v>
      </c>
      <c r="CC62" s="7" t="s">
        <v>379</v>
      </c>
      <c r="CD62" s="7" t="s">
        <v>50</v>
      </c>
    </row>
    <row r="63" spans="1:82" x14ac:dyDescent="0.25">
      <c r="A63" s="123">
        <v>46120</v>
      </c>
      <c r="B63" s="6" t="s">
        <v>265</v>
      </c>
      <c r="C63" s="39">
        <v>2026</v>
      </c>
      <c r="D63" s="6">
        <v>60</v>
      </c>
      <c r="E63" s="6" t="s">
        <v>241</v>
      </c>
      <c r="F63" s="6" t="s">
        <v>153</v>
      </c>
      <c r="G63" s="7" t="s">
        <v>396</v>
      </c>
      <c r="H63" s="7">
        <v>4000000058</v>
      </c>
      <c r="I63" s="7" t="s">
        <v>71</v>
      </c>
      <c r="J63" s="8">
        <v>66</v>
      </c>
      <c r="K63" s="8">
        <f t="shared" si="12"/>
        <v>17</v>
      </c>
      <c r="L63" s="8">
        <f>66-17</f>
        <v>49</v>
      </c>
      <c r="M63" s="152" t="s">
        <v>380</v>
      </c>
      <c r="N63" s="142">
        <v>0</v>
      </c>
      <c r="O63" s="142">
        <v>0</v>
      </c>
      <c r="P63" s="142">
        <v>0</v>
      </c>
      <c r="Q63" s="142">
        <v>0</v>
      </c>
      <c r="R63" s="142">
        <v>66</v>
      </c>
      <c r="S63" s="142">
        <v>17</v>
      </c>
      <c r="T63" s="143">
        <v>0</v>
      </c>
      <c r="U63" s="144">
        <f t="shared" si="23"/>
        <v>49</v>
      </c>
      <c r="V63" s="144"/>
      <c r="W63" s="144"/>
      <c r="X63" s="144">
        <f t="shared" si="14"/>
        <v>0</v>
      </c>
      <c r="Y63" s="144">
        <f t="shared" si="15"/>
        <v>17</v>
      </c>
      <c r="Z63" s="167">
        <v>15.465</v>
      </c>
      <c r="AA63" s="167">
        <f t="shared" si="16"/>
        <v>262.90499999999997</v>
      </c>
      <c r="AB63" s="142">
        <f t="shared" si="2"/>
        <v>0</v>
      </c>
      <c r="AC63" s="142"/>
      <c r="AD63" s="142"/>
      <c r="AE63" s="142"/>
      <c r="AF63" s="169">
        <f t="shared" si="29"/>
        <v>0</v>
      </c>
      <c r="AG63" s="142">
        <f t="shared" si="25"/>
        <v>0</v>
      </c>
      <c r="AH63" s="142"/>
      <c r="AI63" s="142"/>
      <c r="AJ63" s="142"/>
      <c r="AK63" s="169">
        <f t="shared" si="17"/>
        <v>0</v>
      </c>
      <c r="AL63" s="142">
        <v>3535</v>
      </c>
      <c r="AM63" s="169">
        <f t="shared" si="26"/>
        <v>0</v>
      </c>
      <c r="AN63" s="142">
        <f t="shared" si="27"/>
        <v>262.90499999999997</v>
      </c>
      <c r="AO63" s="142">
        <v>0</v>
      </c>
      <c r="AP63" s="142"/>
      <c r="AQ63" s="142"/>
      <c r="AR63" s="142">
        <v>0</v>
      </c>
      <c r="AS63" s="142">
        <v>0</v>
      </c>
      <c r="AT63" s="145"/>
      <c r="AU63" s="145"/>
      <c r="AV63" s="145"/>
      <c r="AW63" s="145"/>
      <c r="AX63" s="145"/>
      <c r="AY63" s="145">
        <f>VLOOKUP(E63,Table1[[BL NO.]:[Total Value USD]],21,0)</f>
        <v>262.90499999999997</v>
      </c>
      <c r="AZ63" s="145">
        <f t="shared" si="18"/>
        <v>0</v>
      </c>
      <c r="BA63" s="9" t="s">
        <v>67</v>
      </c>
      <c r="BB63" s="7" t="s">
        <v>200</v>
      </c>
      <c r="BC63" s="7" t="s">
        <v>198</v>
      </c>
      <c r="BD63" s="7" t="s">
        <v>49</v>
      </c>
      <c r="BE63" s="10" t="s">
        <v>152</v>
      </c>
      <c r="BF63" s="9" t="s">
        <v>74</v>
      </c>
      <c r="BG63" s="146">
        <v>15.465</v>
      </c>
      <c r="BH63" s="146">
        <f t="shared" si="28"/>
        <v>262.90499999999997</v>
      </c>
      <c r="BI63" s="147">
        <f t="shared" si="24"/>
        <v>54668.775000000001</v>
      </c>
      <c r="BJ63" s="147">
        <f t="shared" si="30"/>
        <v>2678769.9750000001</v>
      </c>
      <c r="BK63" s="148">
        <v>63416</v>
      </c>
      <c r="BL63" s="147">
        <f t="shared" si="31"/>
        <v>3107384</v>
      </c>
      <c r="BM63" s="44">
        <v>0</v>
      </c>
      <c r="BN63" s="23">
        <v>3535</v>
      </c>
      <c r="BO63" s="10" t="s">
        <v>206</v>
      </c>
      <c r="BP63" s="25" t="s">
        <v>45</v>
      </c>
      <c r="BQ63" s="27" t="s">
        <v>151</v>
      </c>
      <c r="BR63" s="10" t="s">
        <v>176</v>
      </c>
      <c r="BS63" s="27" t="s">
        <v>54</v>
      </c>
      <c r="BT63" s="14"/>
      <c r="BU63" s="14" t="s">
        <v>41</v>
      </c>
      <c r="BV63" s="154" t="s">
        <v>42</v>
      </c>
      <c r="BW63" s="14" t="s">
        <v>270</v>
      </c>
      <c r="BX63" s="150">
        <v>1020.6899999999999</v>
      </c>
      <c r="BY63" s="154">
        <v>0</v>
      </c>
      <c r="BZ63" s="13">
        <f t="shared" si="10"/>
        <v>1020.6899999999999</v>
      </c>
      <c r="CA63" s="29">
        <f t="shared" si="11"/>
        <v>1</v>
      </c>
      <c r="CB63" s="23" t="s">
        <v>141</v>
      </c>
      <c r="CC63" s="7"/>
      <c r="CD63" s="7"/>
    </row>
    <row r="64" spans="1:82" x14ac:dyDescent="0.25">
      <c r="A64" s="123">
        <v>46120</v>
      </c>
      <c r="B64" s="6" t="s">
        <v>265</v>
      </c>
      <c r="C64" s="39">
        <v>2026</v>
      </c>
      <c r="D64" s="6">
        <v>61</v>
      </c>
      <c r="E64" s="6" t="s">
        <v>251</v>
      </c>
      <c r="F64" s="6" t="s">
        <v>153</v>
      </c>
      <c r="G64" s="7" t="s">
        <v>396</v>
      </c>
      <c r="H64" s="7">
        <v>4000000088</v>
      </c>
      <c r="I64" s="7" t="s">
        <v>160</v>
      </c>
      <c r="J64" s="8">
        <v>149</v>
      </c>
      <c r="K64" s="8">
        <f>N64+O64+P64+S64+T64+V64+W64</f>
        <v>116</v>
      </c>
      <c r="L64" s="8">
        <v>149</v>
      </c>
      <c r="M64" s="152" t="s">
        <v>381</v>
      </c>
      <c r="N64" s="142">
        <v>0</v>
      </c>
      <c r="O64" s="142">
        <v>101</v>
      </c>
      <c r="P64" s="142">
        <v>0</v>
      </c>
      <c r="Q64" s="142">
        <v>0</v>
      </c>
      <c r="R64" s="142">
        <v>48</v>
      </c>
      <c r="S64" s="142">
        <v>15</v>
      </c>
      <c r="T64" s="143">
        <v>0</v>
      </c>
      <c r="U64" s="144">
        <f t="shared" si="23"/>
        <v>33</v>
      </c>
      <c r="V64" s="144"/>
      <c r="W64" s="144"/>
      <c r="X64" s="144">
        <f t="shared" si="14"/>
        <v>0</v>
      </c>
      <c r="Y64" s="144">
        <f t="shared" si="15"/>
        <v>116</v>
      </c>
      <c r="Z64" s="167">
        <v>7.9624832214765107</v>
      </c>
      <c r="AA64" s="167">
        <f t="shared" si="16"/>
        <v>923.64805369127521</v>
      </c>
      <c r="AB64" s="142">
        <f t="shared" si="2"/>
        <v>0</v>
      </c>
      <c r="AC64" s="142"/>
      <c r="AD64" s="142"/>
      <c r="AE64" s="142"/>
      <c r="AF64" s="169">
        <f t="shared" si="29"/>
        <v>0</v>
      </c>
      <c r="AG64" s="142">
        <f t="shared" si="25"/>
        <v>0</v>
      </c>
      <c r="AH64" s="142"/>
      <c r="AI64" s="142"/>
      <c r="AJ64" s="142"/>
      <c r="AK64" s="169">
        <f t="shared" si="17"/>
        <v>0</v>
      </c>
      <c r="AL64" s="142">
        <v>3535</v>
      </c>
      <c r="AM64" s="169">
        <f t="shared" si="26"/>
        <v>0</v>
      </c>
      <c r="AN64" s="142">
        <f t="shared" si="27"/>
        <v>923.64805369127521</v>
      </c>
      <c r="AO64" s="142">
        <v>0</v>
      </c>
      <c r="AP64" s="142"/>
      <c r="AQ64" s="142"/>
      <c r="AR64" s="142">
        <v>101</v>
      </c>
      <c r="AS64" s="142">
        <v>0</v>
      </c>
      <c r="AT64" s="145"/>
      <c r="AU64" s="145"/>
      <c r="AV64" s="145"/>
      <c r="AW64" s="145"/>
      <c r="AX64" s="145"/>
      <c r="AY64" s="145">
        <f>VLOOKUP(E64,Table1[[BL NO.]:[Total Value USD]],21,0)</f>
        <v>923.64805369127521</v>
      </c>
      <c r="AZ64" s="145">
        <f t="shared" si="18"/>
        <v>0</v>
      </c>
      <c r="BA64" s="9" t="s">
        <v>67</v>
      </c>
      <c r="BB64" s="7" t="s">
        <v>200</v>
      </c>
      <c r="BC64" s="7" t="s">
        <v>198</v>
      </c>
      <c r="BD64" s="7" t="s">
        <v>49</v>
      </c>
      <c r="BE64" s="10" t="s">
        <v>273</v>
      </c>
      <c r="BF64" s="9" t="s">
        <v>155</v>
      </c>
      <c r="BG64" s="146">
        <v>7.9624832214765107</v>
      </c>
      <c r="BH64" s="146">
        <f t="shared" si="28"/>
        <v>923.64805369127521</v>
      </c>
      <c r="BI64" s="147">
        <f t="shared" si="24"/>
        <v>28147.378187919465</v>
      </c>
      <c r="BJ64" s="147">
        <f t="shared" si="30"/>
        <v>4193959.35</v>
      </c>
      <c r="BK64" s="148">
        <v>34287.78</v>
      </c>
      <c r="BL64" s="147">
        <f t="shared" si="31"/>
        <v>5108879.22</v>
      </c>
      <c r="BM64" s="44">
        <v>0</v>
      </c>
      <c r="BN64" s="23">
        <v>3535</v>
      </c>
      <c r="BO64" s="10" t="s">
        <v>206</v>
      </c>
      <c r="BP64" s="25" t="s">
        <v>50</v>
      </c>
      <c r="BQ64" s="27" t="s">
        <v>110</v>
      </c>
      <c r="BR64" s="10" t="s">
        <v>176</v>
      </c>
      <c r="BS64" s="27" t="s">
        <v>54</v>
      </c>
      <c r="BT64" s="14"/>
      <c r="BU64" s="14" t="s">
        <v>41</v>
      </c>
      <c r="BV64" s="154" t="s">
        <v>42</v>
      </c>
      <c r="BW64" s="14" t="s">
        <v>270</v>
      </c>
      <c r="BX64" s="150">
        <v>1186.4100000000001</v>
      </c>
      <c r="BY64" s="154">
        <v>0</v>
      </c>
      <c r="BZ64" s="13">
        <f t="shared" si="10"/>
        <v>1186.4100000000001</v>
      </c>
      <c r="CA64" s="29">
        <f t="shared" si="11"/>
        <v>1</v>
      </c>
      <c r="CB64" s="23" t="s">
        <v>141</v>
      </c>
      <c r="CC64" s="7" t="s">
        <v>477</v>
      </c>
      <c r="CD64" s="7"/>
    </row>
    <row r="65" spans="1:82" x14ac:dyDescent="0.25">
      <c r="A65" s="123">
        <v>46152</v>
      </c>
      <c r="B65" s="6" t="s">
        <v>264</v>
      </c>
      <c r="C65" s="39">
        <v>2026</v>
      </c>
      <c r="D65" s="6">
        <v>62</v>
      </c>
      <c r="E65" s="6" t="s">
        <v>271</v>
      </c>
      <c r="F65" s="6" t="s">
        <v>136</v>
      </c>
      <c r="G65" s="7" t="s">
        <v>137</v>
      </c>
      <c r="H65" s="7">
        <v>4000000058</v>
      </c>
      <c r="I65" s="7" t="s">
        <v>71</v>
      </c>
      <c r="J65" s="8">
        <v>122</v>
      </c>
      <c r="K65" s="8">
        <f t="shared" si="12"/>
        <v>57</v>
      </c>
      <c r="L65" s="8">
        <v>122</v>
      </c>
      <c r="M65" s="152" t="s">
        <v>383</v>
      </c>
      <c r="N65" s="142">
        <v>4</v>
      </c>
      <c r="O65" s="142">
        <v>0</v>
      </c>
      <c r="P65" s="142">
        <v>41</v>
      </c>
      <c r="Q65" s="142">
        <v>0</v>
      </c>
      <c r="R65" s="142">
        <v>77</v>
      </c>
      <c r="S65" s="142">
        <v>11</v>
      </c>
      <c r="T65" s="143">
        <v>1</v>
      </c>
      <c r="U65" s="144">
        <f t="shared" si="23"/>
        <v>65</v>
      </c>
      <c r="V65" s="144"/>
      <c r="W65" s="144"/>
      <c r="X65" s="144">
        <f t="shared" si="14"/>
        <v>0</v>
      </c>
      <c r="Y65" s="144">
        <f t="shared" si="15"/>
        <v>57</v>
      </c>
      <c r="Z65" s="167">
        <v>15.47</v>
      </c>
      <c r="AA65" s="167">
        <f t="shared" si="16"/>
        <v>881.79000000000008</v>
      </c>
      <c r="AB65" s="142">
        <f t="shared" si="2"/>
        <v>4</v>
      </c>
      <c r="AC65" s="142"/>
      <c r="AD65" s="142"/>
      <c r="AE65" s="142"/>
      <c r="AF65" s="169">
        <f t="shared" si="29"/>
        <v>0</v>
      </c>
      <c r="AG65" s="142">
        <f t="shared" si="25"/>
        <v>1</v>
      </c>
      <c r="AH65" s="142"/>
      <c r="AI65" s="142"/>
      <c r="AJ65" s="142"/>
      <c r="AK65" s="169">
        <f t="shared" si="17"/>
        <v>0</v>
      </c>
      <c r="AL65" s="142">
        <v>4060</v>
      </c>
      <c r="AM65" s="169">
        <f t="shared" si="26"/>
        <v>0</v>
      </c>
      <c r="AN65" s="142">
        <f t="shared" si="27"/>
        <v>881.79000000000008</v>
      </c>
      <c r="AO65" s="142">
        <v>0</v>
      </c>
      <c r="AP65" s="142"/>
      <c r="AQ65" s="142"/>
      <c r="AR65" s="142">
        <v>0</v>
      </c>
      <c r="AS65" s="142">
        <v>41</v>
      </c>
      <c r="AT65" s="145"/>
      <c r="AU65" s="145"/>
      <c r="AV65" s="145"/>
      <c r="AW65" s="145"/>
      <c r="AX65" s="145"/>
      <c r="AY65" s="145">
        <f>VLOOKUP(E65,Table1[[BL NO.]:[Total Value USD]],21,0)</f>
        <v>881.79000000000008</v>
      </c>
      <c r="AZ65" s="145">
        <f t="shared" si="18"/>
        <v>0</v>
      </c>
      <c r="BA65" s="9" t="s">
        <v>67</v>
      </c>
      <c r="BB65" s="7" t="s">
        <v>200</v>
      </c>
      <c r="BC65" s="7" t="s">
        <v>198</v>
      </c>
      <c r="BD65" s="7" t="s">
        <v>49</v>
      </c>
      <c r="BE65" s="10" t="s">
        <v>272</v>
      </c>
      <c r="BF65" s="9" t="s">
        <v>83</v>
      </c>
      <c r="BG65" s="146">
        <v>15.47</v>
      </c>
      <c r="BH65" s="146">
        <f t="shared" si="28"/>
        <v>881.79000000000008</v>
      </c>
      <c r="BI65" s="147">
        <f t="shared" si="24"/>
        <v>62808.200000000004</v>
      </c>
      <c r="BJ65" s="147">
        <f t="shared" si="30"/>
        <v>7662600.4000000004</v>
      </c>
      <c r="BK65" s="148">
        <v>69278</v>
      </c>
      <c r="BL65" s="147">
        <f t="shared" si="31"/>
        <v>8451916</v>
      </c>
      <c r="BM65" s="44">
        <v>0</v>
      </c>
      <c r="BN65" s="23">
        <v>4060</v>
      </c>
      <c r="BO65" s="10" t="s">
        <v>50</v>
      </c>
      <c r="BP65" s="25" t="s">
        <v>45</v>
      </c>
      <c r="BQ65" s="27" t="s">
        <v>110</v>
      </c>
      <c r="BR65" s="10" t="s">
        <v>176</v>
      </c>
      <c r="BS65" s="27" t="s">
        <v>54</v>
      </c>
      <c r="BT65" s="14"/>
      <c r="BU65" s="14" t="s">
        <v>41</v>
      </c>
      <c r="BV65" s="154" t="s">
        <v>42</v>
      </c>
      <c r="BW65" s="14" t="s">
        <v>270</v>
      </c>
      <c r="BX65" s="150">
        <f>Table1[[#This Row],[Total Value USD]]</f>
        <v>1021.0200000000001</v>
      </c>
      <c r="BY65" s="154">
        <v>0</v>
      </c>
      <c r="BZ65" s="13">
        <f t="shared" si="10"/>
        <v>1021.0200000000001</v>
      </c>
      <c r="CA65" s="29">
        <f t="shared" si="11"/>
        <v>1</v>
      </c>
      <c r="CB65" s="23" t="s">
        <v>55</v>
      </c>
      <c r="CC65" s="7"/>
      <c r="CD65" s="7"/>
    </row>
    <row r="66" spans="1:82" x14ac:dyDescent="0.25">
      <c r="A66" s="123">
        <v>46152</v>
      </c>
      <c r="B66" s="6" t="s">
        <v>264</v>
      </c>
      <c r="C66" s="39">
        <v>2026</v>
      </c>
      <c r="D66" s="6">
        <v>63</v>
      </c>
      <c r="E66" s="195" t="s">
        <v>274</v>
      </c>
      <c r="F66" s="6" t="s">
        <v>136</v>
      </c>
      <c r="G66" s="7" t="s">
        <v>137</v>
      </c>
      <c r="H66" s="7">
        <v>4000000058</v>
      </c>
      <c r="I66" s="7" t="s">
        <v>71</v>
      </c>
      <c r="J66" s="8">
        <v>94</v>
      </c>
      <c r="K66" s="8">
        <f t="shared" si="12"/>
        <v>66</v>
      </c>
      <c r="L66" s="8">
        <v>94</v>
      </c>
      <c r="M66" s="152" t="s">
        <v>385</v>
      </c>
      <c r="N66" s="153">
        <v>20</v>
      </c>
      <c r="O66" s="142">
        <v>0</v>
      </c>
      <c r="P66" s="142">
        <v>35</v>
      </c>
      <c r="Q66" s="142">
        <v>0</v>
      </c>
      <c r="R66" s="142">
        <v>39</v>
      </c>
      <c r="S66" s="142">
        <v>11</v>
      </c>
      <c r="T66" s="143">
        <v>0</v>
      </c>
      <c r="U66" s="144">
        <f t="shared" si="23"/>
        <v>28</v>
      </c>
      <c r="V66" s="144"/>
      <c r="W66" s="144"/>
      <c r="X66" s="144">
        <f t="shared" si="14"/>
        <v>0</v>
      </c>
      <c r="Y66" s="144">
        <f t="shared" si="15"/>
        <v>66</v>
      </c>
      <c r="Z66" s="167">
        <v>15.47</v>
      </c>
      <c r="AA66" s="167">
        <f t="shared" si="16"/>
        <v>1021.0200000000001</v>
      </c>
      <c r="AB66" s="153">
        <f t="shared" si="2"/>
        <v>20</v>
      </c>
      <c r="AC66" s="142"/>
      <c r="AD66" s="142"/>
      <c r="AE66" s="142"/>
      <c r="AF66" s="169">
        <f t="shared" si="29"/>
        <v>0</v>
      </c>
      <c r="AG66" s="142">
        <f t="shared" si="25"/>
        <v>0</v>
      </c>
      <c r="AH66" s="142"/>
      <c r="AI66" s="142"/>
      <c r="AJ66" s="153"/>
      <c r="AK66" s="169">
        <f t="shared" si="17"/>
        <v>0</v>
      </c>
      <c r="AL66" s="142">
        <v>4060</v>
      </c>
      <c r="AM66" s="169">
        <f t="shared" si="26"/>
        <v>0</v>
      </c>
      <c r="AN66" s="142">
        <f t="shared" si="27"/>
        <v>1021.0200000000001</v>
      </c>
      <c r="AO66" s="142">
        <v>0</v>
      </c>
      <c r="AP66" s="142"/>
      <c r="AQ66" s="142"/>
      <c r="AR66" s="142">
        <v>0</v>
      </c>
      <c r="AS66" s="142">
        <v>35</v>
      </c>
      <c r="AT66" s="145"/>
      <c r="AU66" s="145"/>
      <c r="AV66" s="145"/>
      <c r="AW66" s="145"/>
      <c r="AX66" s="145"/>
      <c r="AY66" s="145">
        <f>VLOOKUP(E66,Table1[[BL NO.]:[Total Value USD]],21,0)</f>
        <v>1021.0200000000001</v>
      </c>
      <c r="AZ66" s="145">
        <f t="shared" si="18"/>
        <v>0</v>
      </c>
      <c r="BA66" s="9" t="s">
        <v>67</v>
      </c>
      <c r="BB66" s="7" t="s">
        <v>200</v>
      </c>
      <c r="BC66" s="7" t="s">
        <v>198</v>
      </c>
      <c r="BD66" s="7" t="s">
        <v>49</v>
      </c>
      <c r="BE66" s="10" t="s">
        <v>276</v>
      </c>
      <c r="BF66" s="9" t="s">
        <v>83</v>
      </c>
      <c r="BG66" s="146">
        <v>15.47</v>
      </c>
      <c r="BH66" s="146">
        <f t="shared" si="28"/>
        <v>1021.0200000000001</v>
      </c>
      <c r="BI66" s="147">
        <f t="shared" si="24"/>
        <v>62808.200000000004</v>
      </c>
      <c r="BJ66" s="147">
        <f t="shared" si="30"/>
        <v>5903970.8000000007</v>
      </c>
      <c r="BK66" s="148">
        <v>69278</v>
      </c>
      <c r="BL66" s="147">
        <f t="shared" si="31"/>
        <v>6512132</v>
      </c>
      <c r="BM66" s="44">
        <v>0</v>
      </c>
      <c r="BN66" s="23">
        <v>4060</v>
      </c>
      <c r="BO66" s="10" t="s">
        <v>50</v>
      </c>
      <c r="BP66" s="25" t="s">
        <v>45</v>
      </c>
      <c r="BQ66" s="27" t="s">
        <v>110</v>
      </c>
      <c r="BR66" s="10" t="s">
        <v>176</v>
      </c>
      <c r="BS66" s="27" t="s">
        <v>54</v>
      </c>
      <c r="BT66" s="14"/>
      <c r="BU66" s="14" t="s">
        <v>41</v>
      </c>
      <c r="BV66" s="154" t="s">
        <v>42</v>
      </c>
      <c r="BW66" s="14" t="s">
        <v>270</v>
      </c>
      <c r="BX66" s="150">
        <f>Table1[[#This Row],[Total Value USD]]</f>
        <v>2379</v>
      </c>
      <c r="BY66" s="154">
        <v>0</v>
      </c>
      <c r="BZ66" s="13">
        <f t="shared" si="10"/>
        <v>2379</v>
      </c>
      <c r="CA66" s="29">
        <f t="shared" si="11"/>
        <v>1</v>
      </c>
      <c r="CB66" s="23" t="s">
        <v>141</v>
      </c>
      <c r="CC66" s="7" t="s">
        <v>371</v>
      </c>
      <c r="CD66" s="7"/>
    </row>
    <row r="67" spans="1:82" x14ac:dyDescent="0.25">
      <c r="A67" s="123">
        <v>46152</v>
      </c>
      <c r="B67" s="6" t="s">
        <v>264</v>
      </c>
      <c r="C67" s="39">
        <v>2026</v>
      </c>
      <c r="D67" s="6">
        <v>64</v>
      </c>
      <c r="E67" s="6" t="s">
        <v>275</v>
      </c>
      <c r="F67" s="6" t="s">
        <v>153</v>
      </c>
      <c r="G67" s="7" t="s">
        <v>396</v>
      </c>
      <c r="H67" s="7">
        <v>4000000058</v>
      </c>
      <c r="I67" s="7" t="s">
        <v>71</v>
      </c>
      <c r="J67" s="8">
        <v>182</v>
      </c>
      <c r="K67" s="8">
        <f t="shared" si="12"/>
        <v>156</v>
      </c>
      <c r="L67" s="8">
        <f>182-13</f>
        <v>169</v>
      </c>
      <c r="M67" s="152" t="s">
        <v>386</v>
      </c>
      <c r="N67" s="142">
        <v>78</v>
      </c>
      <c r="O67" s="142">
        <v>0</v>
      </c>
      <c r="P67" s="142">
        <v>65</v>
      </c>
      <c r="Q67" s="142">
        <v>0</v>
      </c>
      <c r="R67" s="142">
        <v>39</v>
      </c>
      <c r="S67" s="142">
        <v>13</v>
      </c>
      <c r="T67" s="143">
        <v>0</v>
      </c>
      <c r="U67" s="144">
        <f t="shared" si="23"/>
        <v>26</v>
      </c>
      <c r="V67" s="144"/>
      <c r="W67" s="144"/>
      <c r="X67" s="144">
        <f t="shared" si="14"/>
        <v>0</v>
      </c>
      <c r="Y67" s="144">
        <f t="shared" si="15"/>
        <v>156</v>
      </c>
      <c r="Z67" s="167">
        <v>15.25</v>
      </c>
      <c r="AA67" s="167">
        <f t="shared" si="16"/>
        <v>2379</v>
      </c>
      <c r="AB67" s="142">
        <f t="shared" ref="AB67:AB74" si="33">N67+W67</f>
        <v>78</v>
      </c>
      <c r="AC67" s="142"/>
      <c r="AD67" s="142"/>
      <c r="AE67" s="142"/>
      <c r="AF67" s="169">
        <f t="shared" si="29"/>
        <v>0</v>
      </c>
      <c r="AG67" s="142">
        <f t="shared" ref="AG67:AG74" si="34">T67</f>
        <v>0</v>
      </c>
      <c r="AH67" s="142"/>
      <c r="AI67" s="142"/>
      <c r="AJ67" s="142"/>
      <c r="AK67" s="169">
        <f t="shared" si="17"/>
        <v>0</v>
      </c>
      <c r="AL67" s="142">
        <v>4060</v>
      </c>
      <c r="AM67" s="169">
        <f t="shared" ref="AM67:AM74" si="35">AF67+AK67</f>
        <v>0</v>
      </c>
      <c r="AN67" s="142">
        <f t="shared" ref="AN67:AN74" si="36">AA67-AM67</f>
        <v>2379</v>
      </c>
      <c r="AO67" s="142">
        <v>0</v>
      </c>
      <c r="AP67" s="142"/>
      <c r="AQ67" s="142"/>
      <c r="AR67" s="142">
        <v>0</v>
      </c>
      <c r="AS67" s="142">
        <v>65</v>
      </c>
      <c r="AT67" s="145"/>
      <c r="AU67" s="145"/>
      <c r="AV67" s="145"/>
      <c r="AW67" s="145"/>
      <c r="AX67" s="145"/>
      <c r="AY67" s="145">
        <f>VLOOKUP(E67,Table1[[BL NO.]:[Total Value USD]],21,0)</f>
        <v>2379</v>
      </c>
      <c r="AZ67" s="145">
        <f t="shared" si="18"/>
        <v>0</v>
      </c>
      <c r="BA67" s="9" t="s">
        <v>67</v>
      </c>
      <c r="BB67" s="7" t="s">
        <v>200</v>
      </c>
      <c r="BC67" s="7" t="s">
        <v>198</v>
      </c>
      <c r="BD67" s="7" t="s">
        <v>49</v>
      </c>
      <c r="BE67" s="10" t="s">
        <v>277</v>
      </c>
      <c r="BF67" s="9" t="s">
        <v>83</v>
      </c>
      <c r="BG67" s="146">
        <v>15.25</v>
      </c>
      <c r="BH67" s="146">
        <f t="shared" ref="BH67:BH74" si="37">BG67*K67</f>
        <v>2379</v>
      </c>
      <c r="BI67" s="147">
        <f t="shared" si="24"/>
        <v>61915</v>
      </c>
      <c r="BJ67" s="147">
        <f t="shared" si="30"/>
        <v>10463635</v>
      </c>
      <c r="BK67" s="148">
        <v>69278</v>
      </c>
      <c r="BL67" s="147">
        <f t="shared" si="31"/>
        <v>11707982</v>
      </c>
      <c r="BM67" s="44">
        <v>0</v>
      </c>
      <c r="BN67" s="23">
        <v>4060</v>
      </c>
      <c r="BO67" s="10" t="s">
        <v>50</v>
      </c>
      <c r="BP67" s="25" t="s">
        <v>45</v>
      </c>
      <c r="BQ67" s="27" t="s">
        <v>110</v>
      </c>
      <c r="BR67" s="10" t="s">
        <v>176</v>
      </c>
      <c r="BS67" s="27" t="s">
        <v>54</v>
      </c>
      <c r="BT67" s="14"/>
      <c r="BU67" s="14" t="s">
        <v>41</v>
      </c>
      <c r="BV67" s="154" t="s">
        <v>42</v>
      </c>
      <c r="BW67" s="14" t="s">
        <v>270</v>
      </c>
      <c r="BX67" s="150">
        <f>Table1[[#This Row],[Total Value USD]]</f>
        <v>770.5</v>
      </c>
      <c r="BY67" s="154">
        <v>0</v>
      </c>
      <c r="BZ67" s="13">
        <f t="shared" ref="BZ67:BZ68" si="38">BX67-BY67</f>
        <v>770.5</v>
      </c>
      <c r="CA67" s="29">
        <f t="shared" ref="CA67:CA68" si="39">(BY67/BX67-1)*-1</f>
        <v>1</v>
      </c>
      <c r="CB67" s="23" t="s">
        <v>141</v>
      </c>
      <c r="CC67" s="7" t="s">
        <v>377</v>
      </c>
      <c r="CD67" s="7" t="s">
        <v>50</v>
      </c>
    </row>
    <row r="68" spans="1:82" x14ac:dyDescent="0.25">
      <c r="A68" s="125">
        <v>46153</v>
      </c>
      <c r="B68" s="6" t="s">
        <v>264</v>
      </c>
      <c r="C68" s="39">
        <v>2026</v>
      </c>
      <c r="D68" s="6">
        <v>65</v>
      </c>
      <c r="E68" s="6" t="s">
        <v>278</v>
      </c>
      <c r="F68" s="6" t="s">
        <v>136</v>
      </c>
      <c r="G68" s="7" t="s">
        <v>137</v>
      </c>
      <c r="H68" s="7">
        <v>4000000058</v>
      </c>
      <c r="I68" s="7" t="s">
        <v>71</v>
      </c>
      <c r="J68" s="8">
        <v>69</v>
      </c>
      <c r="K68" s="8">
        <f t="shared" ref="K68:K74" si="40">N68+O68+P68+S68+T68+V68+W68</f>
        <v>50</v>
      </c>
      <c r="L68" s="8">
        <f>69-7</f>
        <v>62</v>
      </c>
      <c r="M68" s="152" t="s">
        <v>387</v>
      </c>
      <c r="N68" s="142">
        <v>29</v>
      </c>
      <c r="O68" s="142">
        <v>0</v>
      </c>
      <c r="P68" s="142">
        <v>14</v>
      </c>
      <c r="Q68" s="142"/>
      <c r="R68" s="142">
        <v>25</v>
      </c>
      <c r="S68" s="142">
        <v>7</v>
      </c>
      <c r="T68" s="143">
        <v>0</v>
      </c>
      <c r="U68" s="144">
        <f t="shared" si="23"/>
        <v>18</v>
      </c>
      <c r="V68" s="144"/>
      <c r="W68" s="144"/>
      <c r="X68" s="144">
        <f t="shared" ref="X68:X74" si="41">Q68-V68-W68</f>
        <v>0</v>
      </c>
      <c r="Y68" s="144">
        <f t="shared" ref="Y68:Y78" si="42">N68+O68+P68+S68+T68+V68+W68</f>
        <v>50</v>
      </c>
      <c r="Z68" s="167">
        <v>15.41</v>
      </c>
      <c r="AA68" s="167">
        <f t="shared" ref="AA68:AA78" si="43">Y68*Z68</f>
        <v>770.5</v>
      </c>
      <c r="AB68" s="142">
        <f t="shared" si="33"/>
        <v>29</v>
      </c>
      <c r="AC68" s="142"/>
      <c r="AD68" s="142"/>
      <c r="AE68" s="142"/>
      <c r="AF68" s="169">
        <f t="shared" si="29"/>
        <v>0</v>
      </c>
      <c r="AG68" s="142">
        <f t="shared" si="34"/>
        <v>0</v>
      </c>
      <c r="AH68" s="142"/>
      <c r="AI68" s="142"/>
      <c r="AJ68" s="142"/>
      <c r="AK68" s="169">
        <f t="shared" ref="AK68:AK74" si="44">AI68/AL68</f>
        <v>0</v>
      </c>
      <c r="AL68" s="142">
        <v>4060</v>
      </c>
      <c r="AM68" s="169">
        <f t="shared" si="35"/>
        <v>0</v>
      </c>
      <c r="AN68" s="142">
        <f t="shared" si="36"/>
        <v>770.5</v>
      </c>
      <c r="AO68" s="142"/>
      <c r="AP68" s="142"/>
      <c r="AQ68" s="142"/>
      <c r="AR68" s="142">
        <v>0</v>
      </c>
      <c r="AS68" s="142">
        <v>14</v>
      </c>
      <c r="AT68" s="145"/>
      <c r="AU68" s="145"/>
      <c r="AV68" s="145"/>
      <c r="AW68" s="145"/>
      <c r="AX68" s="145"/>
      <c r="AY68" s="145">
        <f>VLOOKUP(E68,Table1[[BL NO.]:[Total Value USD]],21,0)</f>
        <v>770.5</v>
      </c>
      <c r="AZ68" s="145">
        <f t="shared" ref="AZ68:AZ74" si="45">AN68-AY68</f>
        <v>0</v>
      </c>
      <c r="BA68" s="9" t="s">
        <v>67</v>
      </c>
      <c r="BB68" s="7" t="s">
        <v>200</v>
      </c>
      <c r="BC68" s="7" t="s">
        <v>198</v>
      </c>
      <c r="BD68" s="7" t="s">
        <v>49</v>
      </c>
      <c r="BE68" s="10" t="s">
        <v>279</v>
      </c>
      <c r="BF68" s="9" t="s">
        <v>83</v>
      </c>
      <c r="BG68" s="146">
        <v>15.41</v>
      </c>
      <c r="BH68" s="146">
        <f t="shared" si="37"/>
        <v>770.5</v>
      </c>
      <c r="BI68" s="147">
        <f t="shared" si="24"/>
        <v>62564.6</v>
      </c>
      <c r="BJ68" s="147">
        <f t="shared" si="30"/>
        <v>3879005.1999999997</v>
      </c>
      <c r="BK68" s="148">
        <v>69278</v>
      </c>
      <c r="BL68" s="147">
        <f t="shared" si="31"/>
        <v>4295236</v>
      </c>
      <c r="BM68" s="44">
        <v>0</v>
      </c>
      <c r="BN68" s="23">
        <v>4060</v>
      </c>
      <c r="BO68" s="10" t="s">
        <v>50</v>
      </c>
      <c r="BP68" s="25" t="s">
        <v>45</v>
      </c>
      <c r="BQ68" s="27" t="s">
        <v>110</v>
      </c>
      <c r="BR68" s="10" t="s">
        <v>176</v>
      </c>
      <c r="BS68" s="27" t="s">
        <v>54</v>
      </c>
      <c r="BT68" s="14"/>
      <c r="BU68" s="14" t="s">
        <v>50</v>
      </c>
      <c r="BV68" s="154" t="s">
        <v>50</v>
      </c>
      <c r="BW68" s="14" t="s">
        <v>207</v>
      </c>
      <c r="BX68" s="150">
        <f>Table1[[#This Row],[Total Value USD]]</f>
        <v>116.98773841961854</v>
      </c>
      <c r="BY68" s="154">
        <v>0</v>
      </c>
      <c r="BZ68" s="13">
        <f t="shared" si="38"/>
        <v>116.98773841961854</v>
      </c>
      <c r="CA68" s="29">
        <f t="shared" si="39"/>
        <v>1</v>
      </c>
      <c r="CB68" s="23" t="s">
        <v>141</v>
      </c>
      <c r="CC68" s="7" t="s">
        <v>377</v>
      </c>
      <c r="CD68" s="7" t="s">
        <v>50</v>
      </c>
    </row>
    <row r="69" spans="1:82" x14ac:dyDescent="0.25">
      <c r="A69" s="125">
        <v>46188</v>
      </c>
      <c r="B69" s="6" t="str">
        <f>TEXT(A69,"MMM")</f>
        <v>Jun</v>
      </c>
      <c r="C69" s="39">
        <f>YEAR(A69)</f>
        <v>2026</v>
      </c>
      <c r="D69" s="6">
        <v>66</v>
      </c>
      <c r="E69" s="6" t="s">
        <v>281</v>
      </c>
      <c r="F69" s="6" t="s">
        <v>153</v>
      </c>
      <c r="G69" s="7" t="s">
        <v>396</v>
      </c>
      <c r="H69" s="7">
        <v>4000000088</v>
      </c>
      <c r="I69" s="7" t="s">
        <v>160</v>
      </c>
      <c r="J69" s="8">
        <v>160</v>
      </c>
      <c r="K69" s="8">
        <f t="shared" si="40"/>
        <v>15</v>
      </c>
      <c r="L69" s="8">
        <f>160-15</f>
        <v>145</v>
      </c>
      <c r="M69" s="152" t="s">
        <v>388</v>
      </c>
      <c r="N69" s="142">
        <v>0</v>
      </c>
      <c r="O69" s="142">
        <v>0</v>
      </c>
      <c r="P69" s="142">
        <v>0</v>
      </c>
      <c r="Q69" s="142">
        <v>0</v>
      </c>
      <c r="R69" s="142">
        <v>160</v>
      </c>
      <c r="S69" s="142">
        <v>15</v>
      </c>
      <c r="T69" s="143">
        <v>0</v>
      </c>
      <c r="U69" s="144">
        <f t="shared" si="23"/>
        <v>145</v>
      </c>
      <c r="V69" s="144"/>
      <c r="W69" s="144"/>
      <c r="X69" s="144">
        <f t="shared" si="41"/>
        <v>0</v>
      </c>
      <c r="Y69" s="144">
        <f t="shared" si="42"/>
        <v>15</v>
      </c>
      <c r="Z69" s="167">
        <v>7.7991825613079024</v>
      </c>
      <c r="AA69" s="167">
        <f t="shared" si="43"/>
        <v>116.98773841961854</v>
      </c>
      <c r="AB69" s="142">
        <f t="shared" si="33"/>
        <v>0</v>
      </c>
      <c r="AC69" s="142"/>
      <c r="AD69" s="142"/>
      <c r="AE69" s="142"/>
      <c r="AF69" s="169">
        <f t="shared" si="29"/>
        <v>0</v>
      </c>
      <c r="AG69" s="142">
        <f t="shared" si="34"/>
        <v>0</v>
      </c>
      <c r="AH69" s="142"/>
      <c r="AI69" s="142"/>
      <c r="AJ69" s="142"/>
      <c r="AK69" s="169">
        <f t="shared" si="44"/>
        <v>0</v>
      </c>
      <c r="AL69" s="142">
        <v>4583.93</v>
      </c>
      <c r="AM69" s="169">
        <f t="shared" si="35"/>
        <v>0</v>
      </c>
      <c r="AN69" s="142">
        <f t="shared" si="36"/>
        <v>116.98773841961854</v>
      </c>
      <c r="AO69" s="142">
        <v>0</v>
      </c>
      <c r="AP69" s="142"/>
      <c r="AQ69" s="142"/>
      <c r="AR69" s="142">
        <v>0</v>
      </c>
      <c r="AS69" s="142">
        <v>0</v>
      </c>
      <c r="AT69" s="145"/>
      <c r="AU69" s="145"/>
      <c r="AV69" s="145"/>
      <c r="AW69" s="145"/>
      <c r="AX69" s="145"/>
      <c r="AY69" s="145">
        <f>VLOOKUP(E69,Table1[[BL NO.]:[Total Value USD]],21,0)</f>
        <v>116.98773841961854</v>
      </c>
      <c r="AZ69" s="145">
        <f t="shared" si="45"/>
        <v>0</v>
      </c>
      <c r="BA69" s="9" t="s">
        <v>67</v>
      </c>
      <c r="BB69" s="7" t="s">
        <v>200</v>
      </c>
      <c r="BC69" s="7" t="s">
        <v>198</v>
      </c>
      <c r="BD69" s="7" t="s">
        <v>49</v>
      </c>
      <c r="BE69" s="10" t="s">
        <v>286</v>
      </c>
      <c r="BF69" s="9" t="s">
        <v>287</v>
      </c>
      <c r="BG69" s="146">
        <v>7.7991825613079024</v>
      </c>
      <c r="BH69" s="146">
        <f t="shared" si="37"/>
        <v>116.98773841961854</v>
      </c>
      <c r="BI69" s="147">
        <f t="shared" si="24"/>
        <v>35750.906918256136</v>
      </c>
      <c r="BJ69" s="147">
        <f t="shared" si="30"/>
        <v>5183881.5031471401</v>
      </c>
      <c r="BK69" s="148">
        <v>37916.239999999998</v>
      </c>
      <c r="BL69" s="147">
        <f t="shared" si="31"/>
        <v>5497854.7999999998</v>
      </c>
      <c r="BM69" s="44">
        <v>0</v>
      </c>
      <c r="BN69" s="23">
        <v>4583.93</v>
      </c>
      <c r="BO69" s="10" t="s">
        <v>50</v>
      </c>
      <c r="BP69" s="25" t="s">
        <v>45</v>
      </c>
      <c r="BQ69" s="27" t="s">
        <v>110</v>
      </c>
      <c r="BR69" s="10" t="s">
        <v>176</v>
      </c>
      <c r="BS69" s="27" t="s">
        <v>54</v>
      </c>
      <c r="BT69" s="14"/>
      <c r="BU69" s="14" t="s">
        <v>50</v>
      </c>
      <c r="BV69" s="154" t="s">
        <v>50</v>
      </c>
      <c r="BW69" s="14" t="s">
        <v>207</v>
      </c>
      <c r="BX69" s="150">
        <f>BH69</f>
        <v>116.98773841961854</v>
      </c>
      <c r="BY69" s="154">
        <v>0</v>
      </c>
      <c r="BZ69" s="13">
        <f>BX69-BY69</f>
        <v>116.98773841961854</v>
      </c>
      <c r="CA69" s="29">
        <f>(BY69/BX69-1)*-1</f>
        <v>1</v>
      </c>
      <c r="CB69" s="23" t="s">
        <v>55</v>
      </c>
      <c r="CC69" s="7"/>
      <c r="CD69" s="7"/>
    </row>
    <row r="70" spans="1:82" x14ac:dyDescent="0.25">
      <c r="A70" s="125">
        <v>46197</v>
      </c>
      <c r="B70" s="6" t="str">
        <f>TEXT(A70,"MMM")</f>
        <v>Jun</v>
      </c>
      <c r="C70" s="39">
        <f>YEAR(A70)</f>
        <v>2026</v>
      </c>
      <c r="D70" s="6">
        <v>67</v>
      </c>
      <c r="E70" s="6" t="s">
        <v>282</v>
      </c>
      <c r="F70" s="6" t="s">
        <v>153</v>
      </c>
      <c r="G70" s="7" t="s">
        <v>396</v>
      </c>
      <c r="H70" s="7">
        <v>4000000058</v>
      </c>
      <c r="I70" s="7" t="s">
        <v>71</v>
      </c>
      <c r="J70" s="8">
        <v>53</v>
      </c>
      <c r="K70" s="8">
        <f t="shared" si="40"/>
        <v>0</v>
      </c>
      <c r="L70" s="8">
        <v>53</v>
      </c>
      <c r="M70" s="152" t="s">
        <v>389</v>
      </c>
      <c r="N70" s="142">
        <v>0</v>
      </c>
      <c r="O70" s="142">
        <v>0</v>
      </c>
      <c r="P70" s="142">
        <v>0</v>
      </c>
      <c r="Q70" s="142">
        <v>0</v>
      </c>
      <c r="R70" s="142">
        <v>40</v>
      </c>
      <c r="S70" s="142">
        <v>0</v>
      </c>
      <c r="T70" s="143">
        <v>0</v>
      </c>
      <c r="U70" s="144">
        <f t="shared" si="23"/>
        <v>40</v>
      </c>
      <c r="V70" s="144"/>
      <c r="W70" s="144"/>
      <c r="X70" s="144">
        <f t="shared" si="41"/>
        <v>0</v>
      </c>
      <c r="Y70" s="144">
        <f t="shared" si="42"/>
        <v>0</v>
      </c>
      <c r="Z70" s="167">
        <v>15.25356948228883</v>
      </c>
      <c r="AA70" s="167">
        <f t="shared" si="43"/>
        <v>0</v>
      </c>
      <c r="AB70" s="142">
        <f t="shared" si="33"/>
        <v>0</v>
      </c>
      <c r="AC70" s="142"/>
      <c r="AD70" s="142"/>
      <c r="AE70" s="142"/>
      <c r="AF70" s="169">
        <f t="shared" si="29"/>
        <v>0</v>
      </c>
      <c r="AG70" s="142">
        <f t="shared" si="34"/>
        <v>0</v>
      </c>
      <c r="AH70" s="142"/>
      <c r="AI70" s="142"/>
      <c r="AJ70" s="142"/>
      <c r="AK70" s="169">
        <f t="shared" si="44"/>
        <v>0</v>
      </c>
      <c r="AL70" s="142">
        <v>4583.93</v>
      </c>
      <c r="AM70" s="169">
        <f t="shared" si="35"/>
        <v>0</v>
      </c>
      <c r="AN70" s="142">
        <f t="shared" si="36"/>
        <v>0</v>
      </c>
      <c r="AO70" s="142">
        <v>0</v>
      </c>
      <c r="AP70" s="142"/>
      <c r="AQ70" s="142"/>
      <c r="AR70" s="142">
        <v>0</v>
      </c>
      <c r="AS70" s="142">
        <v>0</v>
      </c>
      <c r="AT70" s="145"/>
      <c r="AU70" s="145"/>
      <c r="AV70" s="145"/>
      <c r="AW70" s="145"/>
      <c r="AX70" s="145"/>
      <c r="AY70" s="145">
        <f>VLOOKUP(E70,Table1[[BL NO.]:[Total Value USD]],21,0)</f>
        <v>0</v>
      </c>
      <c r="AZ70" s="145">
        <f t="shared" si="45"/>
        <v>0</v>
      </c>
      <c r="BA70" s="9" t="s">
        <v>67</v>
      </c>
      <c r="BB70" s="7" t="s">
        <v>200</v>
      </c>
      <c r="BC70" s="7" t="s">
        <v>198</v>
      </c>
      <c r="BD70" s="7" t="s">
        <v>49</v>
      </c>
      <c r="BE70" s="10" t="s">
        <v>288</v>
      </c>
      <c r="BF70" s="9" t="s">
        <v>287</v>
      </c>
      <c r="BG70" s="146">
        <v>15.25356948228883</v>
      </c>
      <c r="BH70" s="146">
        <f t="shared" si="37"/>
        <v>0</v>
      </c>
      <c r="BI70" s="147">
        <f>BG70*BN70</f>
        <v>69921.294756948235</v>
      </c>
      <c r="BJ70" s="147">
        <f t="shared" si="30"/>
        <v>3705828.6221182565</v>
      </c>
      <c r="BK70" s="148">
        <v>37916.239999999998</v>
      </c>
      <c r="BL70" s="147">
        <f t="shared" si="31"/>
        <v>2009560.72</v>
      </c>
      <c r="BM70" s="44">
        <v>0</v>
      </c>
      <c r="BN70" s="23">
        <v>4583.93</v>
      </c>
      <c r="BO70" s="10" t="s">
        <v>50</v>
      </c>
      <c r="BP70" s="25" t="s">
        <v>45</v>
      </c>
      <c r="BQ70" s="27" t="s">
        <v>110</v>
      </c>
      <c r="BR70" s="10" t="s">
        <v>176</v>
      </c>
      <c r="BS70" s="27" t="s">
        <v>54</v>
      </c>
      <c r="BT70" s="14"/>
      <c r="BU70" s="14" t="s">
        <v>50</v>
      </c>
      <c r="BV70" s="154" t="s">
        <v>50</v>
      </c>
      <c r="BW70" s="14" t="s">
        <v>207</v>
      </c>
      <c r="BX70" s="150">
        <f>BH70</f>
        <v>0</v>
      </c>
      <c r="BY70" s="154">
        <v>0</v>
      </c>
      <c r="BZ70" s="13">
        <f>BX70-BY70</f>
        <v>0</v>
      </c>
      <c r="CA70" s="29" t="e">
        <f>(BY70/BX70-1)*-1</f>
        <v>#DIV/0!</v>
      </c>
      <c r="CB70" s="23" t="s">
        <v>55</v>
      </c>
      <c r="CC70" s="7" t="s">
        <v>384</v>
      </c>
      <c r="CD70" s="7" t="s">
        <v>50</v>
      </c>
    </row>
    <row r="71" spans="1:82" x14ac:dyDescent="0.25">
      <c r="A71" s="125">
        <v>46197</v>
      </c>
      <c r="B71" s="6" t="str">
        <f>TEXT(A71,"MMM")</f>
        <v>Jun</v>
      </c>
      <c r="C71" s="39">
        <f>YEAR(A71)</f>
        <v>2026</v>
      </c>
      <c r="D71" s="6">
        <v>68</v>
      </c>
      <c r="E71" s="6" t="s">
        <v>283</v>
      </c>
      <c r="F71" s="6" t="s">
        <v>153</v>
      </c>
      <c r="G71" s="7" t="s">
        <v>396</v>
      </c>
      <c r="H71" s="7">
        <v>4000000058</v>
      </c>
      <c r="I71" s="7" t="s">
        <v>71</v>
      </c>
      <c r="J71" s="8">
        <v>29</v>
      </c>
      <c r="K71" s="8">
        <f t="shared" si="40"/>
        <v>0</v>
      </c>
      <c r="L71" s="8">
        <v>29</v>
      </c>
      <c r="M71" s="152" t="s">
        <v>390</v>
      </c>
      <c r="N71" s="142">
        <v>0</v>
      </c>
      <c r="O71" s="142">
        <v>0</v>
      </c>
      <c r="P71" s="142">
        <v>0</v>
      </c>
      <c r="Q71" s="142">
        <v>0</v>
      </c>
      <c r="R71" s="142">
        <v>29</v>
      </c>
      <c r="S71" s="142">
        <v>0</v>
      </c>
      <c r="T71" s="143">
        <v>0</v>
      </c>
      <c r="U71" s="144">
        <f t="shared" si="23"/>
        <v>29</v>
      </c>
      <c r="V71" s="144"/>
      <c r="W71" s="144"/>
      <c r="X71" s="144">
        <f t="shared" si="41"/>
        <v>0</v>
      </c>
      <c r="Y71" s="144">
        <f t="shared" si="42"/>
        <v>0</v>
      </c>
      <c r="Z71" s="167">
        <v>15.25356948228883</v>
      </c>
      <c r="AA71" s="167">
        <f t="shared" si="43"/>
        <v>0</v>
      </c>
      <c r="AB71" s="142">
        <f t="shared" si="33"/>
        <v>0</v>
      </c>
      <c r="AC71" s="142"/>
      <c r="AD71" s="142"/>
      <c r="AE71" s="142"/>
      <c r="AF71" s="169">
        <f t="shared" si="29"/>
        <v>0</v>
      </c>
      <c r="AG71" s="142">
        <f t="shared" si="34"/>
        <v>0</v>
      </c>
      <c r="AH71" s="142"/>
      <c r="AI71" s="142"/>
      <c r="AJ71" s="142"/>
      <c r="AK71" s="169">
        <f t="shared" si="44"/>
        <v>0</v>
      </c>
      <c r="AL71" s="142">
        <v>4583.93</v>
      </c>
      <c r="AM71" s="169">
        <f t="shared" si="35"/>
        <v>0</v>
      </c>
      <c r="AN71" s="142">
        <f t="shared" si="36"/>
        <v>0</v>
      </c>
      <c r="AO71" s="142">
        <v>0</v>
      </c>
      <c r="AP71" s="142"/>
      <c r="AQ71" s="142"/>
      <c r="AR71" s="142">
        <v>0</v>
      </c>
      <c r="AS71" s="142">
        <v>0</v>
      </c>
      <c r="AT71" s="145"/>
      <c r="AU71" s="145"/>
      <c r="AV71" s="145"/>
      <c r="AW71" s="145"/>
      <c r="AX71" s="145"/>
      <c r="AY71" s="145">
        <f>VLOOKUP(E71,Table1[[BL NO.]:[Total Value USD]],21,0)</f>
        <v>0</v>
      </c>
      <c r="AZ71" s="145">
        <f t="shared" si="45"/>
        <v>0</v>
      </c>
      <c r="BA71" s="9" t="s">
        <v>67</v>
      </c>
      <c r="BB71" s="7" t="s">
        <v>200</v>
      </c>
      <c r="BC71" s="7" t="s">
        <v>198</v>
      </c>
      <c r="BD71" s="7" t="s">
        <v>49</v>
      </c>
      <c r="BE71" s="10" t="s">
        <v>289</v>
      </c>
      <c r="BF71" s="9" t="s">
        <v>287</v>
      </c>
      <c r="BG71" s="146">
        <v>15.25356948228883</v>
      </c>
      <c r="BH71" s="146">
        <f t="shared" si="37"/>
        <v>0</v>
      </c>
      <c r="BI71" s="147">
        <f>BG71*BN71</f>
        <v>69921.294756948235</v>
      </c>
      <c r="BJ71" s="147">
        <f t="shared" si="30"/>
        <v>2027717.5479514988</v>
      </c>
      <c r="BK71" s="148">
        <v>37916.239999999998</v>
      </c>
      <c r="BL71" s="147">
        <f t="shared" si="31"/>
        <v>1099570.96</v>
      </c>
      <c r="BM71" s="44">
        <v>0</v>
      </c>
      <c r="BN71" s="23">
        <v>4583.93</v>
      </c>
      <c r="BO71" s="10" t="s">
        <v>50</v>
      </c>
      <c r="BP71" s="25" t="s">
        <v>45</v>
      </c>
      <c r="BQ71" s="27" t="s">
        <v>110</v>
      </c>
      <c r="BR71" s="10" t="s">
        <v>176</v>
      </c>
      <c r="BS71" s="27" t="s">
        <v>54</v>
      </c>
      <c r="BT71" s="14"/>
      <c r="BU71" s="14" t="s">
        <v>50</v>
      </c>
      <c r="BV71" s="154" t="s">
        <v>50</v>
      </c>
      <c r="BW71" s="14" t="s">
        <v>207</v>
      </c>
      <c r="BX71" s="150">
        <f>BH71</f>
        <v>0</v>
      </c>
      <c r="BY71" s="154">
        <v>0</v>
      </c>
      <c r="BZ71" s="13">
        <f>BX71-BY71</f>
        <v>0</v>
      </c>
      <c r="CA71" s="29" t="e">
        <f>(BY71/BX71-1)*-1</f>
        <v>#DIV/0!</v>
      </c>
      <c r="CB71" s="23" t="s">
        <v>55</v>
      </c>
      <c r="CC71" s="7" t="s">
        <v>382</v>
      </c>
      <c r="CD71" s="7" t="s">
        <v>50</v>
      </c>
    </row>
    <row r="72" spans="1:82" x14ac:dyDescent="0.25">
      <c r="A72" s="125">
        <v>46197</v>
      </c>
      <c r="B72" s="6" t="str">
        <f>TEXT(A72,"MMM")</f>
        <v>Jun</v>
      </c>
      <c r="C72" s="39">
        <f>YEAR(A72)</f>
        <v>2026</v>
      </c>
      <c r="D72" s="6">
        <v>69</v>
      </c>
      <c r="E72" s="6" t="s">
        <v>284</v>
      </c>
      <c r="F72" s="6" t="s">
        <v>153</v>
      </c>
      <c r="G72" s="7" t="s">
        <v>396</v>
      </c>
      <c r="H72" s="7">
        <v>4000000058</v>
      </c>
      <c r="I72" s="7" t="s">
        <v>71</v>
      </c>
      <c r="J72" s="8">
        <v>92</v>
      </c>
      <c r="K72" s="8">
        <f t="shared" si="40"/>
        <v>2</v>
      </c>
      <c r="L72" s="8">
        <v>92</v>
      </c>
      <c r="M72" s="152" t="s">
        <v>391</v>
      </c>
      <c r="N72" s="142">
        <v>2</v>
      </c>
      <c r="O72" s="142">
        <v>0</v>
      </c>
      <c r="P72" s="142">
        <v>0</v>
      </c>
      <c r="Q72" s="142">
        <v>0</v>
      </c>
      <c r="R72" s="142">
        <v>90</v>
      </c>
      <c r="S72" s="142">
        <v>0</v>
      </c>
      <c r="T72" s="143">
        <v>0</v>
      </c>
      <c r="U72" s="144">
        <f t="shared" si="23"/>
        <v>90</v>
      </c>
      <c r="V72" s="144"/>
      <c r="W72" s="144"/>
      <c r="X72" s="144">
        <f t="shared" si="41"/>
        <v>0</v>
      </c>
      <c r="Y72" s="144">
        <f t="shared" si="42"/>
        <v>2</v>
      </c>
      <c r="Z72" s="167">
        <v>15.25356948228883</v>
      </c>
      <c r="AA72" s="167">
        <f t="shared" si="43"/>
        <v>30.50713896457766</v>
      </c>
      <c r="AB72" s="142">
        <f t="shared" si="33"/>
        <v>2</v>
      </c>
      <c r="AC72" s="142"/>
      <c r="AD72" s="142"/>
      <c r="AE72" s="142"/>
      <c r="AF72" s="169">
        <f t="shared" si="29"/>
        <v>0</v>
      </c>
      <c r="AG72" s="142">
        <f t="shared" si="34"/>
        <v>0</v>
      </c>
      <c r="AH72" s="142"/>
      <c r="AI72" s="142"/>
      <c r="AJ72" s="142"/>
      <c r="AK72" s="169">
        <f t="shared" si="44"/>
        <v>0</v>
      </c>
      <c r="AL72" s="142">
        <v>4583.93</v>
      </c>
      <c r="AM72" s="169">
        <f t="shared" si="35"/>
        <v>0</v>
      </c>
      <c r="AN72" s="142">
        <f t="shared" si="36"/>
        <v>30.50713896457766</v>
      </c>
      <c r="AO72" s="142">
        <v>0</v>
      </c>
      <c r="AP72" s="142"/>
      <c r="AQ72" s="142"/>
      <c r="AR72" s="142">
        <v>0</v>
      </c>
      <c r="AS72" s="142">
        <v>0</v>
      </c>
      <c r="AT72" s="145"/>
      <c r="AU72" s="145"/>
      <c r="AV72" s="145"/>
      <c r="AW72" s="145"/>
      <c r="AX72" s="145"/>
      <c r="AY72" s="145">
        <f>VLOOKUP(E72,Table1[[BL NO.]:[Total Value USD]],21,0)</f>
        <v>30.50713896457766</v>
      </c>
      <c r="AZ72" s="145">
        <f t="shared" si="45"/>
        <v>0</v>
      </c>
      <c r="BA72" s="9" t="s">
        <v>67</v>
      </c>
      <c r="BB72" s="7" t="s">
        <v>200</v>
      </c>
      <c r="BC72" s="7" t="s">
        <v>198</v>
      </c>
      <c r="BD72" s="7" t="s">
        <v>49</v>
      </c>
      <c r="BE72" s="10" t="s">
        <v>290</v>
      </c>
      <c r="BF72" s="9" t="s">
        <v>287</v>
      </c>
      <c r="BG72" s="146">
        <v>15.25356948228883</v>
      </c>
      <c r="BH72" s="146">
        <f t="shared" si="37"/>
        <v>30.50713896457766</v>
      </c>
      <c r="BI72" s="147">
        <f>BG72*BN72</f>
        <v>69921.294756948235</v>
      </c>
      <c r="BJ72" s="147">
        <f t="shared" si="30"/>
        <v>6432759.117639238</v>
      </c>
      <c r="BK72" s="148">
        <v>37916.239999999998</v>
      </c>
      <c r="BL72" s="147">
        <f t="shared" si="31"/>
        <v>3488294.0799999996</v>
      </c>
      <c r="BM72" s="44">
        <v>0</v>
      </c>
      <c r="BN72" s="23">
        <v>4583.93</v>
      </c>
      <c r="BO72" s="10" t="s">
        <v>50</v>
      </c>
      <c r="BP72" s="25" t="s">
        <v>45</v>
      </c>
      <c r="BQ72" s="27" t="s">
        <v>110</v>
      </c>
      <c r="BR72" s="10" t="s">
        <v>176</v>
      </c>
      <c r="BS72" s="27" t="s">
        <v>54</v>
      </c>
      <c r="BT72" s="14"/>
      <c r="BU72" s="14" t="s">
        <v>50</v>
      </c>
      <c r="BV72" s="154" t="s">
        <v>50</v>
      </c>
      <c r="BW72" s="14" t="s">
        <v>207</v>
      </c>
      <c r="BX72" s="150">
        <f>BH72</f>
        <v>30.50713896457766</v>
      </c>
      <c r="BY72" s="154">
        <v>0</v>
      </c>
      <c r="BZ72" s="13">
        <f>BX72-BY72</f>
        <v>30.50713896457766</v>
      </c>
      <c r="CA72" s="29">
        <f>(BY72/BX72-1)*-1</f>
        <v>1</v>
      </c>
      <c r="CB72" s="23" t="s">
        <v>55</v>
      </c>
      <c r="CC72" s="7" t="s">
        <v>382</v>
      </c>
      <c r="CD72" s="7" t="s">
        <v>50</v>
      </c>
    </row>
    <row r="73" spans="1:82" x14ac:dyDescent="0.25">
      <c r="A73" s="125">
        <v>46197</v>
      </c>
      <c r="B73" s="6" t="str">
        <f>TEXT(A73,"MMM")</f>
        <v>Jun</v>
      </c>
      <c r="C73" s="39">
        <f>YEAR(A73)</f>
        <v>2026</v>
      </c>
      <c r="D73" s="6">
        <v>70</v>
      </c>
      <c r="E73" s="117" t="s">
        <v>285</v>
      </c>
      <c r="F73" s="6" t="s">
        <v>153</v>
      </c>
      <c r="G73" s="7" t="s">
        <v>396</v>
      </c>
      <c r="H73" s="7">
        <v>4000000058</v>
      </c>
      <c r="I73" s="7" t="s">
        <v>71</v>
      </c>
      <c r="J73" s="8">
        <v>118</v>
      </c>
      <c r="K73" s="8">
        <f t="shared" si="40"/>
        <v>39</v>
      </c>
      <c r="L73" s="8">
        <f>39+79</f>
        <v>118</v>
      </c>
      <c r="M73" s="162" t="s">
        <v>448</v>
      </c>
      <c r="N73" s="142">
        <v>39</v>
      </c>
      <c r="O73" s="142">
        <v>0</v>
      </c>
      <c r="P73" s="142">
        <v>0</v>
      </c>
      <c r="Q73" s="142">
        <v>0</v>
      </c>
      <c r="R73" s="142">
        <v>79</v>
      </c>
      <c r="S73" s="142">
        <v>0</v>
      </c>
      <c r="T73" s="143">
        <v>0</v>
      </c>
      <c r="U73" s="144">
        <f t="shared" ref="U73:U74" si="46">R73-S73-T73</f>
        <v>79</v>
      </c>
      <c r="V73" s="144"/>
      <c r="W73" s="144"/>
      <c r="X73" s="144">
        <f t="shared" si="41"/>
        <v>0</v>
      </c>
      <c r="Y73" s="144">
        <f t="shared" si="42"/>
        <v>39</v>
      </c>
      <c r="Z73" s="167">
        <v>15.25356948228883</v>
      </c>
      <c r="AA73" s="167">
        <f t="shared" si="43"/>
        <v>594.88920980926434</v>
      </c>
      <c r="AB73" s="142">
        <f t="shared" si="33"/>
        <v>39</v>
      </c>
      <c r="AC73" s="142"/>
      <c r="AD73" s="142"/>
      <c r="AE73" s="142"/>
      <c r="AF73" s="169">
        <f t="shared" si="29"/>
        <v>0</v>
      </c>
      <c r="AG73" s="142">
        <f t="shared" si="34"/>
        <v>0</v>
      </c>
      <c r="AH73" s="142"/>
      <c r="AI73" s="142"/>
      <c r="AJ73" s="142"/>
      <c r="AK73" s="169">
        <f t="shared" si="44"/>
        <v>0</v>
      </c>
      <c r="AL73" s="142">
        <v>4583.93</v>
      </c>
      <c r="AM73" s="169">
        <f t="shared" si="35"/>
        <v>0</v>
      </c>
      <c r="AN73" s="142">
        <f t="shared" si="36"/>
        <v>594.88920980926434</v>
      </c>
      <c r="AO73" s="142">
        <v>0</v>
      </c>
      <c r="AP73" s="142"/>
      <c r="AQ73" s="142"/>
      <c r="AR73" s="142">
        <v>0</v>
      </c>
      <c r="AS73" s="142">
        <v>0</v>
      </c>
      <c r="AT73" s="145"/>
      <c r="AU73" s="145"/>
      <c r="AV73" s="145"/>
      <c r="AW73" s="145"/>
      <c r="AX73" s="145"/>
      <c r="AY73" s="145">
        <f>VLOOKUP(E73,Table1[[BL NO.]:[Total Value USD]],21,0)</f>
        <v>594.88920980926434</v>
      </c>
      <c r="AZ73" s="145">
        <f t="shared" si="45"/>
        <v>0</v>
      </c>
      <c r="BA73" s="9" t="s">
        <v>67</v>
      </c>
      <c r="BB73" s="7" t="s">
        <v>200</v>
      </c>
      <c r="BC73" s="7" t="s">
        <v>198</v>
      </c>
      <c r="BD73" s="7" t="s">
        <v>49</v>
      </c>
      <c r="BE73" s="10" t="s">
        <v>291</v>
      </c>
      <c r="BF73" s="9" t="s">
        <v>287</v>
      </c>
      <c r="BG73" s="146">
        <v>15.25356948228883</v>
      </c>
      <c r="BH73" s="146">
        <f t="shared" si="37"/>
        <v>594.88920980926434</v>
      </c>
      <c r="BI73" s="147">
        <f>BG73*BN73</f>
        <v>69921.294756948235</v>
      </c>
      <c r="BJ73" s="147">
        <f t="shared" si="30"/>
        <v>8250712.781319892</v>
      </c>
      <c r="BK73" s="148">
        <v>37916.239999999998</v>
      </c>
      <c r="BL73" s="147">
        <f t="shared" si="31"/>
        <v>4474116.3199999994</v>
      </c>
      <c r="BM73" s="44">
        <v>0</v>
      </c>
      <c r="BN73" s="23">
        <v>4583.93</v>
      </c>
      <c r="BO73" s="10" t="s">
        <v>50</v>
      </c>
      <c r="BP73" s="25" t="s">
        <v>45</v>
      </c>
      <c r="BQ73" s="27" t="s">
        <v>110</v>
      </c>
      <c r="BR73" s="10" t="s">
        <v>176</v>
      </c>
      <c r="BS73" s="27" t="s">
        <v>54</v>
      </c>
      <c r="BT73" s="14"/>
      <c r="BU73" s="14" t="s">
        <v>50</v>
      </c>
      <c r="BV73" s="154" t="s">
        <v>50</v>
      </c>
      <c r="BW73" s="14" t="s">
        <v>207</v>
      </c>
      <c r="BX73" s="150">
        <f>BH73</f>
        <v>594.88920980926434</v>
      </c>
      <c r="BY73" s="154">
        <v>0</v>
      </c>
      <c r="BZ73" s="13">
        <f>BX73-BY73</f>
        <v>594.88920980926434</v>
      </c>
      <c r="CA73" s="29">
        <f>(BY73/BX73-1)*-1</f>
        <v>1</v>
      </c>
      <c r="CB73" s="23" t="s">
        <v>55</v>
      </c>
      <c r="CC73" s="7"/>
      <c r="CD73" s="7" t="s">
        <v>50</v>
      </c>
    </row>
    <row r="74" spans="1:82" x14ac:dyDescent="0.25">
      <c r="A74" s="125">
        <v>46222</v>
      </c>
      <c r="B74" s="39" t="s">
        <v>397</v>
      </c>
      <c r="C74" s="6">
        <v>2026</v>
      </c>
      <c r="D74" s="6">
        <v>71</v>
      </c>
      <c r="E74" s="117" t="s">
        <v>394</v>
      </c>
      <c r="F74" s="6" t="s">
        <v>153</v>
      </c>
      <c r="G74" s="7" t="s">
        <v>396</v>
      </c>
      <c r="H74" s="7">
        <v>4000000058</v>
      </c>
      <c r="I74" s="8" t="s">
        <v>71</v>
      </c>
      <c r="J74" s="8">
        <v>32</v>
      </c>
      <c r="K74" s="8">
        <f t="shared" si="40"/>
        <v>1</v>
      </c>
      <c r="L74" s="8">
        <v>32</v>
      </c>
      <c r="M74" s="163" t="s">
        <v>448</v>
      </c>
      <c r="N74" s="142">
        <v>1</v>
      </c>
      <c r="O74" s="142">
        <v>0</v>
      </c>
      <c r="P74" s="145">
        <v>0</v>
      </c>
      <c r="Q74" s="145">
        <v>0</v>
      </c>
      <c r="R74" s="142">
        <v>31</v>
      </c>
      <c r="S74" s="142">
        <v>0</v>
      </c>
      <c r="T74" s="143">
        <v>0</v>
      </c>
      <c r="U74" s="144">
        <f t="shared" si="46"/>
        <v>31</v>
      </c>
      <c r="V74" s="144"/>
      <c r="W74" s="144"/>
      <c r="X74" s="144">
        <f t="shared" si="41"/>
        <v>0</v>
      </c>
      <c r="Y74" s="144">
        <f t="shared" si="42"/>
        <v>1</v>
      </c>
      <c r="Z74" s="167">
        <v>15.75</v>
      </c>
      <c r="AA74" s="167">
        <f t="shared" si="43"/>
        <v>15.75</v>
      </c>
      <c r="AB74" s="142">
        <f t="shared" si="33"/>
        <v>1</v>
      </c>
      <c r="AC74" s="142"/>
      <c r="AD74" s="142"/>
      <c r="AE74" s="142"/>
      <c r="AF74" s="169">
        <f t="shared" si="29"/>
        <v>0</v>
      </c>
      <c r="AG74" s="142">
        <f t="shared" si="34"/>
        <v>0</v>
      </c>
      <c r="AH74" s="142"/>
      <c r="AI74" s="142"/>
      <c r="AJ74" s="142"/>
      <c r="AK74" s="169">
        <f t="shared" si="44"/>
        <v>0</v>
      </c>
      <c r="AL74" s="142">
        <v>5624</v>
      </c>
      <c r="AM74" s="169">
        <f t="shared" si="35"/>
        <v>0</v>
      </c>
      <c r="AN74" s="142">
        <f t="shared" si="36"/>
        <v>15.75</v>
      </c>
      <c r="AO74" s="142">
        <v>0</v>
      </c>
      <c r="AP74" s="142"/>
      <c r="AQ74" s="142"/>
      <c r="AR74" s="142">
        <v>0</v>
      </c>
      <c r="AS74" s="145">
        <v>0</v>
      </c>
      <c r="AT74" s="145"/>
      <c r="AU74" s="145"/>
      <c r="AV74" s="145"/>
      <c r="AW74" s="145"/>
      <c r="AX74" s="9"/>
      <c r="AY74" s="145">
        <f>VLOOKUP(E74,Table1[[BL NO.]:[Total Value USD]],21,0)</f>
        <v>15.75</v>
      </c>
      <c r="AZ74" s="145">
        <f t="shared" si="45"/>
        <v>0</v>
      </c>
      <c r="BA74" s="7" t="s">
        <v>67</v>
      </c>
      <c r="BB74" s="7"/>
      <c r="BC74" s="7"/>
      <c r="BD74" s="10"/>
      <c r="BE74" s="146" t="s">
        <v>428</v>
      </c>
      <c r="BF74" s="9" t="s">
        <v>83</v>
      </c>
      <c r="BG74" s="146"/>
      <c r="BH74" s="146">
        <f t="shared" si="37"/>
        <v>0</v>
      </c>
      <c r="BI74" s="147"/>
      <c r="BJ74" s="148"/>
      <c r="BK74" s="147"/>
      <c r="BL74" s="44"/>
      <c r="BM74" s="23"/>
      <c r="BN74" s="10"/>
      <c r="BO74" s="25"/>
      <c r="BP74" s="27"/>
      <c r="BQ74" s="10"/>
      <c r="BR74" s="27"/>
      <c r="BS74" s="14"/>
      <c r="BT74" s="14"/>
      <c r="BU74" s="154"/>
      <c r="BV74" s="14"/>
      <c r="BW74" s="148"/>
      <c r="BX74" s="154"/>
      <c r="BY74" s="13"/>
      <c r="BZ74" s="29"/>
      <c r="CA74" s="23"/>
      <c r="CB74" s="7"/>
      <c r="CC74" s="7"/>
      <c r="CD74" s="7" t="s">
        <v>50</v>
      </c>
    </row>
    <row r="75" spans="1:82" x14ac:dyDescent="0.25">
      <c r="A75" s="125">
        <v>46222</v>
      </c>
      <c r="B75" s="39" t="s">
        <v>397</v>
      </c>
      <c r="C75" s="6">
        <v>2026</v>
      </c>
      <c r="D75" s="6">
        <v>72</v>
      </c>
      <c r="E75" s="117" t="s">
        <v>395</v>
      </c>
      <c r="F75" s="6" t="s">
        <v>153</v>
      </c>
      <c r="G75" s="7" t="s">
        <v>396</v>
      </c>
      <c r="H75" s="7">
        <v>4000000058</v>
      </c>
      <c r="I75" s="8" t="s">
        <v>71</v>
      </c>
      <c r="J75" s="8">
        <v>25</v>
      </c>
      <c r="K75" s="8">
        <f t="shared" ref="K75:K78" si="47">N75+O75+P75+S75+T75+V75+W75</f>
        <v>0</v>
      </c>
      <c r="L75" s="8">
        <v>25</v>
      </c>
      <c r="M75" s="163" t="s">
        <v>448</v>
      </c>
      <c r="N75" s="142">
        <v>0</v>
      </c>
      <c r="O75" s="142">
        <v>0</v>
      </c>
      <c r="P75" s="145">
        <v>0</v>
      </c>
      <c r="Q75" s="145">
        <v>0</v>
      </c>
      <c r="R75" s="142">
        <v>25</v>
      </c>
      <c r="S75" s="142">
        <v>0</v>
      </c>
      <c r="T75" s="143">
        <v>0</v>
      </c>
      <c r="U75" s="144">
        <f t="shared" ref="U75:U76" si="48">R75-S75-T75</f>
        <v>25</v>
      </c>
      <c r="V75" s="144"/>
      <c r="W75" s="144"/>
      <c r="X75" s="144">
        <f t="shared" ref="X75" si="49">Q75-V75-W75</f>
        <v>0</v>
      </c>
      <c r="Y75" s="144">
        <f t="shared" si="42"/>
        <v>0</v>
      </c>
      <c r="Z75" s="167">
        <v>15.75</v>
      </c>
      <c r="AA75" s="167">
        <f t="shared" si="43"/>
        <v>0</v>
      </c>
      <c r="AB75" s="142">
        <f t="shared" ref="AB75:AB78" si="50">N75+W75</f>
        <v>0</v>
      </c>
      <c r="AC75" s="142"/>
      <c r="AD75" s="142"/>
      <c r="AE75" s="142"/>
      <c r="AF75" s="169">
        <f t="shared" ref="AF75" si="51">AD75/AL75</f>
        <v>0</v>
      </c>
      <c r="AG75" s="142">
        <f t="shared" ref="AG75" si="52">T75</f>
        <v>0</v>
      </c>
      <c r="AH75" s="142"/>
      <c r="AI75" s="142"/>
      <c r="AJ75" s="142"/>
      <c r="AK75" s="169">
        <f t="shared" ref="AK75:AK78" si="53">AI75/AL75</f>
        <v>0</v>
      </c>
      <c r="AL75" s="142">
        <v>5624</v>
      </c>
      <c r="AM75" s="169">
        <f t="shared" ref="AM75:AM78" si="54">AF75+AK75</f>
        <v>0</v>
      </c>
      <c r="AN75" s="142">
        <f t="shared" ref="AN75:AN78" si="55">AA75-AM75</f>
        <v>0</v>
      </c>
      <c r="AO75" s="142">
        <v>0</v>
      </c>
      <c r="AP75" s="142"/>
      <c r="AQ75" s="142"/>
      <c r="AR75" s="142">
        <v>0</v>
      </c>
      <c r="AS75" s="145">
        <v>0</v>
      </c>
      <c r="AT75" s="145"/>
      <c r="AU75" s="145"/>
      <c r="AV75" s="145"/>
      <c r="AW75" s="145"/>
      <c r="AX75" s="9"/>
      <c r="AY75" s="145">
        <f>VLOOKUP(E75,Table1[[BL NO.]:[Total Value USD]],21,0)</f>
        <v>0</v>
      </c>
      <c r="AZ75" s="145">
        <f t="shared" ref="AZ75:AZ78" si="56">AN75-AY75</f>
        <v>0</v>
      </c>
      <c r="BA75" s="7" t="s">
        <v>67</v>
      </c>
      <c r="BB75" s="7"/>
      <c r="BC75" s="7"/>
      <c r="BD75" s="10"/>
      <c r="BE75" s="146" t="s">
        <v>426</v>
      </c>
      <c r="BF75" s="9" t="s">
        <v>83</v>
      </c>
      <c r="BG75" s="146" t="e">
        <f>BF75*K75</f>
        <v>#VALUE!</v>
      </c>
      <c r="BH75" s="146" t="e">
        <f t="shared" ref="BH75" si="57">BG75*K75</f>
        <v>#VALUE!</v>
      </c>
      <c r="BI75" s="147" t="e">
        <f>BH75*K75</f>
        <v>#VALUE!</v>
      </c>
      <c r="BJ75" s="148">
        <v>37916.239999999998</v>
      </c>
      <c r="BK75" s="147">
        <f>BJ75*K75</f>
        <v>0</v>
      </c>
      <c r="BL75" s="44">
        <v>0</v>
      </c>
      <c r="BM75" s="23">
        <v>4583.93</v>
      </c>
      <c r="BN75" s="10" t="s">
        <v>50</v>
      </c>
      <c r="BO75" s="25" t="s">
        <v>45</v>
      </c>
      <c r="BP75" s="27" t="s">
        <v>110</v>
      </c>
      <c r="BQ75" s="10" t="s">
        <v>176</v>
      </c>
      <c r="BR75" s="27" t="s">
        <v>54</v>
      </c>
      <c r="BS75" s="14"/>
      <c r="BT75" s="14" t="s">
        <v>50</v>
      </c>
      <c r="BU75" s="154" t="s">
        <v>50</v>
      </c>
      <c r="BV75" s="14" t="s">
        <v>207</v>
      </c>
      <c r="BW75" s="148"/>
      <c r="BX75" s="154">
        <v>0</v>
      </c>
      <c r="BY75" s="13" t="e">
        <f>#REF!-BX75</f>
        <v>#REF!</v>
      </c>
      <c r="BZ75" s="29" t="e">
        <f>(BX75/#REF!-1)*-1</f>
        <v>#REF!</v>
      </c>
      <c r="CA75" s="23" t="s">
        <v>55</v>
      </c>
      <c r="CB75" s="7"/>
      <c r="CC75" s="7"/>
      <c r="CD75" s="7" t="s">
        <v>50</v>
      </c>
    </row>
    <row r="76" spans="1:82" x14ac:dyDescent="0.25">
      <c r="A76" s="125">
        <v>46225</v>
      </c>
      <c r="B76" s="6" t="s">
        <v>397</v>
      </c>
      <c r="C76" s="6">
        <v>2026</v>
      </c>
      <c r="D76" s="39">
        <v>73</v>
      </c>
      <c r="E76" s="6" t="s">
        <v>470</v>
      </c>
      <c r="F76" s="6" t="s">
        <v>136</v>
      </c>
      <c r="G76" s="7" t="s">
        <v>137</v>
      </c>
      <c r="H76" s="7">
        <v>4000000058</v>
      </c>
      <c r="I76" s="8" t="s">
        <v>71</v>
      </c>
      <c r="J76" s="8">
        <f>56+23</f>
        <v>79</v>
      </c>
      <c r="K76" s="8">
        <f t="shared" si="47"/>
        <v>0</v>
      </c>
      <c r="M76" s="152" t="s">
        <v>478</v>
      </c>
      <c r="N76" s="142">
        <v>0</v>
      </c>
      <c r="O76" s="142">
        <v>0</v>
      </c>
      <c r="P76" s="142">
        <v>0</v>
      </c>
      <c r="Q76" s="142">
        <v>56</v>
      </c>
      <c r="R76" s="142">
        <v>50</v>
      </c>
      <c r="S76" s="142">
        <v>0</v>
      </c>
      <c r="T76" s="143">
        <v>0</v>
      </c>
      <c r="U76" s="144">
        <f t="shared" si="48"/>
        <v>50</v>
      </c>
      <c r="V76" s="144"/>
      <c r="W76" s="144"/>
      <c r="X76" s="144">
        <f t="shared" ref="X76:X78" si="58">Q76-V76-W76</f>
        <v>56</v>
      </c>
      <c r="Y76" s="144">
        <f t="shared" si="42"/>
        <v>0</v>
      </c>
      <c r="Z76" s="167">
        <v>15.260108991825614</v>
      </c>
      <c r="AA76" s="167">
        <f t="shared" si="43"/>
        <v>0</v>
      </c>
      <c r="AB76" s="142">
        <f t="shared" ref="AB76:AB77" si="59">N76+W76</f>
        <v>0</v>
      </c>
      <c r="AC76" s="142"/>
      <c r="AD76" s="142"/>
      <c r="AE76" s="142"/>
      <c r="AF76" s="169">
        <f t="shared" ref="AF76:AF78" si="60">AD76/AL76</f>
        <v>0</v>
      </c>
      <c r="AG76" s="142">
        <f t="shared" ref="AG76:AG78" si="61">T76</f>
        <v>0</v>
      </c>
      <c r="AH76" s="142"/>
      <c r="AI76" s="142"/>
      <c r="AJ76" s="142"/>
      <c r="AK76" s="169">
        <f t="shared" si="53"/>
        <v>0</v>
      </c>
      <c r="AL76" s="142">
        <v>5624</v>
      </c>
      <c r="AM76" s="169">
        <f t="shared" si="54"/>
        <v>0</v>
      </c>
      <c r="AN76" s="142">
        <f t="shared" si="55"/>
        <v>0</v>
      </c>
      <c r="AO76" s="142"/>
      <c r="AP76" s="142"/>
      <c r="AQ76" s="142"/>
      <c r="AR76" s="142"/>
      <c r="AS76" s="145"/>
      <c r="AT76" s="145"/>
      <c r="AU76" s="145"/>
      <c r="AV76" s="145"/>
      <c r="AW76" s="145"/>
      <c r="AX76" s="9"/>
      <c r="AY76" s="145">
        <f>VLOOKUP(E76,Table1[[BL NO.]:[Total Value USD]],21,0)</f>
        <v>0</v>
      </c>
      <c r="AZ76" s="145">
        <f t="shared" si="56"/>
        <v>0</v>
      </c>
      <c r="BA76" s="7" t="s">
        <v>67</v>
      </c>
      <c r="BB76" s="7"/>
      <c r="BC76" s="7"/>
      <c r="BD76" s="10"/>
      <c r="BE76" s="146"/>
      <c r="BF76" s="9"/>
      <c r="BG76" s="146"/>
      <c r="BH76" s="146"/>
      <c r="BI76" s="147"/>
      <c r="BJ76" s="148"/>
      <c r="BK76" s="147"/>
      <c r="BL76" s="44"/>
      <c r="BM76" s="23"/>
      <c r="BN76" s="10"/>
      <c r="BO76" s="25"/>
      <c r="BP76" s="27"/>
      <c r="BQ76" s="10"/>
      <c r="BR76" s="27"/>
      <c r="BS76" s="14"/>
      <c r="BT76" s="14"/>
      <c r="BU76" s="154"/>
      <c r="BV76" s="14"/>
      <c r="BW76" s="148"/>
      <c r="BX76" s="154"/>
      <c r="BY76" s="13"/>
      <c r="BZ76" s="29"/>
      <c r="CA76" s="23"/>
      <c r="CB76" s="7"/>
      <c r="CC76" s="7" t="s">
        <v>479</v>
      </c>
      <c r="CD76" s="7" t="s">
        <v>50</v>
      </c>
    </row>
    <row r="77" spans="1:82" x14ac:dyDescent="0.25">
      <c r="A77" s="125">
        <v>46244</v>
      </c>
      <c r="B77" s="6" t="s">
        <v>476</v>
      </c>
      <c r="C77" s="6">
        <v>2026</v>
      </c>
      <c r="D77" s="39">
        <v>74</v>
      </c>
      <c r="E77" s="195" t="s">
        <v>472</v>
      </c>
      <c r="F77" s="6" t="s">
        <v>153</v>
      </c>
      <c r="G77" s="7" t="s">
        <v>396</v>
      </c>
      <c r="H77" s="7">
        <v>4000000058</v>
      </c>
      <c r="I77" s="8" t="s">
        <v>71</v>
      </c>
      <c r="J77" s="8">
        <v>18</v>
      </c>
      <c r="K77" s="8">
        <f t="shared" si="47"/>
        <v>0</v>
      </c>
      <c r="L77" s="194"/>
      <c r="M77" s="163" t="s">
        <v>448</v>
      </c>
      <c r="N77" s="145">
        <v>0</v>
      </c>
      <c r="O77" s="145">
        <v>0</v>
      </c>
      <c r="P77" s="145">
        <v>0</v>
      </c>
      <c r="Q77" s="145">
        <v>0</v>
      </c>
      <c r="R77" s="142">
        <v>18</v>
      </c>
      <c r="S77" s="142">
        <v>0</v>
      </c>
      <c r="T77" s="143">
        <v>0</v>
      </c>
      <c r="U77" s="144">
        <f t="shared" ref="U77:U78" si="62">R77-S77-T77</f>
        <v>18</v>
      </c>
      <c r="V77" s="144"/>
      <c r="W77" s="144"/>
      <c r="X77" s="144">
        <f t="shared" si="58"/>
        <v>0</v>
      </c>
      <c r="Y77" s="144">
        <f t="shared" si="42"/>
        <v>0</v>
      </c>
      <c r="Z77" s="167">
        <v>16.020871934604905</v>
      </c>
      <c r="AA77" s="167">
        <f t="shared" si="43"/>
        <v>0</v>
      </c>
      <c r="AB77" s="142">
        <f t="shared" si="59"/>
        <v>0</v>
      </c>
      <c r="AC77" s="142"/>
      <c r="AD77" s="142"/>
      <c r="AE77" s="142"/>
      <c r="AF77" s="169">
        <f t="shared" si="60"/>
        <v>0</v>
      </c>
      <c r="AG77" s="142">
        <f t="shared" si="61"/>
        <v>0</v>
      </c>
      <c r="AH77" s="142"/>
      <c r="AI77" s="142"/>
      <c r="AJ77" s="142"/>
      <c r="AK77" s="169">
        <f t="shared" si="53"/>
        <v>0</v>
      </c>
      <c r="AL77" s="142">
        <v>5904</v>
      </c>
      <c r="AM77" s="169">
        <f t="shared" si="54"/>
        <v>0</v>
      </c>
      <c r="AN77" s="142">
        <f t="shared" si="55"/>
        <v>0</v>
      </c>
      <c r="AO77" s="142"/>
      <c r="AP77" s="142"/>
      <c r="AQ77" s="142"/>
      <c r="AR77" s="142"/>
      <c r="AS77" s="145"/>
      <c r="AT77" s="145"/>
      <c r="AU77" s="145"/>
      <c r="AV77" s="145"/>
      <c r="AW77" s="145"/>
      <c r="AX77" s="9"/>
      <c r="AY77" s="145">
        <f>VLOOKUP(E77,Table1[[BL NO.]:[Total Value USD]],21,0)</f>
        <v>0</v>
      </c>
      <c r="AZ77" s="145">
        <f t="shared" si="56"/>
        <v>0</v>
      </c>
      <c r="BA77" s="7" t="s">
        <v>67</v>
      </c>
      <c r="BB77" s="7"/>
      <c r="BC77" s="7"/>
      <c r="BD77" s="10"/>
      <c r="BE77" s="146"/>
      <c r="BF77" s="9"/>
      <c r="BG77" s="146"/>
      <c r="BH77" s="146"/>
      <c r="BI77" s="147"/>
      <c r="BJ77" s="148"/>
      <c r="BK77" s="147"/>
      <c r="BL77" s="44"/>
      <c r="BM77" s="23"/>
      <c r="BN77" s="10"/>
      <c r="BO77" s="25"/>
      <c r="BP77" s="27"/>
      <c r="BQ77" s="10"/>
      <c r="BR77" s="27"/>
      <c r="BS77" s="14"/>
      <c r="BT77" s="14"/>
      <c r="BU77" s="154"/>
      <c r="BV77" s="14"/>
      <c r="BW77" s="148"/>
      <c r="BX77" s="154"/>
      <c r="BY77" s="13"/>
      <c r="BZ77" s="29"/>
      <c r="CA77" s="23"/>
      <c r="CB77" s="7"/>
      <c r="CC77" s="7"/>
      <c r="CD77" s="7" t="s">
        <v>50</v>
      </c>
    </row>
    <row r="78" spans="1:82" x14ac:dyDescent="0.25">
      <c r="A78" s="125">
        <v>46244</v>
      </c>
      <c r="B78" s="6" t="s">
        <v>476</v>
      </c>
      <c r="C78" s="6">
        <v>2026</v>
      </c>
      <c r="D78" s="39">
        <v>75</v>
      </c>
      <c r="E78" s="195" t="s">
        <v>473</v>
      </c>
      <c r="F78" s="6" t="s">
        <v>153</v>
      </c>
      <c r="G78" s="7" t="s">
        <v>396</v>
      </c>
      <c r="H78" s="7">
        <v>4000000058</v>
      </c>
      <c r="I78" s="8" t="s">
        <v>71</v>
      </c>
      <c r="J78" s="8">
        <v>28</v>
      </c>
      <c r="K78" s="8">
        <f t="shared" si="47"/>
        <v>0</v>
      </c>
      <c r="M78" s="163" t="s">
        <v>448</v>
      </c>
      <c r="N78" s="142">
        <v>0</v>
      </c>
      <c r="O78" s="142">
        <v>0</v>
      </c>
      <c r="P78" s="142">
        <v>0</v>
      </c>
      <c r="Q78" s="145">
        <v>0</v>
      </c>
      <c r="R78" s="142">
        <v>28</v>
      </c>
      <c r="S78" s="142">
        <v>0</v>
      </c>
      <c r="T78" s="143">
        <v>0</v>
      </c>
      <c r="U78" s="144">
        <f t="shared" si="62"/>
        <v>28</v>
      </c>
      <c r="V78" s="144"/>
      <c r="W78" s="144"/>
      <c r="X78" s="144">
        <f t="shared" si="58"/>
        <v>0</v>
      </c>
      <c r="Y78" s="144">
        <f t="shared" si="42"/>
        <v>0</v>
      </c>
      <c r="Z78" s="167">
        <v>16.020871934604905</v>
      </c>
      <c r="AA78" s="167">
        <f t="shared" si="43"/>
        <v>0</v>
      </c>
      <c r="AB78" s="142">
        <f t="shared" si="50"/>
        <v>0</v>
      </c>
      <c r="AC78" s="142"/>
      <c r="AD78" s="142"/>
      <c r="AE78" s="142"/>
      <c r="AF78" s="169">
        <f t="shared" si="60"/>
        <v>0</v>
      </c>
      <c r="AG78" s="142">
        <f t="shared" si="61"/>
        <v>0</v>
      </c>
      <c r="AH78" s="142"/>
      <c r="AI78" s="142"/>
      <c r="AJ78" s="142"/>
      <c r="AK78" s="169">
        <f t="shared" si="53"/>
        <v>0</v>
      </c>
      <c r="AL78" s="142">
        <v>5904</v>
      </c>
      <c r="AM78" s="169">
        <f t="shared" si="54"/>
        <v>0</v>
      </c>
      <c r="AN78" s="142">
        <f t="shared" si="55"/>
        <v>0</v>
      </c>
      <c r="AO78" s="142"/>
      <c r="AP78" s="142"/>
      <c r="AQ78" s="142"/>
      <c r="AR78" s="142"/>
      <c r="AS78" s="145"/>
      <c r="AT78" s="145"/>
      <c r="AU78" s="145"/>
      <c r="AV78" s="145"/>
      <c r="AW78" s="145"/>
      <c r="AX78" s="9"/>
      <c r="AY78" s="145">
        <f>VLOOKUP(E78,Table1[[BL NO.]:[Total Value USD]],21,0)</f>
        <v>0</v>
      </c>
      <c r="AZ78" s="145">
        <f t="shared" si="56"/>
        <v>0</v>
      </c>
      <c r="BA78" s="7" t="s">
        <v>67</v>
      </c>
      <c r="BB78" s="7"/>
      <c r="BC78" s="7"/>
      <c r="BD78" s="10"/>
      <c r="BE78" s="146"/>
      <c r="BF78" s="9"/>
      <c r="BG78" s="146"/>
      <c r="BH78" s="146"/>
      <c r="BI78" s="147"/>
      <c r="BJ78" s="148"/>
      <c r="BK78" s="147"/>
      <c r="BL78" s="44"/>
      <c r="BM78" s="23"/>
      <c r="BN78" s="10"/>
      <c r="BO78" s="25"/>
      <c r="BP78" s="27"/>
      <c r="BQ78" s="10"/>
      <c r="BR78" s="27"/>
      <c r="BS78" s="14"/>
      <c r="BT78" s="14"/>
      <c r="BU78" s="154"/>
      <c r="BV78" s="14"/>
      <c r="BW78" s="148"/>
      <c r="BX78" s="154"/>
      <c r="BY78" s="13"/>
      <c r="BZ78" s="29"/>
      <c r="CA78" s="23"/>
      <c r="CB78" s="7"/>
      <c r="CC78" s="7"/>
      <c r="CD78" s="7" t="s">
        <v>50</v>
      </c>
    </row>
  </sheetData>
  <autoFilter ref="A2:CD78" xr:uid="{074994A2-16A8-4E6A-A3D7-E0C06423958E}"/>
  <mergeCells count="5">
    <mergeCell ref="AB1:AM1"/>
    <mergeCell ref="AN1:AZ1"/>
    <mergeCell ref="Y1:AA1"/>
    <mergeCell ref="S1:U1"/>
    <mergeCell ref="V1:X1"/>
  </mergeCells>
  <conditionalFormatting sqref="K3:K78">
    <cfRule type="expression" dxfId="0" priority="3">
      <formula>$CD3="Pending"</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F843-E996-42DF-BA5F-70FCDE8844B6}">
  <dimension ref="A1:H37"/>
  <sheetViews>
    <sheetView showGridLines="0" zoomScale="90" zoomScaleNormal="90" workbookViewId="0">
      <selection activeCell="E78" sqref="E78"/>
    </sheetView>
  </sheetViews>
  <sheetFormatPr defaultRowHeight="15" x14ac:dyDescent="0.25"/>
  <cols>
    <col min="1" max="1" width="11.28515625" bestFit="1" customWidth="1"/>
    <col min="2" max="2" width="22" bestFit="1" customWidth="1"/>
    <col min="3" max="3" width="16.140625" style="45" bestFit="1" customWidth="1"/>
    <col min="4" max="4" width="23.7109375" style="45" bestFit="1" customWidth="1"/>
    <col min="5" max="5" width="15.28515625" style="42" bestFit="1" customWidth="1"/>
    <col min="6" max="6" width="16.140625" style="42" customWidth="1"/>
    <col min="7" max="7" width="29.28515625" bestFit="1" customWidth="1"/>
    <col min="8" max="8" width="24.140625" bestFit="1" customWidth="1"/>
    <col min="9" max="9" width="13.85546875" bestFit="1" customWidth="1"/>
    <col min="10" max="10" width="29.28515625" bestFit="1" customWidth="1"/>
    <col min="11" max="11" width="12" bestFit="1" customWidth="1"/>
    <col min="12" max="12" width="15.85546875" bestFit="1" customWidth="1"/>
    <col min="13" max="13" width="26.28515625" bestFit="1" customWidth="1"/>
    <col min="14" max="14" width="26.42578125" bestFit="1" customWidth="1"/>
    <col min="15" max="15" width="34.28515625" bestFit="1" customWidth="1"/>
  </cols>
  <sheetData>
    <row r="1" spans="1:8" ht="19.5" thickBot="1" x14ac:dyDescent="0.35">
      <c r="A1" s="212" t="s">
        <v>189</v>
      </c>
      <c r="B1" s="212"/>
      <c r="C1" s="212"/>
      <c r="D1" s="212"/>
      <c r="E1" s="212"/>
      <c r="F1" s="54"/>
      <c r="G1" s="56"/>
    </row>
    <row r="2" spans="1:8" ht="15.75" thickBot="1" x14ac:dyDescent="0.3">
      <c r="A2" t="s">
        <v>190</v>
      </c>
      <c r="G2" s="100" t="s">
        <v>191</v>
      </c>
      <c r="H2" s="49">
        <f>GETPIVOTDATA("[Measures].[Distinct Count of Case Number]",$A$8)</f>
        <v>75</v>
      </c>
    </row>
    <row r="3" spans="1:8" ht="15.75" thickBot="1" x14ac:dyDescent="0.3">
      <c r="G3" s="100" t="s">
        <v>192</v>
      </c>
      <c r="H3" s="58">
        <f>GETPIVOTDATA("[Measures].[Sum of Claim Value USD]",$A$8)</f>
        <v>48609.364599343433</v>
      </c>
    </row>
    <row r="4" spans="1:8" ht="15.75" thickBot="1" x14ac:dyDescent="0.3">
      <c r="G4" s="100" t="s">
        <v>193</v>
      </c>
      <c r="H4" s="59">
        <f>GETPIVOTDATA("[Measures].[Sum of Compensation Value USD]",$A$8)</f>
        <v>8236.64</v>
      </c>
    </row>
    <row r="5" spans="1:8" ht="15.75" thickBot="1" x14ac:dyDescent="0.3">
      <c r="G5" s="100" t="s">
        <v>194</v>
      </c>
      <c r="H5" s="55">
        <f>GETPIVOTDATA("[Measures].[measure 1]",$A$8)</f>
        <v>0.16944553930892672</v>
      </c>
    </row>
    <row r="6" spans="1:8" x14ac:dyDescent="0.25">
      <c r="H6" s="57"/>
    </row>
    <row r="7" spans="1:8" x14ac:dyDescent="0.25">
      <c r="H7" s="57"/>
    </row>
    <row r="8" spans="1:8" x14ac:dyDescent="0.25">
      <c r="A8" s="101" t="s">
        <v>2</v>
      </c>
      <c r="B8" s="101" t="s">
        <v>201</v>
      </c>
      <c r="C8" s="101" t="s">
        <v>202</v>
      </c>
      <c r="D8" s="101" t="s">
        <v>33</v>
      </c>
      <c r="E8" s="101" t="s">
        <v>203</v>
      </c>
      <c r="H8" s="57"/>
    </row>
    <row r="9" spans="1:8" x14ac:dyDescent="0.25">
      <c r="A9" s="102">
        <v>2024</v>
      </c>
      <c r="B9" s="102">
        <v>5</v>
      </c>
      <c r="C9" s="103">
        <v>3263.479042553191</v>
      </c>
      <c r="D9" s="103">
        <v>1682.28</v>
      </c>
      <c r="E9" s="104">
        <v>0.51548668707976875</v>
      </c>
      <c r="H9" s="57"/>
    </row>
    <row r="10" spans="1:8" x14ac:dyDescent="0.25">
      <c r="A10" s="102">
        <v>2025</v>
      </c>
      <c r="B10" s="102">
        <v>38</v>
      </c>
      <c r="C10" s="103">
        <v>26749.059484923237</v>
      </c>
      <c r="D10" s="103">
        <v>6554.36</v>
      </c>
      <c r="E10" s="104">
        <v>0.24503141890630886</v>
      </c>
      <c r="H10" s="57"/>
    </row>
    <row r="11" spans="1:8" x14ac:dyDescent="0.25">
      <c r="A11" s="102">
        <v>2026</v>
      </c>
      <c r="B11" s="102">
        <v>32</v>
      </c>
      <c r="C11" s="103">
        <v>18596.826071867003</v>
      </c>
      <c r="D11" s="103">
        <v>0</v>
      </c>
      <c r="E11" s="104">
        <v>0</v>
      </c>
      <c r="H11" s="57"/>
    </row>
    <row r="12" spans="1:8" x14ac:dyDescent="0.25">
      <c r="A12" s="105" t="s">
        <v>157</v>
      </c>
      <c r="B12" s="105">
        <v>75</v>
      </c>
      <c r="C12" s="106">
        <v>48609.364599343433</v>
      </c>
      <c r="D12" s="106">
        <v>8236.64</v>
      </c>
      <c r="E12" s="107">
        <v>0.16944553930892672</v>
      </c>
      <c r="H12" s="57"/>
    </row>
    <row r="13" spans="1:8" x14ac:dyDescent="0.25">
      <c r="C13"/>
      <c r="D13"/>
      <c r="E13"/>
      <c r="H13" s="57"/>
    </row>
    <row r="14" spans="1:8" x14ac:dyDescent="0.25">
      <c r="C14"/>
      <c r="D14"/>
      <c r="E14"/>
      <c r="H14" s="57"/>
    </row>
    <row r="15" spans="1:8" x14ac:dyDescent="0.25">
      <c r="C15"/>
      <c r="D15"/>
      <c r="E15"/>
      <c r="H15" s="57"/>
    </row>
    <row r="16" spans="1:8" x14ac:dyDescent="0.25">
      <c r="C16"/>
      <c r="D16"/>
      <c r="E16"/>
      <c r="H16" s="57"/>
    </row>
    <row r="17" spans="3:8" x14ac:dyDescent="0.25">
      <c r="C17"/>
      <c r="D17"/>
      <c r="E17"/>
      <c r="H17" s="57"/>
    </row>
    <row r="18" spans="3:8" x14ac:dyDescent="0.25">
      <c r="H18" s="57"/>
    </row>
    <row r="19" spans="3:8" x14ac:dyDescent="0.25">
      <c r="H19" s="57"/>
    </row>
    <row r="20" spans="3:8" x14ac:dyDescent="0.25">
      <c r="H20" s="57"/>
    </row>
    <row r="21" spans="3:8" x14ac:dyDescent="0.25">
      <c r="H21" s="57"/>
    </row>
    <row r="22" spans="3:8" x14ac:dyDescent="0.25">
      <c r="H22" s="57"/>
    </row>
    <row r="23" spans="3:8" x14ac:dyDescent="0.25">
      <c r="H23" s="57"/>
    </row>
    <row r="24" spans="3:8" x14ac:dyDescent="0.25">
      <c r="G24" s="45"/>
      <c r="H24" s="45"/>
    </row>
    <row r="25" spans="3:8" x14ac:dyDescent="0.25">
      <c r="C25"/>
      <c r="D25"/>
      <c r="E25"/>
      <c r="F25"/>
    </row>
    <row r="26" spans="3:8" x14ac:dyDescent="0.25">
      <c r="C26"/>
      <c r="D26"/>
      <c r="E26"/>
      <c r="F26"/>
    </row>
    <row r="27" spans="3:8" x14ac:dyDescent="0.25">
      <c r="C27"/>
      <c r="D27"/>
      <c r="E27"/>
      <c r="F27" s="43"/>
    </row>
    <row r="28" spans="3:8" x14ac:dyDescent="0.25">
      <c r="C28"/>
      <c r="D28"/>
      <c r="E28"/>
      <c r="F28" s="43"/>
    </row>
    <row r="29" spans="3:8" x14ac:dyDescent="0.25">
      <c r="C29"/>
      <c r="D29"/>
      <c r="E29"/>
      <c r="F29" s="43"/>
    </row>
    <row r="30" spans="3:8" x14ac:dyDescent="0.25">
      <c r="C30"/>
      <c r="D30"/>
      <c r="E30"/>
      <c r="F30" s="43"/>
    </row>
    <row r="31" spans="3:8" x14ac:dyDescent="0.25">
      <c r="C31"/>
      <c r="D31"/>
      <c r="E31"/>
      <c r="F31" s="43"/>
    </row>
    <row r="32" spans="3:8" x14ac:dyDescent="0.25">
      <c r="C32"/>
      <c r="D32"/>
      <c r="E32"/>
      <c r="F32" s="43"/>
    </row>
    <row r="33" spans="1:6" x14ac:dyDescent="0.25">
      <c r="C33"/>
      <c r="D33"/>
      <c r="E33"/>
      <c r="F33" s="43"/>
    </row>
    <row r="34" spans="1:6" x14ac:dyDescent="0.25">
      <c r="C34"/>
      <c r="D34"/>
      <c r="E34"/>
      <c r="F34" s="43"/>
    </row>
    <row r="35" spans="1:6" x14ac:dyDescent="0.25">
      <c r="C35"/>
      <c r="D35"/>
      <c r="E35"/>
      <c r="F35" s="43"/>
    </row>
    <row r="36" spans="1:6" x14ac:dyDescent="0.25">
      <c r="C36" s="46"/>
      <c r="D36" s="46"/>
      <c r="E36" s="43"/>
      <c r="F36" s="43"/>
    </row>
    <row r="37" spans="1:6" x14ac:dyDescent="0.25">
      <c r="A37" s="56" t="s">
        <v>195</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4380-0C00-4B12-A14E-D29A47BD8DED}">
  <dimension ref="C36:AK103"/>
  <sheetViews>
    <sheetView showGridLines="0" zoomScale="40" zoomScaleNormal="40" workbookViewId="0">
      <selection activeCell="AV69" sqref="AV69"/>
    </sheetView>
  </sheetViews>
  <sheetFormatPr defaultRowHeight="15" x14ac:dyDescent="0.25"/>
  <cols>
    <col min="1" max="1" width="18.140625" bestFit="1" customWidth="1"/>
    <col min="2" max="2" width="27.7109375" bestFit="1" customWidth="1"/>
    <col min="3" max="3" width="25.140625" bestFit="1" customWidth="1"/>
    <col min="4" max="4" width="48.7109375" bestFit="1" customWidth="1"/>
    <col min="5" max="5" width="35.140625" bestFit="1" customWidth="1"/>
    <col min="6" max="6" width="51.7109375" bestFit="1" customWidth="1"/>
    <col min="7" max="7" width="33.28515625" bestFit="1" customWidth="1"/>
    <col min="28" max="45" width="0" hidden="1" customWidth="1"/>
  </cols>
  <sheetData>
    <row r="36" spans="30:30" x14ac:dyDescent="0.25">
      <c r="AD36" s="56"/>
    </row>
    <row r="73" spans="3:7" ht="23.25" x14ac:dyDescent="0.35">
      <c r="C73" s="213" t="s">
        <v>196</v>
      </c>
      <c r="D73" s="213"/>
    </row>
    <row r="74" spans="3:7" ht="15.75" thickBot="1" x14ac:dyDescent="0.3"/>
    <row r="75" spans="3:7" hidden="1" x14ac:dyDescent="0.25"/>
    <row r="76" spans="3:7" ht="32.25" thickBot="1" x14ac:dyDescent="0.55000000000000004">
      <c r="C76" s="108" t="s">
        <v>2</v>
      </c>
      <c r="D76" s="109" t="s">
        <v>201</v>
      </c>
      <c r="E76" s="110" t="s">
        <v>202</v>
      </c>
      <c r="F76" s="110" t="s">
        <v>33</v>
      </c>
      <c r="G76" s="111" t="s">
        <v>203</v>
      </c>
    </row>
    <row r="77" spans="3:7" ht="31.5" x14ac:dyDescent="0.5">
      <c r="C77" s="196">
        <v>2024</v>
      </c>
      <c r="D77" s="197">
        <v>5</v>
      </c>
      <c r="E77" s="198">
        <v>3263.479042553191</v>
      </c>
      <c r="F77" s="198">
        <v>1682.28</v>
      </c>
      <c r="G77" s="199">
        <v>0.51548668707976875</v>
      </c>
    </row>
    <row r="78" spans="3:7" ht="31.5" x14ac:dyDescent="0.5">
      <c r="C78" s="200">
        <v>2025</v>
      </c>
      <c r="D78" s="201">
        <v>38</v>
      </c>
      <c r="E78" s="202">
        <v>26749.059484923237</v>
      </c>
      <c r="F78" s="202">
        <v>6554.36</v>
      </c>
      <c r="G78" s="203">
        <v>0.24503141890630886</v>
      </c>
    </row>
    <row r="79" spans="3:7" ht="32.25" thickBot="1" x14ac:dyDescent="0.55000000000000004">
      <c r="C79" s="204">
        <v>2026</v>
      </c>
      <c r="D79" s="201">
        <v>32</v>
      </c>
      <c r="E79" s="202">
        <v>18596.826071867003</v>
      </c>
      <c r="F79" s="202">
        <v>0</v>
      </c>
      <c r="G79" s="203">
        <v>0</v>
      </c>
    </row>
    <row r="80" spans="3:7" ht="32.25" thickBot="1" x14ac:dyDescent="0.55000000000000004">
      <c r="C80" s="112" t="s">
        <v>157</v>
      </c>
      <c r="D80" s="205">
        <v>75</v>
      </c>
      <c r="E80" s="113">
        <v>48609.364599343433</v>
      </c>
      <c r="F80" s="113">
        <v>8236.64</v>
      </c>
      <c r="G80" s="114">
        <v>0.16944553930892672</v>
      </c>
    </row>
    <row r="84" spans="33:37" ht="15.75" thickBot="1" x14ac:dyDescent="0.3"/>
    <row r="85" spans="33:37" ht="15.75" thickBot="1" x14ac:dyDescent="0.3"/>
    <row r="93" spans="33:37" ht="15.75" thickBot="1" x14ac:dyDescent="0.3"/>
    <row r="94" spans="33:37" ht="24" thickBot="1" x14ac:dyDescent="0.4">
      <c r="AG94" s="92" t="s">
        <v>2</v>
      </c>
      <c r="AH94" s="93" t="s">
        <v>185</v>
      </c>
      <c r="AI94" s="94" t="s">
        <v>186</v>
      </c>
      <c r="AJ94" s="94" t="s">
        <v>187</v>
      </c>
      <c r="AK94" s="95" t="s">
        <v>188</v>
      </c>
    </row>
    <row r="95" spans="33:37" ht="23.25" x14ac:dyDescent="0.35">
      <c r="AG95" s="73">
        <v>2019</v>
      </c>
      <c r="AH95" s="74">
        <v>6</v>
      </c>
      <c r="AI95" s="75">
        <v>84364.734556405383</v>
      </c>
      <c r="AJ95" s="75">
        <v>45301</v>
      </c>
      <c r="AK95" s="76">
        <v>0.5369660704581749</v>
      </c>
    </row>
    <row r="96" spans="33:37" ht="23.25" x14ac:dyDescent="0.35">
      <c r="AG96" s="77">
        <v>2020</v>
      </c>
      <c r="AH96" s="78">
        <v>5</v>
      </c>
      <c r="AI96" s="79">
        <v>74696</v>
      </c>
      <c r="AJ96" s="79">
        <v>70880</v>
      </c>
      <c r="AK96" s="80">
        <v>0.94891292706436758</v>
      </c>
    </row>
    <row r="97" spans="33:37" ht="23.25" x14ac:dyDescent="0.35">
      <c r="AG97" s="77">
        <v>2021</v>
      </c>
      <c r="AH97" s="78">
        <v>7</v>
      </c>
      <c r="AI97" s="79">
        <v>58671.44841772152</v>
      </c>
      <c r="AJ97" s="79">
        <v>51276.11</v>
      </c>
      <c r="AK97" s="80">
        <v>0.87395336885039676</v>
      </c>
    </row>
    <row r="98" spans="33:37" ht="23.25" x14ac:dyDescent="0.35">
      <c r="AG98" s="77">
        <v>2022</v>
      </c>
      <c r="AH98" s="78">
        <v>18</v>
      </c>
      <c r="AI98" s="79">
        <v>145148.52328203901</v>
      </c>
      <c r="AJ98" s="79">
        <v>66224.385964912275</v>
      </c>
      <c r="AK98" s="80">
        <v>0.45625256439041584</v>
      </c>
    </row>
    <row r="99" spans="33:37" ht="23.25" x14ac:dyDescent="0.35">
      <c r="AG99" s="77">
        <v>2023</v>
      </c>
      <c r="AH99" s="78">
        <v>10</v>
      </c>
      <c r="AI99" s="79">
        <v>208242.53651765728</v>
      </c>
      <c r="AJ99" s="79">
        <v>30769.739999999998</v>
      </c>
      <c r="AK99" s="80">
        <v>0.14775914908907659</v>
      </c>
    </row>
    <row r="100" spans="33:37" ht="23.25" x14ac:dyDescent="0.35">
      <c r="AG100" s="77">
        <v>2024</v>
      </c>
      <c r="AH100" s="78">
        <v>29</v>
      </c>
      <c r="AI100" s="79">
        <v>732258.93226053182</v>
      </c>
      <c r="AJ100" s="79">
        <v>635698.68846769317</v>
      </c>
      <c r="AK100" s="80">
        <v>0.86813374403675658</v>
      </c>
    </row>
    <row r="101" spans="33:37" ht="23.25" x14ac:dyDescent="0.35">
      <c r="AG101" s="77">
        <v>2025</v>
      </c>
      <c r="AH101" s="78">
        <v>49</v>
      </c>
      <c r="AI101" s="79">
        <v>90288.063602572074</v>
      </c>
      <c r="AJ101" s="79">
        <v>52805.564054691284</v>
      </c>
      <c r="AK101" s="80">
        <v>0.58485653526837833</v>
      </c>
    </row>
    <row r="102" spans="33:37" ht="24" thickBot="1" x14ac:dyDescent="0.4">
      <c r="AG102" s="81">
        <v>2026</v>
      </c>
      <c r="AH102" s="78">
        <v>18</v>
      </c>
      <c r="AI102" s="79">
        <v>18156.710967227948</v>
      </c>
      <c r="AJ102" s="79">
        <v>0</v>
      </c>
      <c r="AK102" s="80">
        <v>0</v>
      </c>
    </row>
    <row r="103" spans="33:37" ht="24" thickBot="1" x14ac:dyDescent="0.4">
      <c r="AG103" s="96" t="s">
        <v>157</v>
      </c>
      <c r="AH103" s="97">
        <v>142</v>
      </c>
      <c r="AI103" s="98">
        <v>1411826.9496041529</v>
      </c>
      <c r="AJ103" s="98">
        <v>952955.48848729674</v>
      </c>
      <c r="AK103" s="99">
        <v>0.67498037826412494</v>
      </c>
    </row>
  </sheetData>
  <mergeCells count="1">
    <mergeCell ref="C73:D73"/>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1D29-082B-4A97-A79F-77E2CDF8D694}">
  <dimension ref="A1:X75"/>
  <sheetViews>
    <sheetView topLeftCell="D1" workbookViewId="0">
      <pane xSplit="2" ySplit="1" topLeftCell="I2" activePane="bottomRight" state="frozen"/>
      <selection activeCell="D1" sqref="D1"/>
      <selection pane="topRight" activeCell="F1" sqref="F1"/>
      <selection pane="bottomLeft" activeCell="D2" sqref="D2"/>
      <selection pane="bottomRight" activeCell="O75" sqref="O2:O75"/>
    </sheetView>
  </sheetViews>
  <sheetFormatPr defaultRowHeight="15" x14ac:dyDescent="0.25"/>
  <cols>
    <col min="1" max="1" width="11.5703125" bestFit="1" customWidth="1"/>
    <col min="2" max="2" width="0" hidden="1" customWidth="1"/>
    <col min="6" max="6" width="19" bestFit="1" customWidth="1"/>
    <col min="9" max="9" width="11" bestFit="1" customWidth="1"/>
    <col min="12" max="12" width="13.140625" bestFit="1" customWidth="1"/>
    <col min="13" max="13" width="13.5703125" bestFit="1" customWidth="1"/>
    <col min="14" max="16" width="7.7109375" bestFit="1" customWidth="1"/>
    <col min="17" max="17" width="6.7109375" bestFit="1" customWidth="1"/>
    <col min="18" max="18" width="10.85546875" bestFit="1" customWidth="1"/>
    <col min="19" max="19" width="10.85546875" customWidth="1"/>
    <col min="20" max="20" width="8.85546875" customWidth="1"/>
    <col min="21" max="23" width="0" hidden="1" customWidth="1"/>
    <col min="24" max="24" width="255.7109375" bestFit="1" customWidth="1"/>
  </cols>
  <sheetData>
    <row r="1" spans="1:24" x14ac:dyDescent="0.25">
      <c r="A1" s="122" t="s">
        <v>0</v>
      </c>
      <c r="B1" s="1" t="s">
        <v>1</v>
      </c>
      <c r="C1" s="1" t="s">
        <v>177</v>
      </c>
      <c r="D1" s="38" t="s">
        <v>2</v>
      </c>
      <c r="E1" s="115" t="s">
        <v>3</v>
      </c>
      <c r="F1" s="115" t="s">
        <v>210</v>
      </c>
      <c r="G1" s="1" t="s">
        <v>4</v>
      </c>
      <c r="H1" s="1" t="s">
        <v>5</v>
      </c>
      <c r="I1" s="1" t="s">
        <v>6</v>
      </c>
      <c r="J1" s="1" t="s">
        <v>7</v>
      </c>
      <c r="K1" s="1" t="s">
        <v>8</v>
      </c>
      <c r="L1" s="115" t="s">
        <v>292</v>
      </c>
      <c r="M1" s="1" t="s">
        <v>300</v>
      </c>
      <c r="N1" s="1" t="s">
        <v>301</v>
      </c>
      <c r="O1" s="1" t="s">
        <v>302</v>
      </c>
      <c r="P1" s="1" t="s">
        <v>303</v>
      </c>
      <c r="Q1" s="1" t="s">
        <v>65</v>
      </c>
      <c r="R1" s="1" t="s">
        <v>304</v>
      </c>
      <c r="S1" s="1" t="s">
        <v>206</v>
      </c>
      <c r="T1" s="1" t="s">
        <v>10</v>
      </c>
      <c r="U1" s="1" t="s">
        <v>11</v>
      </c>
      <c r="V1" s="115" t="s">
        <v>197</v>
      </c>
      <c r="W1" s="115" t="s">
        <v>12</v>
      </c>
      <c r="X1" s="1" t="s">
        <v>13</v>
      </c>
    </row>
    <row r="2" spans="1:24" x14ac:dyDescent="0.25">
      <c r="A2" s="123">
        <v>45603</v>
      </c>
      <c r="B2" s="6" t="s">
        <v>58</v>
      </c>
      <c r="C2" s="6" t="str">
        <f t="shared" ref="C2:C63" si="0">TEXT(A2,"MMM")</f>
        <v>Nov</v>
      </c>
      <c r="D2" s="39">
        <f t="shared" ref="D2:D63" si="1">YEAR(A2)</f>
        <v>2024</v>
      </c>
      <c r="E2" s="6">
        <v>1</v>
      </c>
      <c r="F2" s="6" t="s">
        <v>211</v>
      </c>
      <c r="G2" s="6" t="s">
        <v>69</v>
      </c>
      <c r="H2" s="21" t="s">
        <v>70</v>
      </c>
      <c r="I2" s="7" t="s">
        <v>52</v>
      </c>
      <c r="J2" s="7" t="s">
        <v>71</v>
      </c>
      <c r="K2" s="7"/>
      <c r="L2" s="8">
        <v>0</v>
      </c>
      <c r="M2" s="8">
        <v>0</v>
      </c>
      <c r="N2" s="124">
        <v>0</v>
      </c>
      <c r="O2" s="124">
        <v>0</v>
      </c>
      <c r="P2" s="124">
        <v>0</v>
      </c>
      <c r="Q2" s="124">
        <v>0</v>
      </c>
      <c r="R2" s="124">
        <v>0</v>
      </c>
      <c r="S2" s="124"/>
      <c r="T2" s="7" t="s">
        <v>67</v>
      </c>
      <c r="U2" s="7" t="s">
        <v>200</v>
      </c>
      <c r="V2" s="7" t="s">
        <v>198</v>
      </c>
      <c r="W2" s="7" t="s">
        <v>49</v>
      </c>
      <c r="X2" s="7" t="s">
        <v>73</v>
      </c>
    </row>
    <row r="3" spans="1:24" x14ac:dyDescent="0.25">
      <c r="A3" s="123">
        <v>45603</v>
      </c>
      <c r="B3" s="6" t="s">
        <v>58</v>
      </c>
      <c r="C3" s="6" t="str">
        <f t="shared" si="0"/>
        <v>Nov</v>
      </c>
      <c r="D3" s="39">
        <f t="shared" si="1"/>
        <v>2024</v>
      </c>
      <c r="E3" s="6">
        <v>2</v>
      </c>
      <c r="F3" s="6" t="s">
        <v>212</v>
      </c>
      <c r="G3" s="6" t="s">
        <v>69</v>
      </c>
      <c r="H3" s="21" t="s">
        <v>70</v>
      </c>
      <c r="I3" s="7" t="s">
        <v>75</v>
      </c>
      <c r="J3" s="7" t="s">
        <v>160</v>
      </c>
      <c r="K3" s="7"/>
      <c r="L3" s="8">
        <v>215</v>
      </c>
      <c r="M3" s="8">
        <v>215</v>
      </c>
      <c r="N3" s="124">
        <v>0</v>
      </c>
      <c r="O3" s="124">
        <v>0</v>
      </c>
      <c r="P3" s="124">
        <v>215</v>
      </c>
      <c r="Q3" s="124">
        <v>0</v>
      </c>
      <c r="R3" s="124">
        <v>0</v>
      </c>
      <c r="S3" s="124"/>
      <c r="T3" s="7" t="s">
        <v>67</v>
      </c>
      <c r="U3" s="7" t="s">
        <v>200</v>
      </c>
      <c r="V3" s="7" t="s">
        <v>198</v>
      </c>
      <c r="W3" s="7" t="s">
        <v>49</v>
      </c>
      <c r="X3" s="7" t="s">
        <v>76</v>
      </c>
    </row>
    <row r="4" spans="1:24" x14ac:dyDescent="0.25">
      <c r="A4" s="123">
        <v>45630</v>
      </c>
      <c r="B4" s="6" t="s">
        <v>58</v>
      </c>
      <c r="C4" s="6" t="str">
        <f t="shared" si="0"/>
        <v>Dec</v>
      </c>
      <c r="D4" s="39">
        <f t="shared" si="1"/>
        <v>2024</v>
      </c>
      <c r="E4" s="6">
        <v>3</v>
      </c>
      <c r="F4" s="6">
        <v>245672578</v>
      </c>
      <c r="G4" s="6" t="s">
        <v>69</v>
      </c>
      <c r="H4" s="21" t="s">
        <v>70</v>
      </c>
      <c r="I4" s="7" t="s">
        <v>52</v>
      </c>
      <c r="J4" s="7" t="s">
        <v>71</v>
      </c>
      <c r="K4" s="7"/>
      <c r="L4" s="8">
        <v>0</v>
      </c>
      <c r="M4" s="8">
        <v>0</v>
      </c>
      <c r="N4" s="124">
        <v>0</v>
      </c>
      <c r="O4" s="124">
        <v>0</v>
      </c>
      <c r="P4" s="124">
        <v>0</v>
      </c>
      <c r="Q4" s="124">
        <v>0</v>
      </c>
      <c r="R4" s="124">
        <v>0</v>
      </c>
      <c r="S4" s="124"/>
      <c r="T4" s="7" t="s">
        <v>67</v>
      </c>
      <c r="U4" s="7" t="s">
        <v>200</v>
      </c>
      <c r="V4" s="7" t="s">
        <v>198</v>
      </c>
      <c r="W4" s="7" t="s">
        <v>49</v>
      </c>
      <c r="X4" s="7" t="s">
        <v>80</v>
      </c>
    </row>
    <row r="5" spans="1:24" x14ac:dyDescent="0.25">
      <c r="A5" s="123">
        <v>45630</v>
      </c>
      <c r="B5" s="6" t="s">
        <v>58</v>
      </c>
      <c r="C5" s="6" t="str">
        <f t="shared" si="0"/>
        <v>Dec</v>
      </c>
      <c r="D5" s="39">
        <f t="shared" si="1"/>
        <v>2024</v>
      </c>
      <c r="E5" s="6">
        <v>4</v>
      </c>
      <c r="F5" s="6">
        <v>245672856</v>
      </c>
      <c r="G5" s="6" t="s">
        <v>69</v>
      </c>
      <c r="H5" s="21" t="s">
        <v>70</v>
      </c>
      <c r="I5" s="7" t="s">
        <v>52</v>
      </c>
      <c r="J5" s="7" t="s">
        <v>71</v>
      </c>
      <c r="K5" s="7"/>
      <c r="L5" s="8">
        <v>0</v>
      </c>
      <c r="M5" s="8">
        <v>0</v>
      </c>
      <c r="N5" s="124">
        <v>0</v>
      </c>
      <c r="O5" s="124">
        <v>0</v>
      </c>
      <c r="P5" s="124">
        <v>0</v>
      </c>
      <c r="Q5" s="124">
        <v>0</v>
      </c>
      <c r="R5" s="124">
        <v>0</v>
      </c>
      <c r="S5" s="124"/>
      <c r="T5" s="7" t="s">
        <v>67</v>
      </c>
      <c r="U5" s="7" t="s">
        <v>200</v>
      </c>
      <c r="V5" s="7" t="s">
        <v>198</v>
      </c>
      <c r="W5" s="7" t="s">
        <v>49</v>
      </c>
      <c r="X5" s="7" t="s">
        <v>81</v>
      </c>
    </row>
    <row r="6" spans="1:24" x14ac:dyDescent="0.25">
      <c r="A6" s="125">
        <v>45630</v>
      </c>
      <c r="B6" s="6" t="s">
        <v>58</v>
      </c>
      <c r="C6" s="6" t="str">
        <f t="shared" si="0"/>
        <v>Dec</v>
      </c>
      <c r="D6" s="39">
        <f t="shared" si="1"/>
        <v>2024</v>
      </c>
      <c r="E6" s="6">
        <v>4</v>
      </c>
      <c r="F6" s="6">
        <v>245672856</v>
      </c>
      <c r="G6" s="6" t="s">
        <v>69</v>
      </c>
      <c r="H6" s="21" t="s">
        <v>70</v>
      </c>
      <c r="I6" s="7" t="s">
        <v>52</v>
      </c>
      <c r="J6" s="7" t="s">
        <v>71</v>
      </c>
      <c r="K6" s="7"/>
      <c r="L6" s="8">
        <v>21</v>
      </c>
      <c r="M6" s="8">
        <v>21</v>
      </c>
      <c r="N6" s="124">
        <v>0</v>
      </c>
      <c r="O6" s="124">
        <v>0</v>
      </c>
      <c r="P6" s="124">
        <v>21</v>
      </c>
      <c r="Q6" s="124">
        <v>0</v>
      </c>
      <c r="R6" s="124">
        <v>0</v>
      </c>
      <c r="S6" s="124"/>
      <c r="T6" s="7" t="s">
        <v>67</v>
      </c>
      <c r="U6" s="7" t="s">
        <v>200</v>
      </c>
      <c r="V6" s="7" t="s">
        <v>198</v>
      </c>
      <c r="W6" s="7" t="s">
        <v>49</v>
      </c>
      <c r="X6" s="7" t="s">
        <v>82</v>
      </c>
    </row>
    <row r="7" spans="1:24" x14ac:dyDescent="0.25">
      <c r="A7" s="123">
        <v>45636</v>
      </c>
      <c r="B7" s="6" t="s">
        <v>58</v>
      </c>
      <c r="C7" s="6" t="str">
        <f t="shared" si="0"/>
        <v>Dec</v>
      </c>
      <c r="D7" s="39">
        <f t="shared" si="1"/>
        <v>2024</v>
      </c>
      <c r="E7" s="6">
        <v>5</v>
      </c>
      <c r="F7" s="6" t="s">
        <v>213</v>
      </c>
      <c r="G7" s="6" t="s">
        <v>69</v>
      </c>
      <c r="H7" s="21" t="s">
        <v>70</v>
      </c>
      <c r="I7" s="7" t="s">
        <v>75</v>
      </c>
      <c r="J7" s="7" t="s">
        <v>160</v>
      </c>
      <c r="K7" s="7"/>
      <c r="L7" s="8">
        <v>25</v>
      </c>
      <c r="M7" s="8">
        <v>25</v>
      </c>
      <c r="N7" s="124">
        <v>0</v>
      </c>
      <c r="O7" s="124">
        <v>0</v>
      </c>
      <c r="P7" s="124">
        <v>0</v>
      </c>
      <c r="Q7" s="124">
        <v>25</v>
      </c>
      <c r="R7" s="124">
        <v>0</v>
      </c>
      <c r="S7" s="124"/>
      <c r="T7" s="7" t="s">
        <v>67</v>
      </c>
      <c r="U7" s="7" t="s">
        <v>200</v>
      </c>
      <c r="V7" s="7" t="s">
        <v>198</v>
      </c>
      <c r="W7" s="7" t="s">
        <v>49</v>
      </c>
      <c r="X7" s="7" t="s">
        <v>84</v>
      </c>
    </row>
    <row r="8" spans="1:24" x14ac:dyDescent="0.25">
      <c r="A8" s="123">
        <v>45682</v>
      </c>
      <c r="B8" s="6" t="s">
        <v>58</v>
      </c>
      <c r="C8" s="6" t="str">
        <f t="shared" si="0"/>
        <v>Jan</v>
      </c>
      <c r="D8" s="39">
        <f t="shared" si="1"/>
        <v>2025</v>
      </c>
      <c r="E8" s="6">
        <v>6</v>
      </c>
      <c r="F8" s="6">
        <v>247070297</v>
      </c>
      <c r="G8" s="6" t="s">
        <v>69</v>
      </c>
      <c r="H8" s="21" t="s">
        <v>46</v>
      </c>
      <c r="I8" s="7" t="s">
        <v>52</v>
      </c>
      <c r="J8" s="7" t="s">
        <v>71</v>
      </c>
      <c r="K8" s="7"/>
      <c r="L8" s="8">
        <v>45</v>
      </c>
      <c r="M8" s="8">
        <v>45</v>
      </c>
      <c r="N8" s="124">
        <v>45</v>
      </c>
      <c r="O8" s="124">
        <v>0</v>
      </c>
      <c r="P8" s="124">
        <v>0</v>
      </c>
      <c r="Q8" s="124">
        <v>0</v>
      </c>
      <c r="R8" s="124">
        <v>0</v>
      </c>
      <c r="S8" s="124"/>
      <c r="T8" s="7" t="s">
        <v>67</v>
      </c>
      <c r="U8" s="7" t="s">
        <v>200</v>
      </c>
      <c r="V8" s="7" t="s">
        <v>198</v>
      </c>
      <c r="W8" s="7" t="s">
        <v>49</v>
      </c>
      <c r="X8" s="7" t="s">
        <v>86</v>
      </c>
    </row>
    <row r="9" spans="1:24" x14ac:dyDescent="0.25">
      <c r="A9" s="123">
        <v>45701</v>
      </c>
      <c r="B9" s="6" t="s">
        <v>58</v>
      </c>
      <c r="C9" s="6" t="str">
        <f t="shared" si="0"/>
        <v>Feb</v>
      </c>
      <c r="D9" s="39">
        <f t="shared" si="1"/>
        <v>2025</v>
      </c>
      <c r="E9" s="6">
        <v>7</v>
      </c>
      <c r="F9" s="6">
        <v>248620904</v>
      </c>
      <c r="G9" s="6" t="s">
        <v>69</v>
      </c>
      <c r="H9" s="21" t="s">
        <v>70</v>
      </c>
      <c r="I9" s="7" t="s">
        <v>52</v>
      </c>
      <c r="J9" s="7" t="s">
        <v>71</v>
      </c>
      <c r="K9" s="7"/>
      <c r="L9" s="8">
        <v>54</v>
      </c>
      <c r="M9" s="8">
        <v>54</v>
      </c>
      <c r="N9" s="124">
        <v>54</v>
      </c>
      <c r="O9" s="124">
        <v>0</v>
      </c>
      <c r="P9" s="124">
        <v>0</v>
      </c>
      <c r="Q9" s="124">
        <v>0</v>
      </c>
      <c r="R9" s="124">
        <v>0</v>
      </c>
      <c r="S9" s="124"/>
      <c r="T9" s="7" t="s">
        <v>67</v>
      </c>
      <c r="U9" s="7" t="s">
        <v>200</v>
      </c>
      <c r="V9" s="7" t="s">
        <v>198</v>
      </c>
      <c r="W9" s="7" t="s">
        <v>49</v>
      </c>
      <c r="X9" s="7" t="s">
        <v>87</v>
      </c>
    </row>
    <row r="10" spans="1:24" x14ac:dyDescent="0.25">
      <c r="A10" s="123">
        <v>45703</v>
      </c>
      <c r="B10" s="6" t="s">
        <v>58</v>
      </c>
      <c r="C10" s="6" t="str">
        <f t="shared" si="0"/>
        <v>Feb</v>
      </c>
      <c r="D10" s="39">
        <f t="shared" si="1"/>
        <v>2025</v>
      </c>
      <c r="E10" s="6">
        <v>8</v>
      </c>
      <c r="F10" s="6">
        <v>248619667</v>
      </c>
      <c r="G10" s="6" t="s">
        <v>69</v>
      </c>
      <c r="H10" s="21" t="s">
        <v>70</v>
      </c>
      <c r="I10" s="7" t="s">
        <v>52</v>
      </c>
      <c r="J10" s="7" t="s">
        <v>71</v>
      </c>
      <c r="K10" s="7"/>
      <c r="L10" s="8">
        <v>107</v>
      </c>
      <c r="M10" s="8">
        <v>107</v>
      </c>
      <c r="N10" s="124">
        <v>107</v>
      </c>
      <c r="O10" s="124">
        <v>0</v>
      </c>
      <c r="P10" s="124">
        <v>0</v>
      </c>
      <c r="Q10" s="124">
        <v>0</v>
      </c>
      <c r="R10" s="124">
        <v>0</v>
      </c>
      <c r="S10" s="124"/>
      <c r="T10" s="7" t="s">
        <v>67</v>
      </c>
      <c r="U10" s="7" t="s">
        <v>200</v>
      </c>
      <c r="V10" s="7" t="s">
        <v>198</v>
      </c>
      <c r="W10" s="7" t="s">
        <v>49</v>
      </c>
      <c r="X10" s="7" t="s">
        <v>88</v>
      </c>
    </row>
    <row r="11" spans="1:24" x14ac:dyDescent="0.25">
      <c r="A11" s="125">
        <v>45713</v>
      </c>
      <c r="B11" s="6" t="s">
        <v>58</v>
      </c>
      <c r="C11" s="6" t="str">
        <f t="shared" si="0"/>
        <v>Feb</v>
      </c>
      <c r="D11" s="39">
        <f t="shared" si="1"/>
        <v>2025</v>
      </c>
      <c r="E11" s="6">
        <v>9</v>
      </c>
      <c r="F11" s="6">
        <v>248620255</v>
      </c>
      <c r="G11" s="6" t="s">
        <v>69</v>
      </c>
      <c r="H11" s="21" t="s">
        <v>70</v>
      </c>
      <c r="I11" s="7" t="s">
        <v>52</v>
      </c>
      <c r="J11" s="7" t="s">
        <v>71</v>
      </c>
      <c r="K11" s="7"/>
      <c r="L11" s="8">
        <v>55</v>
      </c>
      <c r="M11" s="8">
        <v>55</v>
      </c>
      <c r="N11" s="124">
        <v>55</v>
      </c>
      <c r="O11" s="124">
        <v>0</v>
      </c>
      <c r="P11" s="124">
        <v>0</v>
      </c>
      <c r="Q11" s="124">
        <v>0</v>
      </c>
      <c r="R11" s="124">
        <v>0</v>
      </c>
      <c r="S11" s="124"/>
      <c r="T11" s="7" t="s">
        <v>67</v>
      </c>
      <c r="U11" s="7" t="s">
        <v>200</v>
      </c>
      <c r="V11" s="7" t="s">
        <v>198</v>
      </c>
      <c r="W11" s="7" t="s">
        <v>49</v>
      </c>
      <c r="X11" s="7" t="s">
        <v>89</v>
      </c>
    </row>
    <row r="12" spans="1:24" x14ac:dyDescent="0.25">
      <c r="A12" s="125">
        <v>45714</v>
      </c>
      <c r="B12" s="6" t="s">
        <v>58</v>
      </c>
      <c r="C12" s="6" t="str">
        <f t="shared" si="0"/>
        <v>Feb</v>
      </c>
      <c r="D12" s="39">
        <f t="shared" si="1"/>
        <v>2025</v>
      </c>
      <c r="E12" s="6">
        <v>10</v>
      </c>
      <c r="F12" s="6">
        <v>248621429</v>
      </c>
      <c r="G12" s="6" t="s">
        <v>69</v>
      </c>
      <c r="H12" s="21" t="s">
        <v>70</v>
      </c>
      <c r="I12" s="7" t="s">
        <v>52</v>
      </c>
      <c r="J12" s="7" t="s">
        <v>71</v>
      </c>
      <c r="K12" s="7"/>
      <c r="L12" s="8">
        <v>30</v>
      </c>
      <c r="M12" s="8">
        <v>30</v>
      </c>
      <c r="N12" s="124">
        <v>30</v>
      </c>
      <c r="O12" s="124">
        <v>0</v>
      </c>
      <c r="P12" s="124">
        <v>0</v>
      </c>
      <c r="Q12" s="124">
        <v>0</v>
      </c>
      <c r="R12" s="124">
        <v>0</v>
      </c>
      <c r="S12" s="124"/>
      <c r="T12" s="7" t="s">
        <v>67</v>
      </c>
      <c r="U12" s="7" t="s">
        <v>200</v>
      </c>
      <c r="V12" s="7" t="s">
        <v>198</v>
      </c>
      <c r="W12" s="7" t="s">
        <v>49</v>
      </c>
      <c r="X12" s="7" t="s">
        <v>90</v>
      </c>
    </row>
    <row r="13" spans="1:24" x14ac:dyDescent="0.25">
      <c r="A13" s="125">
        <v>45722</v>
      </c>
      <c r="B13" s="6" t="s">
        <v>58</v>
      </c>
      <c r="C13" s="6" t="str">
        <f t="shared" si="0"/>
        <v>Mar</v>
      </c>
      <c r="D13" s="39">
        <f t="shared" si="1"/>
        <v>2025</v>
      </c>
      <c r="E13" s="6">
        <v>11</v>
      </c>
      <c r="F13" s="6">
        <v>248622146</v>
      </c>
      <c r="G13" s="6" t="s">
        <v>66</v>
      </c>
      <c r="H13" s="21" t="s">
        <v>46</v>
      </c>
      <c r="I13" s="7" t="s">
        <v>52</v>
      </c>
      <c r="J13" s="7" t="s">
        <v>71</v>
      </c>
      <c r="K13" s="7"/>
      <c r="L13" s="8">
        <v>62</v>
      </c>
      <c r="M13" s="8">
        <v>62</v>
      </c>
      <c r="N13" s="124">
        <v>62</v>
      </c>
      <c r="O13" s="124">
        <v>0</v>
      </c>
      <c r="P13" s="124">
        <v>0</v>
      </c>
      <c r="Q13" s="124">
        <v>0</v>
      </c>
      <c r="R13" s="124">
        <v>0</v>
      </c>
      <c r="S13" s="124"/>
      <c r="T13" s="7" t="s">
        <v>67</v>
      </c>
      <c r="U13" s="7" t="s">
        <v>200</v>
      </c>
      <c r="V13" s="7" t="s">
        <v>198</v>
      </c>
      <c r="W13" s="7" t="s">
        <v>49</v>
      </c>
      <c r="X13" s="7" t="s">
        <v>91</v>
      </c>
    </row>
    <row r="14" spans="1:24" x14ac:dyDescent="0.25">
      <c r="A14" s="123">
        <v>45745</v>
      </c>
      <c r="B14" s="6" t="s">
        <v>58</v>
      </c>
      <c r="C14" s="6" t="str">
        <f t="shared" si="0"/>
        <v>Mar</v>
      </c>
      <c r="D14" s="39">
        <f t="shared" si="1"/>
        <v>2025</v>
      </c>
      <c r="E14" s="6">
        <v>12</v>
      </c>
      <c r="F14" s="6">
        <v>248623021</v>
      </c>
      <c r="G14" s="6" t="s">
        <v>66</v>
      </c>
      <c r="H14" s="21" t="s">
        <v>46</v>
      </c>
      <c r="I14" s="7" t="s">
        <v>52</v>
      </c>
      <c r="J14" s="7" t="s">
        <v>71</v>
      </c>
      <c r="K14" s="7"/>
      <c r="L14" s="8">
        <v>54</v>
      </c>
      <c r="M14" s="8">
        <v>54</v>
      </c>
      <c r="N14" s="124">
        <v>54</v>
      </c>
      <c r="O14" s="124">
        <v>0</v>
      </c>
      <c r="P14" s="124">
        <v>0</v>
      </c>
      <c r="Q14" s="124">
        <v>0</v>
      </c>
      <c r="R14" s="124">
        <v>0</v>
      </c>
      <c r="S14" s="124"/>
      <c r="T14" s="7" t="s">
        <v>67</v>
      </c>
      <c r="U14" s="7" t="s">
        <v>200</v>
      </c>
      <c r="V14" s="7" t="s">
        <v>198</v>
      </c>
      <c r="W14" s="7" t="s">
        <v>49</v>
      </c>
      <c r="X14" s="7" t="s">
        <v>92</v>
      </c>
    </row>
    <row r="15" spans="1:24" x14ac:dyDescent="0.25">
      <c r="A15" s="123">
        <v>45770</v>
      </c>
      <c r="B15" s="6" t="s">
        <v>58</v>
      </c>
      <c r="C15" s="6" t="str">
        <f t="shared" si="0"/>
        <v>Apr</v>
      </c>
      <c r="D15" s="39">
        <f t="shared" si="1"/>
        <v>2025</v>
      </c>
      <c r="E15" s="6">
        <v>13</v>
      </c>
      <c r="F15" s="6">
        <v>248624161</v>
      </c>
      <c r="G15" s="6" t="s">
        <v>93</v>
      </c>
      <c r="H15" s="21" t="s">
        <v>46</v>
      </c>
      <c r="I15" s="7" t="s">
        <v>52</v>
      </c>
      <c r="J15" s="7" t="s">
        <v>71</v>
      </c>
      <c r="K15" s="7"/>
      <c r="L15" s="8">
        <v>28</v>
      </c>
      <c r="M15" s="8">
        <v>28</v>
      </c>
      <c r="N15" s="124">
        <v>28</v>
      </c>
      <c r="O15" s="124">
        <v>0</v>
      </c>
      <c r="P15" s="124">
        <v>0</v>
      </c>
      <c r="Q15" s="124">
        <v>0</v>
      </c>
      <c r="R15" s="124">
        <v>0</v>
      </c>
      <c r="S15" s="124"/>
      <c r="T15" s="7" t="s">
        <v>67</v>
      </c>
      <c r="U15" s="7" t="s">
        <v>200</v>
      </c>
      <c r="V15" s="7" t="s">
        <v>198</v>
      </c>
      <c r="W15" s="7" t="s">
        <v>49</v>
      </c>
      <c r="X15" s="7" t="s">
        <v>94</v>
      </c>
    </row>
    <row r="16" spans="1:24" x14ac:dyDescent="0.25">
      <c r="A16" s="123">
        <v>45770</v>
      </c>
      <c r="B16" s="6" t="s">
        <v>58</v>
      </c>
      <c r="C16" s="6" t="str">
        <f t="shared" si="0"/>
        <v>Apr</v>
      </c>
      <c r="D16" s="39">
        <f t="shared" si="1"/>
        <v>2025</v>
      </c>
      <c r="E16" s="6">
        <v>14</v>
      </c>
      <c r="F16" s="6">
        <v>248623393</v>
      </c>
      <c r="G16" s="6" t="s">
        <v>93</v>
      </c>
      <c r="H16" s="21" t="s">
        <v>46</v>
      </c>
      <c r="I16" s="7" t="s">
        <v>52</v>
      </c>
      <c r="J16" s="7" t="s">
        <v>71</v>
      </c>
      <c r="K16" s="7"/>
      <c r="L16" s="8">
        <v>23</v>
      </c>
      <c r="M16" s="8">
        <v>23</v>
      </c>
      <c r="N16" s="124">
        <v>23</v>
      </c>
      <c r="O16" s="124">
        <v>0</v>
      </c>
      <c r="P16" s="124">
        <v>0</v>
      </c>
      <c r="Q16" s="124">
        <v>0</v>
      </c>
      <c r="R16" s="124">
        <v>0</v>
      </c>
      <c r="S16" s="124"/>
      <c r="T16" s="7" t="s">
        <v>67</v>
      </c>
      <c r="U16" s="7" t="s">
        <v>200</v>
      </c>
      <c r="V16" s="7" t="s">
        <v>198</v>
      </c>
      <c r="W16" s="7" t="s">
        <v>49</v>
      </c>
      <c r="X16" s="7" t="s">
        <v>95</v>
      </c>
    </row>
    <row r="17" spans="1:24" x14ac:dyDescent="0.25">
      <c r="A17" s="123">
        <v>45770</v>
      </c>
      <c r="B17" s="6" t="s">
        <v>58</v>
      </c>
      <c r="C17" s="6" t="str">
        <f t="shared" si="0"/>
        <v>Apr</v>
      </c>
      <c r="D17" s="39">
        <f t="shared" si="1"/>
        <v>2025</v>
      </c>
      <c r="E17" s="6">
        <v>15</v>
      </c>
      <c r="F17" s="6">
        <v>248623928</v>
      </c>
      <c r="G17" s="6" t="s">
        <v>93</v>
      </c>
      <c r="H17" s="21" t="s">
        <v>46</v>
      </c>
      <c r="I17" s="7" t="s">
        <v>52</v>
      </c>
      <c r="J17" s="7" t="s">
        <v>71</v>
      </c>
      <c r="K17" s="7"/>
      <c r="L17" s="8">
        <v>33</v>
      </c>
      <c r="M17" s="8">
        <v>33</v>
      </c>
      <c r="N17" s="124">
        <v>33</v>
      </c>
      <c r="O17" s="124">
        <v>0</v>
      </c>
      <c r="P17" s="124">
        <v>0</v>
      </c>
      <c r="Q17" s="124">
        <v>0</v>
      </c>
      <c r="R17" s="124">
        <v>0</v>
      </c>
      <c r="S17" s="124"/>
      <c r="T17" s="7" t="s">
        <v>67</v>
      </c>
      <c r="U17" s="7" t="s">
        <v>200</v>
      </c>
      <c r="V17" s="7" t="s">
        <v>198</v>
      </c>
      <c r="W17" s="7" t="s">
        <v>49</v>
      </c>
      <c r="X17" s="7" t="s">
        <v>96</v>
      </c>
    </row>
    <row r="18" spans="1:24" x14ac:dyDescent="0.25">
      <c r="A18" s="125">
        <v>45860</v>
      </c>
      <c r="B18" s="6" t="s">
        <v>58</v>
      </c>
      <c r="C18" s="6" t="str">
        <f t="shared" si="0"/>
        <v>Jul</v>
      </c>
      <c r="D18" s="39">
        <f t="shared" si="1"/>
        <v>2025</v>
      </c>
      <c r="E18" s="6">
        <v>16</v>
      </c>
      <c r="F18" s="6" t="s">
        <v>214</v>
      </c>
      <c r="G18" s="6" t="s">
        <v>69</v>
      </c>
      <c r="H18" s="21" t="s">
        <v>70</v>
      </c>
      <c r="I18" s="7" t="s">
        <v>52</v>
      </c>
      <c r="J18" s="7" t="s">
        <v>71</v>
      </c>
      <c r="K18" s="7"/>
      <c r="L18" s="8">
        <v>52</v>
      </c>
      <c r="M18" s="8">
        <v>52</v>
      </c>
      <c r="N18" s="124">
        <v>46</v>
      </c>
      <c r="O18" s="124">
        <v>0</v>
      </c>
      <c r="P18" s="124">
        <v>0</v>
      </c>
      <c r="Q18" s="124">
        <v>0</v>
      </c>
      <c r="R18" s="124">
        <v>0</v>
      </c>
      <c r="S18" s="124"/>
      <c r="T18" s="7" t="s">
        <v>67</v>
      </c>
      <c r="U18" s="7" t="s">
        <v>200</v>
      </c>
      <c r="V18" s="7" t="s">
        <v>198</v>
      </c>
      <c r="W18" s="7" t="s">
        <v>49</v>
      </c>
      <c r="X18" s="7" t="s">
        <v>296</v>
      </c>
    </row>
    <row r="19" spans="1:24" x14ac:dyDescent="0.25">
      <c r="A19" s="125">
        <v>45860</v>
      </c>
      <c r="B19" s="6" t="s">
        <v>58</v>
      </c>
      <c r="C19" s="6" t="str">
        <f t="shared" si="0"/>
        <v>Jul</v>
      </c>
      <c r="D19" s="39">
        <f t="shared" si="1"/>
        <v>2025</v>
      </c>
      <c r="E19" s="6">
        <v>17</v>
      </c>
      <c r="F19" s="6" t="s">
        <v>215</v>
      </c>
      <c r="G19" s="6" t="s">
        <v>69</v>
      </c>
      <c r="H19" s="21" t="s">
        <v>70</v>
      </c>
      <c r="I19" s="7" t="s">
        <v>52</v>
      </c>
      <c r="J19" s="7" t="s">
        <v>71</v>
      </c>
      <c r="K19" s="7"/>
      <c r="L19" s="8">
        <v>54</v>
      </c>
      <c r="M19" s="8">
        <v>54</v>
      </c>
      <c r="N19" s="124">
        <v>51</v>
      </c>
      <c r="O19" s="124">
        <v>0</v>
      </c>
      <c r="P19" s="124">
        <v>3</v>
      </c>
      <c r="Q19" s="124">
        <v>0</v>
      </c>
      <c r="R19" s="124">
        <v>0</v>
      </c>
      <c r="S19" s="124"/>
      <c r="T19" s="7" t="s">
        <v>67</v>
      </c>
      <c r="U19" s="7" t="s">
        <v>200</v>
      </c>
      <c r="V19" s="7" t="s">
        <v>198</v>
      </c>
      <c r="W19" s="7" t="s">
        <v>49</v>
      </c>
      <c r="X19" s="7" t="s">
        <v>293</v>
      </c>
    </row>
    <row r="20" spans="1:24" x14ac:dyDescent="0.25">
      <c r="A20" s="125">
        <v>45860</v>
      </c>
      <c r="B20" s="6" t="s">
        <v>58</v>
      </c>
      <c r="C20" s="6" t="str">
        <f t="shared" si="0"/>
        <v>Jul</v>
      </c>
      <c r="D20" s="39">
        <f t="shared" si="1"/>
        <v>2025</v>
      </c>
      <c r="E20" s="6">
        <v>18</v>
      </c>
      <c r="F20" s="6" t="s">
        <v>216</v>
      </c>
      <c r="G20" s="6" t="s">
        <v>69</v>
      </c>
      <c r="H20" s="21" t="s">
        <v>70</v>
      </c>
      <c r="I20" s="7" t="s">
        <v>52</v>
      </c>
      <c r="J20" s="7" t="s">
        <v>71</v>
      </c>
      <c r="K20" s="7"/>
      <c r="L20" s="8">
        <v>67</v>
      </c>
      <c r="M20" s="8">
        <v>67</v>
      </c>
      <c r="N20" s="124">
        <v>52</v>
      </c>
      <c r="O20" s="124">
        <v>0</v>
      </c>
      <c r="P20" s="124">
        <v>15</v>
      </c>
      <c r="Q20" s="124">
        <v>0</v>
      </c>
      <c r="R20" s="124">
        <v>0</v>
      </c>
      <c r="S20" s="124"/>
      <c r="T20" s="7" t="s">
        <v>67</v>
      </c>
      <c r="U20" s="7" t="s">
        <v>200</v>
      </c>
      <c r="V20" s="7" t="s">
        <v>198</v>
      </c>
      <c r="W20" s="7" t="s">
        <v>49</v>
      </c>
      <c r="X20" s="7" t="s">
        <v>294</v>
      </c>
    </row>
    <row r="21" spans="1:24" x14ac:dyDescent="0.25">
      <c r="A21" s="125">
        <v>45875</v>
      </c>
      <c r="B21" s="6" t="s">
        <v>58</v>
      </c>
      <c r="C21" s="6" t="str">
        <f t="shared" si="0"/>
        <v>Aug</v>
      </c>
      <c r="D21" s="39">
        <f t="shared" si="1"/>
        <v>2025</v>
      </c>
      <c r="E21" s="6">
        <v>19</v>
      </c>
      <c r="F21" s="6" t="s">
        <v>217</v>
      </c>
      <c r="G21" s="6" t="s">
        <v>69</v>
      </c>
      <c r="H21" s="21" t="s">
        <v>70</v>
      </c>
      <c r="I21" s="7" t="s">
        <v>52</v>
      </c>
      <c r="J21" s="7" t="s">
        <v>71</v>
      </c>
      <c r="K21" s="7"/>
      <c r="L21" s="8">
        <v>50</v>
      </c>
      <c r="M21" s="8">
        <v>50</v>
      </c>
      <c r="N21" s="124">
        <v>0</v>
      </c>
      <c r="O21" s="124">
        <v>50</v>
      </c>
      <c r="P21" s="124">
        <v>0</v>
      </c>
      <c r="Q21" s="124">
        <v>0</v>
      </c>
      <c r="R21" s="124">
        <v>0</v>
      </c>
      <c r="S21" s="124"/>
      <c r="T21" s="7" t="s">
        <v>67</v>
      </c>
      <c r="U21" s="7" t="s">
        <v>200</v>
      </c>
      <c r="V21" s="7" t="s">
        <v>198</v>
      </c>
      <c r="W21" s="7" t="s">
        <v>49</v>
      </c>
      <c r="X21" s="7" t="s">
        <v>103</v>
      </c>
    </row>
    <row r="22" spans="1:24" x14ac:dyDescent="0.25">
      <c r="A22" s="125">
        <v>45875</v>
      </c>
      <c r="B22" s="6" t="s">
        <v>58</v>
      </c>
      <c r="C22" s="6" t="str">
        <f t="shared" si="0"/>
        <v>Aug</v>
      </c>
      <c r="D22" s="39">
        <f t="shared" si="1"/>
        <v>2025</v>
      </c>
      <c r="E22" s="6">
        <v>20</v>
      </c>
      <c r="F22" s="6" t="s">
        <v>218</v>
      </c>
      <c r="G22" s="6" t="s">
        <v>69</v>
      </c>
      <c r="H22" s="21" t="s">
        <v>70</v>
      </c>
      <c r="I22" s="7" t="s">
        <v>52</v>
      </c>
      <c r="J22" s="7" t="s">
        <v>71</v>
      </c>
      <c r="K22" s="7"/>
      <c r="L22" s="8">
        <v>46</v>
      </c>
      <c r="M22" s="8">
        <v>46</v>
      </c>
      <c r="N22" s="124">
        <v>0</v>
      </c>
      <c r="O22" s="124">
        <v>46</v>
      </c>
      <c r="P22" s="124">
        <v>0</v>
      </c>
      <c r="Q22" s="124">
        <v>0</v>
      </c>
      <c r="R22" s="124">
        <v>0</v>
      </c>
      <c r="S22" s="124"/>
      <c r="T22" s="7" t="s">
        <v>67</v>
      </c>
      <c r="U22" s="7" t="s">
        <v>200</v>
      </c>
      <c r="V22" s="7" t="s">
        <v>198</v>
      </c>
      <c r="W22" s="7" t="s">
        <v>49</v>
      </c>
      <c r="X22" s="7" t="s">
        <v>104</v>
      </c>
    </row>
    <row r="23" spans="1:24" x14ac:dyDescent="0.25">
      <c r="A23" s="123">
        <v>45916</v>
      </c>
      <c r="B23" s="6" t="s">
        <v>58</v>
      </c>
      <c r="C23" s="6" t="str">
        <f t="shared" si="0"/>
        <v>Sep</v>
      </c>
      <c r="D23" s="39">
        <f t="shared" si="1"/>
        <v>2025</v>
      </c>
      <c r="E23" s="6">
        <v>21</v>
      </c>
      <c r="F23" s="6" t="s">
        <v>219</v>
      </c>
      <c r="G23" s="6" t="s">
        <v>69</v>
      </c>
      <c r="H23" s="21" t="s">
        <v>70</v>
      </c>
      <c r="I23" s="7" t="s">
        <v>52</v>
      </c>
      <c r="J23" s="7" t="s">
        <v>71</v>
      </c>
      <c r="K23" s="7"/>
      <c r="L23" s="8">
        <v>87</v>
      </c>
      <c r="M23" s="8">
        <f>87-20</f>
        <v>67</v>
      </c>
      <c r="N23" s="124">
        <v>0</v>
      </c>
      <c r="O23" s="124">
        <v>80</v>
      </c>
      <c r="P23" s="126">
        <v>7</v>
      </c>
      <c r="Q23" s="124">
        <v>0</v>
      </c>
      <c r="R23" s="124">
        <v>0</v>
      </c>
      <c r="S23" s="124"/>
      <c r="T23" s="7" t="s">
        <v>67</v>
      </c>
      <c r="U23" s="7" t="s">
        <v>200</v>
      </c>
      <c r="V23" s="7" t="s">
        <v>198</v>
      </c>
      <c r="W23" s="7" t="s">
        <v>49</v>
      </c>
      <c r="X23" s="7" t="s">
        <v>295</v>
      </c>
    </row>
    <row r="24" spans="1:24" x14ac:dyDescent="0.25">
      <c r="A24" s="123">
        <v>45916</v>
      </c>
      <c r="B24" s="6"/>
      <c r="C24" s="6" t="str">
        <f t="shared" si="0"/>
        <v>Sep</v>
      </c>
      <c r="D24" s="39">
        <f t="shared" si="1"/>
        <v>2025</v>
      </c>
      <c r="E24" s="6">
        <v>22</v>
      </c>
      <c r="F24" s="6" t="s">
        <v>220</v>
      </c>
      <c r="G24" s="6" t="s">
        <v>69</v>
      </c>
      <c r="H24" s="21" t="s">
        <v>70</v>
      </c>
      <c r="I24" s="7" t="s">
        <v>52</v>
      </c>
      <c r="J24" s="7" t="s">
        <v>71</v>
      </c>
      <c r="K24" s="7"/>
      <c r="L24" s="8">
        <v>60</v>
      </c>
      <c r="M24" s="8">
        <f>60-18</f>
        <v>42</v>
      </c>
      <c r="N24" s="124">
        <v>0</v>
      </c>
      <c r="O24" s="124">
        <v>60</v>
      </c>
      <c r="P24" s="124">
        <v>0</v>
      </c>
      <c r="Q24" s="124">
        <v>0</v>
      </c>
      <c r="R24" s="124">
        <v>0</v>
      </c>
      <c r="S24" s="124"/>
      <c r="T24" s="7" t="s">
        <v>67</v>
      </c>
      <c r="U24" s="7" t="s">
        <v>200</v>
      </c>
      <c r="V24" s="7" t="s">
        <v>198</v>
      </c>
      <c r="W24" s="7" t="s">
        <v>49</v>
      </c>
      <c r="X24" s="7" t="s">
        <v>106</v>
      </c>
    </row>
    <row r="25" spans="1:24" x14ac:dyDescent="0.25">
      <c r="A25" s="123">
        <v>45930</v>
      </c>
      <c r="B25" s="6" t="s">
        <v>58</v>
      </c>
      <c r="C25" s="6" t="str">
        <f t="shared" si="0"/>
        <v>Sep</v>
      </c>
      <c r="D25" s="39">
        <f t="shared" si="1"/>
        <v>2025</v>
      </c>
      <c r="E25" s="6">
        <v>23</v>
      </c>
      <c r="F25" s="6">
        <v>257625599</v>
      </c>
      <c r="G25" s="6" t="s">
        <v>69</v>
      </c>
      <c r="H25" s="21" t="s">
        <v>70</v>
      </c>
      <c r="I25" s="7" t="s">
        <v>52</v>
      </c>
      <c r="J25" s="7" t="s">
        <v>71</v>
      </c>
      <c r="K25" s="7"/>
      <c r="L25" s="8">
        <v>31</v>
      </c>
      <c r="M25" s="8">
        <f>31-9</f>
        <v>22</v>
      </c>
      <c r="N25" s="124">
        <v>0</v>
      </c>
      <c r="O25" s="124">
        <v>31</v>
      </c>
      <c r="P25" s="124">
        <v>0</v>
      </c>
      <c r="Q25" s="124">
        <v>0</v>
      </c>
      <c r="R25" s="124">
        <v>0</v>
      </c>
      <c r="S25" s="124"/>
      <c r="T25" s="7" t="s">
        <v>67</v>
      </c>
      <c r="U25" s="7" t="s">
        <v>200</v>
      </c>
      <c r="V25" s="7" t="s">
        <v>198</v>
      </c>
      <c r="W25" s="7" t="s">
        <v>49</v>
      </c>
      <c r="X25" s="7" t="s">
        <v>107</v>
      </c>
    </row>
    <row r="26" spans="1:24" x14ac:dyDescent="0.25">
      <c r="A26" s="125">
        <v>45930</v>
      </c>
      <c r="B26" s="6"/>
      <c r="C26" s="6" t="str">
        <f t="shared" si="0"/>
        <v>Sep</v>
      </c>
      <c r="D26" s="39">
        <f t="shared" si="1"/>
        <v>2025</v>
      </c>
      <c r="E26" s="6">
        <v>24</v>
      </c>
      <c r="F26" s="6">
        <v>257625382</v>
      </c>
      <c r="G26" s="6" t="s">
        <v>69</v>
      </c>
      <c r="H26" s="21" t="s">
        <v>70</v>
      </c>
      <c r="I26" s="7" t="s">
        <v>52</v>
      </c>
      <c r="J26" s="7" t="s">
        <v>71</v>
      </c>
      <c r="K26" s="7"/>
      <c r="L26" s="8">
        <v>40</v>
      </c>
      <c r="M26" s="8">
        <f>40-11</f>
        <v>29</v>
      </c>
      <c r="N26" s="124">
        <v>0</v>
      </c>
      <c r="O26" s="124">
        <v>40</v>
      </c>
      <c r="P26" s="124">
        <v>0</v>
      </c>
      <c r="Q26" s="124">
        <v>0</v>
      </c>
      <c r="R26" s="124">
        <v>0</v>
      </c>
      <c r="S26" s="124"/>
      <c r="T26" s="7" t="s">
        <v>67</v>
      </c>
      <c r="U26" s="7" t="s">
        <v>200</v>
      </c>
      <c r="V26" s="7" t="s">
        <v>198</v>
      </c>
      <c r="W26" s="7" t="s">
        <v>49</v>
      </c>
      <c r="X26" s="7" t="s">
        <v>108</v>
      </c>
    </row>
    <row r="27" spans="1:24" x14ac:dyDescent="0.25">
      <c r="A27" s="123">
        <v>45944</v>
      </c>
      <c r="B27" s="6" t="s">
        <v>58</v>
      </c>
      <c r="C27" s="6" t="str">
        <f t="shared" si="0"/>
        <v>Oct</v>
      </c>
      <c r="D27" s="39">
        <f t="shared" si="1"/>
        <v>2025</v>
      </c>
      <c r="E27" s="6">
        <v>25</v>
      </c>
      <c r="F27" s="6" t="s">
        <v>221</v>
      </c>
      <c r="G27" s="6" t="s">
        <v>69</v>
      </c>
      <c r="H27" s="21" t="s">
        <v>70</v>
      </c>
      <c r="I27" s="7" t="s">
        <v>52</v>
      </c>
      <c r="J27" s="7" t="s">
        <v>71</v>
      </c>
      <c r="K27" s="7"/>
      <c r="L27" s="8">
        <v>33</v>
      </c>
      <c r="M27" s="8">
        <f>33-13</f>
        <v>20</v>
      </c>
      <c r="N27" s="124">
        <v>0</v>
      </c>
      <c r="O27" s="124">
        <v>33</v>
      </c>
      <c r="P27" s="124">
        <v>0</v>
      </c>
      <c r="Q27" s="124">
        <v>0</v>
      </c>
      <c r="R27" s="124">
        <v>0</v>
      </c>
      <c r="S27" s="124"/>
      <c r="T27" s="7" t="s">
        <v>67</v>
      </c>
      <c r="U27" s="7" t="s">
        <v>200</v>
      </c>
      <c r="V27" s="7" t="s">
        <v>198</v>
      </c>
      <c r="W27" s="7" t="s">
        <v>49</v>
      </c>
      <c r="X27" s="7" t="s">
        <v>109</v>
      </c>
    </row>
    <row r="28" spans="1:24" x14ac:dyDescent="0.25">
      <c r="A28" s="123">
        <v>45944</v>
      </c>
      <c r="B28" s="6"/>
      <c r="C28" s="6" t="str">
        <f t="shared" si="0"/>
        <v>Oct</v>
      </c>
      <c r="D28" s="39">
        <f t="shared" si="1"/>
        <v>2025</v>
      </c>
      <c r="E28" s="6">
        <v>26</v>
      </c>
      <c r="F28" s="6" t="s">
        <v>222</v>
      </c>
      <c r="G28" s="6" t="s">
        <v>69</v>
      </c>
      <c r="H28" s="21" t="s">
        <v>70</v>
      </c>
      <c r="I28" s="7" t="s">
        <v>52</v>
      </c>
      <c r="J28" s="7" t="s">
        <v>71</v>
      </c>
      <c r="K28" s="7"/>
      <c r="L28" s="8">
        <v>24</v>
      </c>
      <c r="M28" s="8">
        <f>24-5</f>
        <v>19</v>
      </c>
      <c r="N28" s="124">
        <v>0</v>
      </c>
      <c r="O28" s="124">
        <v>24</v>
      </c>
      <c r="P28" s="124">
        <v>0</v>
      </c>
      <c r="Q28" s="124">
        <v>0</v>
      </c>
      <c r="R28" s="124">
        <v>0</v>
      </c>
      <c r="S28" s="124"/>
      <c r="T28" s="7" t="s">
        <v>67</v>
      </c>
      <c r="U28" s="7" t="s">
        <v>200</v>
      </c>
      <c r="V28" s="7" t="s">
        <v>198</v>
      </c>
      <c r="W28" s="7" t="s">
        <v>49</v>
      </c>
      <c r="X28" s="7" t="s">
        <v>111</v>
      </c>
    </row>
    <row r="29" spans="1:24" x14ac:dyDescent="0.25">
      <c r="A29" s="123">
        <v>45946</v>
      </c>
      <c r="B29" s="6" t="s">
        <v>58</v>
      </c>
      <c r="C29" s="6" t="str">
        <f t="shared" si="0"/>
        <v>Oct</v>
      </c>
      <c r="D29" s="39">
        <f t="shared" si="1"/>
        <v>2025</v>
      </c>
      <c r="E29" s="6">
        <v>27</v>
      </c>
      <c r="F29" s="6" t="s">
        <v>223</v>
      </c>
      <c r="G29" s="6" t="s">
        <v>69</v>
      </c>
      <c r="H29" s="21" t="s">
        <v>70</v>
      </c>
      <c r="I29" s="7" t="s">
        <v>52</v>
      </c>
      <c r="J29" s="7" t="s">
        <v>71</v>
      </c>
      <c r="K29" s="7"/>
      <c r="L29" s="8">
        <v>42</v>
      </c>
      <c r="M29" s="8">
        <f>42-18</f>
        <v>24</v>
      </c>
      <c r="N29" s="124">
        <v>0</v>
      </c>
      <c r="O29" s="124">
        <v>42</v>
      </c>
      <c r="P29" s="124">
        <v>0</v>
      </c>
      <c r="Q29" s="124">
        <v>0</v>
      </c>
      <c r="R29" s="124">
        <v>0</v>
      </c>
      <c r="S29" s="124"/>
      <c r="T29" s="7" t="s">
        <v>67</v>
      </c>
      <c r="U29" s="7" t="s">
        <v>200</v>
      </c>
      <c r="V29" s="7" t="s">
        <v>198</v>
      </c>
      <c r="W29" s="7" t="s">
        <v>49</v>
      </c>
      <c r="X29" s="7" t="s">
        <v>112</v>
      </c>
    </row>
    <row r="30" spans="1:24" x14ac:dyDescent="0.25">
      <c r="A30" s="123">
        <v>45946</v>
      </c>
      <c r="B30" s="6"/>
      <c r="C30" s="6" t="str">
        <f t="shared" si="0"/>
        <v>Oct</v>
      </c>
      <c r="D30" s="39">
        <f t="shared" si="1"/>
        <v>2025</v>
      </c>
      <c r="E30" s="6">
        <v>28</v>
      </c>
      <c r="F30" s="6" t="s">
        <v>224</v>
      </c>
      <c r="G30" s="6" t="s">
        <v>69</v>
      </c>
      <c r="H30" s="21" t="s">
        <v>70</v>
      </c>
      <c r="I30" s="7" t="s">
        <v>52</v>
      </c>
      <c r="J30" s="7" t="s">
        <v>71</v>
      </c>
      <c r="K30" s="7"/>
      <c r="L30" s="8">
        <v>41</v>
      </c>
      <c r="M30" s="8">
        <f>41-17</f>
        <v>24</v>
      </c>
      <c r="N30" s="124">
        <v>0</v>
      </c>
      <c r="O30" s="124">
        <v>41</v>
      </c>
      <c r="P30" s="124">
        <v>0</v>
      </c>
      <c r="Q30" s="124">
        <v>0</v>
      </c>
      <c r="R30" s="124">
        <v>0</v>
      </c>
      <c r="S30" s="124"/>
      <c r="T30" s="7" t="s">
        <v>67</v>
      </c>
      <c r="U30" s="7" t="s">
        <v>200</v>
      </c>
      <c r="V30" s="7" t="s">
        <v>198</v>
      </c>
      <c r="W30" s="7" t="s">
        <v>49</v>
      </c>
      <c r="X30" s="7" t="s">
        <v>113</v>
      </c>
    </row>
    <row r="31" spans="1:24" x14ac:dyDescent="0.25">
      <c r="A31" s="123">
        <v>45929</v>
      </c>
      <c r="B31" s="6" t="s">
        <v>58</v>
      </c>
      <c r="C31" s="6" t="str">
        <f t="shared" si="0"/>
        <v>Sep</v>
      </c>
      <c r="D31" s="39">
        <f t="shared" si="1"/>
        <v>2025</v>
      </c>
      <c r="E31" s="6">
        <v>29</v>
      </c>
      <c r="F31" s="6" t="s">
        <v>225</v>
      </c>
      <c r="G31" s="6" t="s">
        <v>69</v>
      </c>
      <c r="H31" s="21" t="s">
        <v>70</v>
      </c>
      <c r="I31" s="7" t="s">
        <v>75</v>
      </c>
      <c r="J31" s="7" t="s">
        <v>160</v>
      </c>
      <c r="K31" s="7"/>
      <c r="L31" s="8">
        <v>127</v>
      </c>
      <c r="M31" s="8">
        <v>127</v>
      </c>
      <c r="N31" s="124">
        <v>83</v>
      </c>
      <c r="O31" s="124">
        <v>40</v>
      </c>
      <c r="P31" s="124">
        <v>4</v>
      </c>
      <c r="Q31" s="124">
        <v>0</v>
      </c>
      <c r="R31" s="124">
        <v>0</v>
      </c>
      <c r="S31" s="124"/>
      <c r="T31" s="7" t="s">
        <v>67</v>
      </c>
      <c r="U31" s="7" t="s">
        <v>200</v>
      </c>
      <c r="V31" s="7" t="s">
        <v>198</v>
      </c>
      <c r="W31" s="7" t="s">
        <v>49</v>
      </c>
      <c r="X31" s="7" t="s">
        <v>115</v>
      </c>
    </row>
    <row r="32" spans="1:24" x14ac:dyDescent="0.25">
      <c r="A32" s="123">
        <v>45953</v>
      </c>
      <c r="B32" s="6" t="s">
        <v>58</v>
      </c>
      <c r="C32" s="6" t="str">
        <f t="shared" si="0"/>
        <v>Oct</v>
      </c>
      <c r="D32" s="39">
        <f t="shared" si="1"/>
        <v>2025</v>
      </c>
      <c r="E32" s="6">
        <v>30</v>
      </c>
      <c r="F32" s="6">
        <v>258447410</v>
      </c>
      <c r="G32" s="6" t="s">
        <v>69</v>
      </c>
      <c r="H32" s="21" t="s">
        <v>70</v>
      </c>
      <c r="I32" s="7" t="s">
        <v>52</v>
      </c>
      <c r="J32" s="7" t="s">
        <v>71</v>
      </c>
      <c r="K32" s="7"/>
      <c r="L32" s="8">
        <v>46</v>
      </c>
      <c r="M32" s="8">
        <v>46</v>
      </c>
      <c r="N32" s="124">
        <v>28</v>
      </c>
      <c r="O32" s="124">
        <v>18</v>
      </c>
      <c r="P32" s="124">
        <v>0</v>
      </c>
      <c r="Q32" s="124">
        <v>0</v>
      </c>
      <c r="R32" s="124">
        <v>0</v>
      </c>
      <c r="S32" s="124"/>
      <c r="T32" s="7" t="s">
        <v>67</v>
      </c>
      <c r="U32" s="7" t="s">
        <v>200</v>
      </c>
      <c r="V32" s="7" t="s">
        <v>198</v>
      </c>
      <c r="W32" s="7" t="s">
        <v>49</v>
      </c>
      <c r="X32" s="7" t="s">
        <v>118</v>
      </c>
    </row>
    <row r="33" spans="1:24" x14ac:dyDescent="0.25">
      <c r="A33" s="123">
        <v>45959</v>
      </c>
      <c r="B33" s="6" t="s">
        <v>58</v>
      </c>
      <c r="C33" s="6" t="str">
        <f t="shared" si="0"/>
        <v>Oct</v>
      </c>
      <c r="D33" s="39">
        <f t="shared" si="1"/>
        <v>2025</v>
      </c>
      <c r="E33" s="6">
        <v>31</v>
      </c>
      <c r="F33" s="6" t="s">
        <v>226</v>
      </c>
      <c r="G33" s="6" t="s">
        <v>69</v>
      </c>
      <c r="H33" s="21" t="s">
        <v>70</v>
      </c>
      <c r="I33" s="7" t="s">
        <v>75</v>
      </c>
      <c r="J33" s="7" t="s">
        <v>160</v>
      </c>
      <c r="K33" s="7"/>
      <c r="L33" s="8">
        <v>258</v>
      </c>
      <c r="M33" s="8">
        <f>258-9</f>
        <v>249</v>
      </c>
      <c r="N33" s="124">
        <v>125</v>
      </c>
      <c r="O33" s="124">
        <v>48</v>
      </c>
      <c r="P33" s="124">
        <v>85</v>
      </c>
      <c r="Q33" s="124">
        <v>0</v>
      </c>
      <c r="R33" s="124">
        <v>0</v>
      </c>
      <c r="S33" s="124"/>
      <c r="T33" s="7" t="s">
        <v>67</v>
      </c>
      <c r="U33" s="7" t="s">
        <v>200</v>
      </c>
      <c r="V33" s="7" t="s">
        <v>198</v>
      </c>
      <c r="W33" s="7" t="s">
        <v>49</v>
      </c>
      <c r="X33" s="7" t="s">
        <v>119</v>
      </c>
    </row>
    <row r="34" spans="1:24" x14ac:dyDescent="0.25">
      <c r="A34" s="123">
        <v>45966</v>
      </c>
      <c r="B34" s="6" t="s">
        <v>58</v>
      </c>
      <c r="C34" s="6" t="str">
        <f t="shared" si="0"/>
        <v>Nov</v>
      </c>
      <c r="D34" s="39">
        <f t="shared" si="1"/>
        <v>2025</v>
      </c>
      <c r="E34" s="6">
        <v>32</v>
      </c>
      <c r="F34" s="6" t="s">
        <v>227</v>
      </c>
      <c r="G34" s="6" t="s">
        <v>69</v>
      </c>
      <c r="H34" s="21" t="s">
        <v>70</v>
      </c>
      <c r="I34" s="7" t="s">
        <v>52</v>
      </c>
      <c r="J34" s="7" t="s">
        <v>71</v>
      </c>
      <c r="K34" s="7"/>
      <c r="L34" s="8">
        <v>33</v>
      </c>
      <c r="M34" s="8">
        <v>24</v>
      </c>
      <c r="N34" s="124">
        <v>0</v>
      </c>
      <c r="O34" s="124">
        <v>33</v>
      </c>
      <c r="P34" s="124">
        <v>0</v>
      </c>
      <c r="Q34" s="124">
        <v>0</v>
      </c>
      <c r="R34" s="124">
        <v>0</v>
      </c>
      <c r="S34" s="124"/>
      <c r="T34" s="7" t="s">
        <v>67</v>
      </c>
      <c r="U34" s="7" t="s">
        <v>200</v>
      </c>
      <c r="V34" s="7" t="s">
        <v>198</v>
      </c>
      <c r="W34" s="7" t="s">
        <v>49</v>
      </c>
      <c r="X34" s="7" t="s">
        <v>179</v>
      </c>
    </row>
    <row r="35" spans="1:24" x14ac:dyDescent="0.25">
      <c r="A35" s="125">
        <v>45966</v>
      </c>
      <c r="B35" s="6"/>
      <c r="C35" s="6" t="str">
        <f t="shared" si="0"/>
        <v>Nov</v>
      </c>
      <c r="D35" s="39">
        <f t="shared" si="1"/>
        <v>2025</v>
      </c>
      <c r="E35" s="6">
        <v>33</v>
      </c>
      <c r="F35" s="6" t="s">
        <v>228</v>
      </c>
      <c r="G35" s="6" t="s">
        <v>69</v>
      </c>
      <c r="H35" s="21" t="s">
        <v>70</v>
      </c>
      <c r="I35" s="7" t="s">
        <v>52</v>
      </c>
      <c r="J35" s="7" t="s">
        <v>71</v>
      </c>
      <c r="K35" s="7"/>
      <c r="L35" s="8">
        <v>71</v>
      </c>
      <c r="M35" s="8">
        <v>55</v>
      </c>
      <c r="N35" s="124">
        <v>0</v>
      </c>
      <c r="O35" s="124">
        <v>71</v>
      </c>
      <c r="P35" s="124">
        <v>0</v>
      </c>
      <c r="Q35" s="124">
        <v>0</v>
      </c>
      <c r="R35" s="124">
        <v>0</v>
      </c>
      <c r="S35" s="124"/>
      <c r="T35" s="7" t="s">
        <v>67</v>
      </c>
      <c r="U35" s="7" t="s">
        <v>200</v>
      </c>
      <c r="V35" s="7" t="s">
        <v>198</v>
      </c>
      <c r="W35" s="7" t="s">
        <v>49</v>
      </c>
      <c r="X35" s="7" t="s">
        <v>120</v>
      </c>
    </row>
    <row r="36" spans="1:24" x14ac:dyDescent="0.25">
      <c r="A36" s="123">
        <v>45972</v>
      </c>
      <c r="B36" s="21" t="s">
        <v>58</v>
      </c>
      <c r="C36" s="6" t="str">
        <f t="shared" si="0"/>
        <v>Nov</v>
      </c>
      <c r="D36" s="39">
        <f t="shared" si="1"/>
        <v>2025</v>
      </c>
      <c r="E36" s="6">
        <v>34</v>
      </c>
      <c r="F36" s="6">
        <v>259338012</v>
      </c>
      <c r="G36" s="6" t="s">
        <v>69</v>
      </c>
      <c r="H36" s="21" t="s">
        <v>70</v>
      </c>
      <c r="I36" s="7" t="s">
        <v>52</v>
      </c>
      <c r="J36" s="7" t="s">
        <v>71</v>
      </c>
      <c r="K36" s="7"/>
      <c r="L36" s="8">
        <v>44</v>
      </c>
      <c r="M36" s="8">
        <f>44-5</f>
        <v>39</v>
      </c>
      <c r="N36" s="124">
        <v>0</v>
      </c>
      <c r="O36" s="124">
        <v>44</v>
      </c>
      <c r="P36" s="124">
        <v>0</v>
      </c>
      <c r="Q36" s="124">
        <v>0</v>
      </c>
      <c r="R36" s="124">
        <v>0</v>
      </c>
      <c r="S36" s="124"/>
      <c r="T36" s="7" t="s">
        <v>67</v>
      </c>
      <c r="U36" s="7" t="s">
        <v>200</v>
      </c>
      <c r="V36" s="7" t="s">
        <v>198</v>
      </c>
      <c r="W36" s="7" t="s">
        <v>49</v>
      </c>
      <c r="X36" s="7" t="s">
        <v>121</v>
      </c>
    </row>
    <row r="37" spans="1:24" x14ac:dyDescent="0.25">
      <c r="A37" s="123">
        <v>45972</v>
      </c>
      <c r="B37" s="21"/>
      <c r="C37" s="6" t="str">
        <f t="shared" si="0"/>
        <v>Nov</v>
      </c>
      <c r="D37" s="39">
        <f t="shared" si="1"/>
        <v>2025</v>
      </c>
      <c r="E37" s="6">
        <v>35</v>
      </c>
      <c r="F37" s="6">
        <v>259649778</v>
      </c>
      <c r="G37" s="6" t="s">
        <v>69</v>
      </c>
      <c r="H37" s="21" t="s">
        <v>70</v>
      </c>
      <c r="I37" s="7" t="s">
        <v>52</v>
      </c>
      <c r="J37" s="7" t="s">
        <v>71</v>
      </c>
      <c r="K37" s="7"/>
      <c r="L37" s="8">
        <v>23</v>
      </c>
      <c r="M37" s="8">
        <f>23-7</f>
        <v>16</v>
      </c>
      <c r="N37" s="124">
        <v>0</v>
      </c>
      <c r="O37" s="124">
        <v>23</v>
      </c>
      <c r="P37" s="124">
        <v>0</v>
      </c>
      <c r="Q37" s="124">
        <v>0</v>
      </c>
      <c r="R37" s="124">
        <v>0</v>
      </c>
      <c r="S37" s="124"/>
      <c r="T37" s="7" t="s">
        <v>67</v>
      </c>
      <c r="U37" s="7" t="s">
        <v>200</v>
      </c>
      <c r="V37" s="7" t="s">
        <v>198</v>
      </c>
      <c r="W37" s="7" t="s">
        <v>49</v>
      </c>
      <c r="X37" s="7" t="s">
        <v>122</v>
      </c>
    </row>
    <row r="38" spans="1:24" x14ac:dyDescent="0.25">
      <c r="A38" s="125">
        <v>45978</v>
      </c>
      <c r="B38" s="6" t="s">
        <v>58</v>
      </c>
      <c r="C38" s="6" t="str">
        <f t="shared" si="0"/>
        <v>Nov</v>
      </c>
      <c r="D38" s="39">
        <f t="shared" si="1"/>
        <v>2025</v>
      </c>
      <c r="E38" s="6">
        <v>36</v>
      </c>
      <c r="F38" s="6" t="s">
        <v>229</v>
      </c>
      <c r="G38" s="6" t="s">
        <v>69</v>
      </c>
      <c r="H38" s="21" t="s">
        <v>70</v>
      </c>
      <c r="I38" s="7" t="s">
        <v>52</v>
      </c>
      <c r="J38" s="7" t="s">
        <v>71</v>
      </c>
      <c r="K38" s="7"/>
      <c r="L38" s="8">
        <v>84</v>
      </c>
      <c r="M38" s="8">
        <f>84-19</f>
        <v>65</v>
      </c>
      <c r="N38" s="124">
        <v>0</v>
      </c>
      <c r="O38" s="124">
        <v>84</v>
      </c>
      <c r="P38" s="124">
        <v>0</v>
      </c>
      <c r="Q38" s="124">
        <v>0</v>
      </c>
      <c r="R38" s="124">
        <v>0</v>
      </c>
      <c r="S38" s="124"/>
      <c r="T38" s="7" t="s">
        <v>67</v>
      </c>
      <c r="U38" s="7" t="s">
        <v>200</v>
      </c>
      <c r="V38" s="7" t="s">
        <v>198</v>
      </c>
      <c r="W38" s="7" t="s">
        <v>49</v>
      </c>
      <c r="X38" s="7" t="s">
        <v>123</v>
      </c>
    </row>
    <row r="39" spans="1:24" x14ac:dyDescent="0.25">
      <c r="A39" s="125">
        <v>45979</v>
      </c>
      <c r="B39" s="6" t="s">
        <v>58</v>
      </c>
      <c r="C39" s="6" t="str">
        <f t="shared" si="0"/>
        <v>Nov</v>
      </c>
      <c r="D39" s="39">
        <f t="shared" si="1"/>
        <v>2025</v>
      </c>
      <c r="E39" s="6">
        <v>37</v>
      </c>
      <c r="F39" s="6" t="s">
        <v>230</v>
      </c>
      <c r="G39" s="6" t="s">
        <v>69</v>
      </c>
      <c r="H39" s="21" t="s">
        <v>70</v>
      </c>
      <c r="I39" s="7" t="s">
        <v>52</v>
      </c>
      <c r="J39" s="7" t="s">
        <v>71</v>
      </c>
      <c r="K39" s="7"/>
      <c r="L39" s="8">
        <v>57</v>
      </c>
      <c r="M39" s="8">
        <f>57-8</f>
        <v>49</v>
      </c>
      <c r="N39" s="124">
        <v>0</v>
      </c>
      <c r="O39" s="124">
        <v>57</v>
      </c>
      <c r="P39" s="124">
        <v>0</v>
      </c>
      <c r="Q39" s="124">
        <v>0</v>
      </c>
      <c r="R39" s="124">
        <v>0</v>
      </c>
      <c r="S39" s="124"/>
      <c r="T39" s="7" t="s">
        <v>67</v>
      </c>
      <c r="U39" s="7" t="s">
        <v>200</v>
      </c>
      <c r="V39" s="7" t="s">
        <v>198</v>
      </c>
      <c r="W39" s="7" t="s">
        <v>49</v>
      </c>
      <c r="X39" s="7" t="s">
        <v>124</v>
      </c>
    </row>
    <row r="40" spans="1:24" x14ac:dyDescent="0.25">
      <c r="A40" s="125">
        <v>45993</v>
      </c>
      <c r="B40" s="6" t="s">
        <v>58</v>
      </c>
      <c r="C40" s="6" t="str">
        <f t="shared" si="0"/>
        <v>Dec</v>
      </c>
      <c r="D40" s="39">
        <f t="shared" si="1"/>
        <v>2025</v>
      </c>
      <c r="E40" s="6">
        <v>38</v>
      </c>
      <c r="F40" s="6">
        <v>257625599</v>
      </c>
      <c r="G40" s="6" t="s">
        <v>69</v>
      </c>
      <c r="H40" s="21" t="s">
        <v>70</v>
      </c>
      <c r="I40" s="7" t="s">
        <v>52</v>
      </c>
      <c r="J40" s="7" t="s">
        <v>71</v>
      </c>
      <c r="K40" s="7"/>
      <c r="L40" s="8">
        <v>35</v>
      </c>
      <c r="M40" s="8">
        <v>35</v>
      </c>
      <c r="N40" s="124">
        <v>0</v>
      </c>
      <c r="O40" s="124">
        <v>35</v>
      </c>
      <c r="P40" s="124">
        <v>0</v>
      </c>
      <c r="Q40" s="124">
        <v>0</v>
      </c>
      <c r="R40" s="124">
        <v>0</v>
      </c>
      <c r="S40" s="124"/>
      <c r="T40" s="7" t="s">
        <v>67</v>
      </c>
      <c r="U40" s="7" t="s">
        <v>200</v>
      </c>
      <c r="V40" s="7" t="s">
        <v>198</v>
      </c>
      <c r="W40" s="7" t="s">
        <v>49</v>
      </c>
      <c r="X40" s="7" t="s">
        <v>125</v>
      </c>
    </row>
    <row r="41" spans="1:24" x14ac:dyDescent="0.25">
      <c r="A41" s="125">
        <v>45993</v>
      </c>
      <c r="B41" s="6"/>
      <c r="C41" s="6" t="str">
        <f t="shared" si="0"/>
        <v>Dec</v>
      </c>
      <c r="D41" s="39">
        <f t="shared" si="1"/>
        <v>2025</v>
      </c>
      <c r="E41" s="6">
        <v>39</v>
      </c>
      <c r="F41" s="6">
        <v>257625490</v>
      </c>
      <c r="G41" s="6" t="s">
        <v>69</v>
      </c>
      <c r="H41" s="21" t="s">
        <v>70</v>
      </c>
      <c r="I41" s="7" t="s">
        <v>52</v>
      </c>
      <c r="J41" s="7" t="s">
        <v>71</v>
      </c>
      <c r="K41" s="7"/>
      <c r="L41" s="8">
        <v>37</v>
      </c>
      <c r="M41" s="8">
        <v>37</v>
      </c>
      <c r="N41" s="124">
        <v>0</v>
      </c>
      <c r="O41" s="124">
        <v>37</v>
      </c>
      <c r="P41" s="124">
        <v>0</v>
      </c>
      <c r="Q41" s="124">
        <v>0</v>
      </c>
      <c r="R41" s="124">
        <v>0</v>
      </c>
      <c r="S41" s="124"/>
      <c r="T41" s="7" t="s">
        <v>67</v>
      </c>
      <c r="U41" s="7" t="s">
        <v>200</v>
      </c>
      <c r="V41" s="7" t="s">
        <v>198</v>
      </c>
      <c r="W41" s="7" t="s">
        <v>49</v>
      </c>
      <c r="X41" s="7" t="s">
        <v>126</v>
      </c>
    </row>
    <row r="42" spans="1:24" x14ac:dyDescent="0.25">
      <c r="A42" s="123">
        <v>45993</v>
      </c>
      <c r="B42" s="6"/>
      <c r="C42" s="6" t="str">
        <f t="shared" si="0"/>
        <v>Dec</v>
      </c>
      <c r="D42" s="39">
        <f t="shared" si="1"/>
        <v>2025</v>
      </c>
      <c r="E42" s="6">
        <v>40</v>
      </c>
      <c r="F42" s="6">
        <v>257906213</v>
      </c>
      <c r="G42" s="6" t="s">
        <v>69</v>
      </c>
      <c r="H42" s="21" t="s">
        <v>70</v>
      </c>
      <c r="I42" s="7" t="s">
        <v>52</v>
      </c>
      <c r="J42" s="7" t="s">
        <v>71</v>
      </c>
      <c r="K42" s="7"/>
      <c r="L42" s="8">
        <v>24</v>
      </c>
      <c r="M42" s="8">
        <v>24</v>
      </c>
      <c r="N42" s="124">
        <v>0</v>
      </c>
      <c r="O42" s="124">
        <v>28</v>
      </c>
      <c r="P42" s="124">
        <v>24</v>
      </c>
      <c r="Q42" s="124">
        <v>0</v>
      </c>
      <c r="R42" s="124">
        <v>0</v>
      </c>
      <c r="S42" s="124"/>
      <c r="T42" s="7" t="s">
        <v>67</v>
      </c>
      <c r="U42" s="7" t="s">
        <v>200</v>
      </c>
      <c r="V42" s="7" t="s">
        <v>198</v>
      </c>
      <c r="W42" s="7" t="s">
        <v>49</v>
      </c>
      <c r="X42" s="7" t="s">
        <v>180</v>
      </c>
    </row>
    <row r="43" spans="1:24" x14ac:dyDescent="0.25">
      <c r="A43" s="123">
        <v>46006</v>
      </c>
      <c r="B43" s="6" t="s">
        <v>58</v>
      </c>
      <c r="C43" s="6" t="str">
        <f t="shared" si="0"/>
        <v>Dec</v>
      </c>
      <c r="D43" s="39">
        <f t="shared" si="1"/>
        <v>2025</v>
      </c>
      <c r="E43" s="6">
        <v>41</v>
      </c>
      <c r="F43" s="6" t="s">
        <v>231</v>
      </c>
      <c r="G43" s="6" t="s">
        <v>69</v>
      </c>
      <c r="H43" s="21" t="s">
        <v>70</v>
      </c>
      <c r="I43" s="7" t="s">
        <v>52</v>
      </c>
      <c r="J43" s="7" t="s">
        <v>71</v>
      </c>
      <c r="K43" s="7"/>
      <c r="L43" s="8">
        <v>55</v>
      </c>
      <c r="M43" s="8">
        <v>47</v>
      </c>
      <c r="N43" s="124">
        <v>0</v>
      </c>
      <c r="O43" s="124">
        <v>55</v>
      </c>
      <c r="P43" s="124">
        <v>0</v>
      </c>
      <c r="Q43" s="124">
        <v>0</v>
      </c>
      <c r="R43" s="124">
        <v>0</v>
      </c>
      <c r="S43" s="124"/>
      <c r="T43" s="7" t="s">
        <v>67</v>
      </c>
      <c r="U43" s="7" t="s">
        <v>200</v>
      </c>
      <c r="V43" s="7" t="s">
        <v>198</v>
      </c>
      <c r="W43" s="7" t="s">
        <v>49</v>
      </c>
      <c r="X43" s="7" t="s">
        <v>297</v>
      </c>
    </row>
    <row r="44" spans="1:24" x14ac:dyDescent="0.25">
      <c r="A44" s="123">
        <v>46006</v>
      </c>
      <c r="B44" s="6"/>
      <c r="C44" s="6" t="str">
        <f t="shared" si="0"/>
        <v>Dec</v>
      </c>
      <c r="D44" s="39">
        <f t="shared" si="1"/>
        <v>2025</v>
      </c>
      <c r="E44" s="6">
        <v>42</v>
      </c>
      <c r="F44" s="6" t="s">
        <v>232</v>
      </c>
      <c r="G44" s="6" t="s">
        <v>69</v>
      </c>
      <c r="H44" s="21" t="s">
        <v>70</v>
      </c>
      <c r="I44" s="7" t="s">
        <v>52</v>
      </c>
      <c r="J44" s="7" t="s">
        <v>71</v>
      </c>
      <c r="K44" s="7"/>
      <c r="L44" s="8">
        <v>92</v>
      </c>
      <c r="M44" s="8">
        <f>92-14-13</f>
        <v>65</v>
      </c>
      <c r="N44" s="124">
        <v>0</v>
      </c>
      <c r="O44" s="124">
        <v>76</v>
      </c>
      <c r="P44" s="124">
        <v>0</v>
      </c>
      <c r="Q44" s="124">
        <v>0</v>
      </c>
      <c r="R44" s="124">
        <v>0</v>
      </c>
      <c r="S44" s="124"/>
      <c r="T44" s="7" t="s">
        <v>67</v>
      </c>
      <c r="U44" s="7" t="s">
        <v>200</v>
      </c>
      <c r="V44" s="7" t="s">
        <v>198</v>
      </c>
      <c r="W44" s="7" t="s">
        <v>49</v>
      </c>
      <c r="X44" s="7" t="s">
        <v>129</v>
      </c>
    </row>
    <row r="45" spans="1:24" x14ac:dyDescent="0.25">
      <c r="A45" s="127">
        <v>46008</v>
      </c>
      <c r="B45" s="117" t="s">
        <v>58</v>
      </c>
      <c r="C45" s="117" t="str">
        <f t="shared" si="0"/>
        <v>Dec</v>
      </c>
      <c r="D45" s="39">
        <f t="shared" si="1"/>
        <v>2025</v>
      </c>
      <c r="E45" s="6">
        <v>43</v>
      </c>
      <c r="F45" s="6" t="s">
        <v>233</v>
      </c>
      <c r="G45" s="6" t="s">
        <v>69</v>
      </c>
      <c r="H45" s="21" t="s">
        <v>70</v>
      </c>
      <c r="I45" s="7" t="s">
        <v>75</v>
      </c>
      <c r="J45" s="7" t="s">
        <v>160</v>
      </c>
      <c r="K45" s="7"/>
      <c r="L45" s="8">
        <v>77</v>
      </c>
      <c r="M45" s="8">
        <f>77-13-5</f>
        <v>59</v>
      </c>
      <c r="N45" s="124">
        <v>5</v>
      </c>
      <c r="O45" s="124">
        <v>67</v>
      </c>
      <c r="P45" s="124">
        <v>5</v>
      </c>
      <c r="Q45" s="124">
        <v>0</v>
      </c>
      <c r="R45" s="124">
        <v>0</v>
      </c>
      <c r="S45" s="124"/>
      <c r="T45" s="7" t="s">
        <v>67</v>
      </c>
      <c r="U45" s="72" t="s">
        <v>200</v>
      </c>
      <c r="V45" s="72" t="s">
        <v>198</v>
      </c>
      <c r="W45" s="72" t="s">
        <v>49</v>
      </c>
      <c r="X45" s="7" t="s">
        <v>181</v>
      </c>
    </row>
    <row r="46" spans="1:24" x14ac:dyDescent="0.25">
      <c r="A46" s="125">
        <v>46028</v>
      </c>
      <c r="B46" s="6">
        <v>2026</v>
      </c>
      <c r="C46" s="6" t="str">
        <f t="shared" si="0"/>
        <v>Jan</v>
      </c>
      <c r="D46" s="39">
        <f t="shared" si="1"/>
        <v>2026</v>
      </c>
      <c r="E46" s="6">
        <v>44</v>
      </c>
      <c r="F46" s="6" t="s">
        <v>234</v>
      </c>
      <c r="G46" s="6" t="s">
        <v>69</v>
      </c>
      <c r="H46" s="21" t="s">
        <v>70</v>
      </c>
      <c r="I46" s="7" t="s">
        <v>52</v>
      </c>
      <c r="J46" s="7" t="s">
        <v>71</v>
      </c>
      <c r="K46" s="7"/>
      <c r="L46" s="8">
        <v>5</v>
      </c>
      <c r="M46" s="8">
        <f>5-2</f>
        <v>3</v>
      </c>
      <c r="N46" s="124">
        <v>0</v>
      </c>
      <c r="O46" s="124">
        <v>3</v>
      </c>
      <c r="P46" s="124">
        <v>2</v>
      </c>
      <c r="Q46" s="124">
        <v>0</v>
      </c>
      <c r="R46" s="124">
        <v>0</v>
      </c>
      <c r="S46" s="124"/>
      <c r="T46" s="7" t="s">
        <v>67</v>
      </c>
      <c r="U46" s="7" t="s">
        <v>200</v>
      </c>
      <c r="V46" s="7" t="s">
        <v>198</v>
      </c>
      <c r="W46" s="7" t="s">
        <v>49</v>
      </c>
      <c r="X46" s="7" t="s">
        <v>131</v>
      </c>
    </row>
    <row r="47" spans="1:24" x14ac:dyDescent="0.25">
      <c r="A47" s="123">
        <v>46028</v>
      </c>
      <c r="B47" s="21"/>
      <c r="C47" s="6" t="str">
        <f t="shared" si="0"/>
        <v>Jan</v>
      </c>
      <c r="D47" s="39">
        <f t="shared" si="1"/>
        <v>2026</v>
      </c>
      <c r="E47" s="6">
        <v>45</v>
      </c>
      <c r="F47" s="6" t="s">
        <v>235</v>
      </c>
      <c r="G47" s="6" t="s">
        <v>69</v>
      </c>
      <c r="H47" s="21" t="s">
        <v>70</v>
      </c>
      <c r="I47" s="7" t="s">
        <v>52</v>
      </c>
      <c r="J47" s="7" t="s">
        <v>71</v>
      </c>
      <c r="K47" s="7"/>
      <c r="L47" s="8">
        <v>70</v>
      </c>
      <c r="M47" s="8">
        <f>70-9</f>
        <v>61</v>
      </c>
      <c r="N47" s="124">
        <v>0</v>
      </c>
      <c r="O47" s="124">
        <v>24</v>
      </c>
      <c r="P47" s="124">
        <v>46</v>
      </c>
      <c r="Q47" s="124">
        <v>0</v>
      </c>
      <c r="R47" s="124">
        <v>0</v>
      </c>
      <c r="S47" s="124"/>
      <c r="T47" s="7" t="s">
        <v>67</v>
      </c>
      <c r="U47" s="7" t="s">
        <v>200</v>
      </c>
      <c r="V47" s="7" t="s">
        <v>198</v>
      </c>
      <c r="W47" s="7" t="s">
        <v>49</v>
      </c>
      <c r="X47" s="7" t="s">
        <v>132</v>
      </c>
    </row>
    <row r="48" spans="1:24" x14ac:dyDescent="0.25">
      <c r="A48" s="123">
        <v>45789</v>
      </c>
      <c r="B48" s="6" t="s">
        <v>58</v>
      </c>
      <c r="C48" s="6" t="s">
        <v>264</v>
      </c>
      <c r="D48" s="39">
        <v>2025</v>
      </c>
      <c r="E48" s="6">
        <v>46</v>
      </c>
      <c r="F48" s="6" t="s">
        <v>267</v>
      </c>
      <c r="G48" s="6" t="s">
        <v>69</v>
      </c>
      <c r="H48" s="21" t="s">
        <v>70</v>
      </c>
      <c r="I48" s="7" t="s">
        <v>252</v>
      </c>
      <c r="J48" s="7" t="s">
        <v>253</v>
      </c>
      <c r="K48" s="7"/>
      <c r="L48" s="8">
        <v>415</v>
      </c>
      <c r="M48" s="8">
        <v>415</v>
      </c>
      <c r="N48" s="124">
        <v>364</v>
      </c>
      <c r="O48" s="124">
        <v>0</v>
      </c>
      <c r="P48" s="124">
        <v>0</v>
      </c>
      <c r="Q48" s="124">
        <v>51</v>
      </c>
      <c r="R48" s="124">
        <v>0</v>
      </c>
      <c r="S48" s="124"/>
      <c r="T48" s="7" t="s">
        <v>254</v>
      </c>
      <c r="U48" s="7" t="s">
        <v>255</v>
      </c>
      <c r="V48" s="7" t="s">
        <v>198</v>
      </c>
      <c r="W48" s="7" t="s">
        <v>49</v>
      </c>
      <c r="X48" s="7" t="s">
        <v>256</v>
      </c>
    </row>
    <row r="49" spans="1:24" x14ac:dyDescent="0.25">
      <c r="A49" s="123">
        <v>45789</v>
      </c>
      <c r="B49" s="6" t="s">
        <v>58</v>
      </c>
      <c r="C49" s="6" t="s">
        <v>264</v>
      </c>
      <c r="D49" s="39">
        <v>2025</v>
      </c>
      <c r="E49" s="6">
        <v>47</v>
      </c>
      <c r="F49" s="6" t="s">
        <v>268</v>
      </c>
      <c r="G49" s="6" t="s">
        <v>69</v>
      </c>
      <c r="H49" s="21" t="s">
        <v>70</v>
      </c>
      <c r="I49" s="7" t="s">
        <v>258</v>
      </c>
      <c r="J49" s="7" t="s">
        <v>259</v>
      </c>
      <c r="K49" s="7"/>
      <c r="L49" s="8">
        <v>88</v>
      </c>
      <c r="M49" s="8">
        <v>88</v>
      </c>
      <c r="N49" s="124">
        <v>88</v>
      </c>
      <c r="O49" s="124">
        <v>0</v>
      </c>
      <c r="P49" s="124">
        <v>0</v>
      </c>
      <c r="Q49" s="124">
        <v>0</v>
      </c>
      <c r="R49" s="124">
        <v>0</v>
      </c>
      <c r="S49" s="124"/>
      <c r="T49" s="7" t="s">
        <v>260</v>
      </c>
      <c r="U49" s="7" t="s">
        <v>255</v>
      </c>
      <c r="V49" s="7" t="s">
        <v>198</v>
      </c>
      <c r="W49" s="7" t="s">
        <v>49</v>
      </c>
      <c r="X49" s="7" t="s">
        <v>261</v>
      </c>
    </row>
    <row r="50" spans="1:24" x14ac:dyDescent="0.25">
      <c r="A50" s="125">
        <v>45799</v>
      </c>
      <c r="B50" s="6" t="s">
        <v>58</v>
      </c>
      <c r="C50" s="6" t="s">
        <v>264</v>
      </c>
      <c r="D50" s="39">
        <v>2025</v>
      </c>
      <c r="E50" s="6">
        <v>48</v>
      </c>
      <c r="F50" s="6" t="s">
        <v>269</v>
      </c>
      <c r="G50" s="6" t="s">
        <v>69</v>
      </c>
      <c r="H50" s="21" t="s">
        <v>70</v>
      </c>
      <c r="I50" s="7" t="s">
        <v>252</v>
      </c>
      <c r="J50" s="7" t="s">
        <v>253</v>
      </c>
      <c r="K50" s="7"/>
      <c r="L50" s="8">
        <v>95</v>
      </c>
      <c r="M50" s="8">
        <v>95</v>
      </c>
      <c r="N50" s="124">
        <v>58</v>
      </c>
      <c r="O50" s="124">
        <v>0</v>
      </c>
      <c r="P50" s="124">
        <v>0</v>
      </c>
      <c r="Q50" s="124">
        <v>37</v>
      </c>
      <c r="R50" s="124">
        <v>0</v>
      </c>
      <c r="S50" s="124"/>
      <c r="T50" s="7" t="s">
        <v>254</v>
      </c>
      <c r="U50" s="7" t="s">
        <v>255</v>
      </c>
      <c r="V50" s="7" t="s">
        <v>198</v>
      </c>
      <c r="W50" s="7" t="s">
        <v>49</v>
      </c>
      <c r="X50" s="7" t="s">
        <v>262</v>
      </c>
    </row>
    <row r="51" spans="1:24" x14ac:dyDescent="0.25">
      <c r="A51" s="123">
        <v>46039</v>
      </c>
      <c r="B51" s="21">
        <v>2026</v>
      </c>
      <c r="C51" s="6" t="str">
        <f t="shared" si="0"/>
        <v>Jan</v>
      </c>
      <c r="D51" s="39">
        <f t="shared" si="1"/>
        <v>2026</v>
      </c>
      <c r="E51" s="6">
        <v>49</v>
      </c>
      <c r="F51" s="6" t="s">
        <v>236</v>
      </c>
      <c r="G51" s="6" t="s">
        <v>69</v>
      </c>
      <c r="H51" s="21" t="s">
        <v>70</v>
      </c>
      <c r="I51" s="7" t="s">
        <v>52</v>
      </c>
      <c r="J51" s="7" t="s">
        <v>71</v>
      </c>
      <c r="K51" s="7"/>
      <c r="L51" s="8">
        <v>45</v>
      </c>
      <c r="M51" s="8">
        <f>45-15</f>
        <v>30</v>
      </c>
      <c r="N51" s="124">
        <v>0</v>
      </c>
      <c r="O51" s="124">
        <v>45</v>
      </c>
      <c r="P51" s="124">
        <v>0</v>
      </c>
      <c r="Q51" s="124">
        <v>0</v>
      </c>
      <c r="R51" s="124">
        <v>0</v>
      </c>
      <c r="S51" s="124"/>
      <c r="T51" s="7" t="s">
        <v>67</v>
      </c>
      <c r="U51" s="7" t="s">
        <v>200</v>
      </c>
      <c r="V51" s="7" t="s">
        <v>198</v>
      </c>
      <c r="W51" s="7" t="s">
        <v>49</v>
      </c>
      <c r="X51" s="7" t="s">
        <v>133</v>
      </c>
    </row>
    <row r="52" spans="1:24" x14ac:dyDescent="0.25">
      <c r="A52" s="123">
        <v>46039</v>
      </c>
      <c r="B52" s="21"/>
      <c r="C52" s="6" t="str">
        <f t="shared" si="0"/>
        <v>Jan</v>
      </c>
      <c r="D52" s="39">
        <f t="shared" si="1"/>
        <v>2026</v>
      </c>
      <c r="E52" s="6">
        <v>50</v>
      </c>
      <c r="F52" s="6" t="s">
        <v>237</v>
      </c>
      <c r="G52" s="6" t="s">
        <v>69</v>
      </c>
      <c r="H52" s="21" t="s">
        <v>70</v>
      </c>
      <c r="I52" s="7" t="s">
        <v>52</v>
      </c>
      <c r="J52" s="7" t="s">
        <v>71</v>
      </c>
      <c r="K52" s="7"/>
      <c r="L52" s="8">
        <v>42</v>
      </c>
      <c r="M52" s="8">
        <f>42-8</f>
        <v>34</v>
      </c>
      <c r="N52" s="124">
        <v>0</v>
      </c>
      <c r="O52" s="124">
        <v>42</v>
      </c>
      <c r="P52" s="124">
        <v>0</v>
      </c>
      <c r="Q52" s="124">
        <v>0</v>
      </c>
      <c r="R52" s="124">
        <v>0</v>
      </c>
      <c r="S52" s="124"/>
      <c r="T52" s="7" t="s">
        <v>67</v>
      </c>
      <c r="U52" s="7" t="s">
        <v>200</v>
      </c>
      <c r="V52" s="7" t="s">
        <v>198</v>
      </c>
      <c r="W52" s="7" t="s">
        <v>49</v>
      </c>
      <c r="X52" s="7" t="s">
        <v>134</v>
      </c>
    </row>
    <row r="53" spans="1:24" x14ac:dyDescent="0.25">
      <c r="A53" s="123">
        <v>46039</v>
      </c>
      <c r="B53" s="21"/>
      <c r="C53" s="6" t="str">
        <f t="shared" si="0"/>
        <v>Jan</v>
      </c>
      <c r="D53" s="39">
        <f t="shared" si="1"/>
        <v>2026</v>
      </c>
      <c r="E53" s="6">
        <v>51</v>
      </c>
      <c r="F53" s="6" t="s">
        <v>238</v>
      </c>
      <c r="G53" s="6" t="s">
        <v>69</v>
      </c>
      <c r="H53" s="21" t="s">
        <v>70</v>
      </c>
      <c r="I53" s="7" t="s">
        <v>52</v>
      </c>
      <c r="J53" s="7" t="s">
        <v>71</v>
      </c>
      <c r="K53" s="7"/>
      <c r="L53" s="8">
        <v>23</v>
      </c>
      <c r="M53" s="8">
        <f>23-5</f>
        <v>18</v>
      </c>
      <c r="N53" s="124">
        <v>0</v>
      </c>
      <c r="O53" s="124">
        <v>23</v>
      </c>
      <c r="P53" s="124">
        <v>0</v>
      </c>
      <c r="Q53" s="124">
        <v>0</v>
      </c>
      <c r="R53" s="124">
        <v>0</v>
      </c>
      <c r="S53" s="124"/>
      <c r="T53" s="7" t="s">
        <v>67</v>
      </c>
      <c r="U53" s="7" t="s">
        <v>200</v>
      </c>
      <c r="V53" s="7" t="s">
        <v>198</v>
      </c>
      <c r="W53" s="7" t="s">
        <v>49</v>
      </c>
      <c r="X53" s="7" t="s">
        <v>135</v>
      </c>
    </row>
    <row r="54" spans="1:24" x14ac:dyDescent="0.25">
      <c r="A54" s="123">
        <v>46075</v>
      </c>
      <c r="B54" s="6"/>
      <c r="C54" s="6" t="str">
        <f t="shared" si="0"/>
        <v>Feb</v>
      </c>
      <c r="D54" s="39">
        <f t="shared" si="1"/>
        <v>2026</v>
      </c>
      <c r="E54" s="6">
        <v>52</v>
      </c>
      <c r="F54" s="6" t="s">
        <v>242</v>
      </c>
      <c r="G54" s="6" t="s">
        <v>136</v>
      </c>
      <c r="H54" s="21" t="s">
        <v>137</v>
      </c>
      <c r="I54" s="7">
        <v>4000000058</v>
      </c>
      <c r="J54" s="7" t="s">
        <v>71</v>
      </c>
      <c r="K54" s="7"/>
      <c r="L54" s="8">
        <v>36</v>
      </c>
      <c r="M54" s="8">
        <f>36-5</f>
        <v>31</v>
      </c>
      <c r="N54" s="124">
        <v>0</v>
      </c>
      <c r="O54" s="124">
        <v>23</v>
      </c>
      <c r="P54" s="124">
        <v>13</v>
      </c>
      <c r="Q54" s="124">
        <v>0</v>
      </c>
      <c r="R54" s="124">
        <v>0</v>
      </c>
      <c r="S54" s="124"/>
      <c r="T54" s="7" t="s">
        <v>67</v>
      </c>
      <c r="U54" s="7" t="s">
        <v>200</v>
      </c>
      <c r="V54" s="7" t="s">
        <v>198</v>
      </c>
      <c r="W54" s="7" t="s">
        <v>49</v>
      </c>
      <c r="X54" s="7" t="s">
        <v>182</v>
      </c>
    </row>
    <row r="55" spans="1:24" x14ac:dyDescent="0.25">
      <c r="A55" s="123">
        <v>46075</v>
      </c>
      <c r="B55" s="6"/>
      <c r="C55" s="6" t="str">
        <f t="shared" si="0"/>
        <v>Feb</v>
      </c>
      <c r="D55" s="39">
        <f t="shared" si="1"/>
        <v>2026</v>
      </c>
      <c r="E55" s="6">
        <v>53</v>
      </c>
      <c r="F55" s="6" t="s">
        <v>243</v>
      </c>
      <c r="G55" s="6" t="s">
        <v>136</v>
      </c>
      <c r="H55" s="21" t="s">
        <v>137</v>
      </c>
      <c r="I55" s="7">
        <v>4000000058</v>
      </c>
      <c r="J55" s="7" t="s">
        <v>71</v>
      </c>
      <c r="K55" s="7"/>
      <c r="L55" s="8">
        <v>29</v>
      </c>
      <c r="M55" s="8">
        <f>29-9</f>
        <v>20</v>
      </c>
      <c r="N55" s="124">
        <v>0</v>
      </c>
      <c r="O55" s="124">
        <v>1</v>
      </c>
      <c r="P55" s="124">
        <v>28</v>
      </c>
      <c r="Q55" s="124">
        <v>0</v>
      </c>
      <c r="R55" s="124">
        <v>0</v>
      </c>
      <c r="S55" s="124"/>
      <c r="T55" s="7" t="s">
        <v>67</v>
      </c>
      <c r="U55" s="7" t="s">
        <v>200</v>
      </c>
      <c r="V55" s="7" t="s">
        <v>198</v>
      </c>
      <c r="W55" s="7" t="s">
        <v>49</v>
      </c>
      <c r="X55" s="7" t="s">
        <v>183</v>
      </c>
    </row>
    <row r="56" spans="1:24" x14ac:dyDescent="0.25">
      <c r="A56" s="123">
        <v>46075</v>
      </c>
      <c r="B56" s="6"/>
      <c r="C56" s="6" t="str">
        <f t="shared" si="0"/>
        <v>Feb</v>
      </c>
      <c r="D56" s="39">
        <f t="shared" si="1"/>
        <v>2026</v>
      </c>
      <c r="E56" s="6">
        <v>54</v>
      </c>
      <c r="F56" s="6" t="s">
        <v>244</v>
      </c>
      <c r="G56" s="6" t="s">
        <v>136</v>
      </c>
      <c r="H56" s="21" t="s">
        <v>137</v>
      </c>
      <c r="I56" s="7">
        <v>4000000058</v>
      </c>
      <c r="J56" s="7" t="s">
        <v>71</v>
      </c>
      <c r="K56" s="7"/>
      <c r="L56" s="8">
        <v>45</v>
      </c>
      <c r="M56" s="8">
        <f>45-12</f>
        <v>33</v>
      </c>
      <c r="N56" s="124">
        <v>0</v>
      </c>
      <c r="O56" s="124">
        <v>1</v>
      </c>
      <c r="P56" s="124">
        <v>44</v>
      </c>
      <c r="Q56" s="124">
        <v>0</v>
      </c>
      <c r="R56" s="124">
        <v>0</v>
      </c>
      <c r="S56" s="124"/>
      <c r="T56" s="7" t="s">
        <v>67</v>
      </c>
      <c r="U56" s="7" t="s">
        <v>200</v>
      </c>
      <c r="V56" s="7" t="s">
        <v>198</v>
      </c>
      <c r="W56" s="7" t="s">
        <v>49</v>
      </c>
      <c r="X56" s="7" t="s">
        <v>184</v>
      </c>
    </row>
    <row r="57" spans="1:24" x14ac:dyDescent="0.25">
      <c r="A57" s="123">
        <v>46089</v>
      </c>
      <c r="B57" s="6" t="s">
        <v>58</v>
      </c>
      <c r="C57" s="6" t="str">
        <f t="shared" si="0"/>
        <v>Mar</v>
      </c>
      <c r="D57" s="39">
        <f t="shared" si="1"/>
        <v>2026</v>
      </c>
      <c r="E57" s="6">
        <v>55</v>
      </c>
      <c r="F57" s="6" t="s">
        <v>239</v>
      </c>
      <c r="G57" s="6" t="s">
        <v>136</v>
      </c>
      <c r="H57" s="21" t="s">
        <v>137</v>
      </c>
      <c r="I57" s="7">
        <v>4000000058</v>
      </c>
      <c r="J57" s="7" t="s">
        <v>71</v>
      </c>
      <c r="K57" s="7"/>
      <c r="L57" s="8">
        <v>37</v>
      </c>
      <c r="M57" s="8">
        <f>37-9</f>
        <v>28</v>
      </c>
      <c r="N57" s="124">
        <v>0</v>
      </c>
      <c r="O57" s="124">
        <v>26</v>
      </c>
      <c r="P57" s="124">
        <v>11</v>
      </c>
      <c r="Q57" s="124">
        <v>0</v>
      </c>
      <c r="R57" s="124">
        <v>0</v>
      </c>
      <c r="S57" s="124"/>
      <c r="T57" s="7" t="s">
        <v>67</v>
      </c>
      <c r="U57" s="7" t="s">
        <v>200</v>
      </c>
      <c r="V57" s="7" t="s">
        <v>198</v>
      </c>
      <c r="W57" s="7" t="s">
        <v>49</v>
      </c>
      <c r="X57" s="7" t="s">
        <v>138</v>
      </c>
    </row>
    <row r="58" spans="1:24" x14ac:dyDescent="0.25">
      <c r="A58" s="123">
        <v>46089</v>
      </c>
      <c r="B58" s="6">
        <v>2026</v>
      </c>
      <c r="C58" s="6" t="str">
        <f t="shared" si="0"/>
        <v>Mar</v>
      </c>
      <c r="D58" s="39">
        <f t="shared" si="1"/>
        <v>2026</v>
      </c>
      <c r="E58" s="6">
        <v>56</v>
      </c>
      <c r="F58" s="6" t="s">
        <v>245</v>
      </c>
      <c r="G58" s="6" t="s">
        <v>139</v>
      </c>
      <c r="H58" s="21" t="s">
        <v>70</v>
      </c>
      <c r="I58" s="7">
        <v>4000000088</v>
      </c>
      <c r="J58" s="7" t="s">
        <v>160</v>
      </c>
      <c r="K58" s="7"/>
      <c r="L58" s="8">
        <v>71</v>
      </c>
      <c r="M58" s="8">
        <f>71-13</f>
        <v>58</v>
      </c>
      <c r="N58" s="124">
        <v>0</v>
      </c>
      <c r="O58" s="124">
        <v>56</v>
      </c>
      <c r="P58" s="124">
        <v>15</v>
      </c>
      <c r="Q58" s="124">
        <v>0</v>
      </c>
      <c r="R58" s="124">
        <v>0</v>
      </c>
      <c r="S58" s="124"/>
      <c r="T58" s="7" t="s">
        <v>67</v>
      </c>
      <c r="U58" s="7" t="s">
        <v>200</v>
      </c>
      <c r="V58" s="7" t="s">
        <v>198</v>
      </c>
      <c r="W58" s="7" t="s">
        <v>49</v>
      </c>
      <c r="X58" s="7" t="s">
        <v>140</v>
      </c>
    </row>
    <row r="59" spans="1:24" x14ac:dyDescent="0.25">
      <c r="A59" s="123">
        <v>46089</v>
      </c>
      <c r="B59" s="6"/>
      <c r="C59" s="6" t="str">
        <f t="shared" si="0"/>
        <v>Mar</v>
      </c>
      <c r="D59" s="39">
        <f t="shared" si="1"/>
        <v>2026</v>
      </c>
      <c r="E59" s="6">
        <v>57</v>
      </c>
      <c r="F59" s="6" t="s">
        <v>240</v>
      </c>
      <c r="G59" s="6" t="s">
        <v>139</v>
      </c>
      <c r="H59" s="21" t="s">
        <v>70</v>
      </c>
      <c r="I59" s="7">
        <v>4000000088</v>
      </c>
      <c r="J59" s="7" t="s">
        <v>160</v>
      </c>
      <c r="K59" s="7"/>
      <c r="L59" s="8">
        <v>221</v>
      </c>
      <c r="M59" s="8">
        <f>221-16-3-3-3</f>
        <v>196</v>
      </c>
      <c r="N59" s="124">
        <v>117</v>
      </c>
      <c r="O59" s="124">
        <v>97</v>
      </c>
      <c r="P59" s="124">
        <v>7</v>
      </c>
      <c r="Q59" s="124">
        <v>0</v>
      </c>
      <c r="R59" s="124">
        <v>0</v>
      </c>
      <c r="S59" s="124"/>
      <c r="T59" s="7" t="s">
        <v>67</v>
      </c>
      <c r="U59" s="7" t="s">
        <v>200</v>
      </c>
      <c r="V59" s="7" t="s">
        <v>198</v>
      </c>
      <c r="W59" s="7" t="s">
        <v>49</v>
      </c>
      <c r="X59" s="7" t="s">
        <v>143</v>
      </c>
    </row>
    <row r="60" spans="1:24" x14ac:dyDescent="0.25">
      <c r="A60" s="123">
        <v>46118</v>
      </c>
      <c r="B60" s="6"/>
      <c r="C60" s="6" t="str">
        <f t="shared" si="0"/>
        <v>Apr</v>
      </c>
      <c r="D60" s="39">
        <f t="shared" si="1"/>
        <v>2026</v>
      </c>
      <c r="E60" s="6">
        <v>58</v>
      </c>
      <c r="F60" s="6" t="s">
        <v>246</v>
      </c>
      <c r="G60" s="6" t="s">
        <v>139</v>
      </c>
      <c r="H60" s="21" t="s">
        <v>70</v>
      </c>
      <c r="I60" s="7">
        <v>4000000088</v>
      </c>
      <c r="J60" s="7" t="s">
        <v>160</v>
      </c>
      <c r="K60" s="7"/>
      <c r="L60" s="8">
        <v>98</v>
      </c>
      <c r="M60" s="8">
        <f>98-18</f>
        <v>80</v>
      </c>
      <c r="N60" s="124">
        <v>13</v>
      </c>
      <c r="O60" s="124">
        <v>85</v>
      </c>
      <c r="P60" s="124">
        <v>0</v>
      </c>
      <c r="Q60" s="124">
        <v>0</v>
      </c>
      <c r="R60" s="124">
        <v>0</v>
      </c>
      <c r="S60" s="124"/>
      <c r="T60" s="7" t="s">
        <v>67</v>
      </c>
      <c r="U60" s="7" t="s">
        <v>200</v>
      </c>
      <c r="V60" s="7" t="s">
        <v>198</v>
      </c>
      <c r="W60" s="7" t="s">
        <v>49</v>
      </c>
      <c r="X60" s="7" t="s">
        <v>145</v>
      </c>
    </row>
    <row r="61" spans="1:24" x14ac:dyDescent="0.25">
      <c r="A61" s="125">
        <v>46119</v>
      </c>
      <c r="B61" s="6"/>
      <c r="C61" s="6" t="str">
        <f t="shared" si="0"/>
        <v>Apr</v>
      </c>
      <c r="D61" s="39">
        <f t="shared" si="1"/>
        <v>2026</v>
      </c>
      <c r="E61" s="6">
        <v>59</v>
      </c>
      <c r="F61" s="6" t="s">
        <v>248</v>
      </c>
      <c r="G61" s="6" t="s">
        <v>139</v>
      </c>
      <c r="H61" s="21" t="s">
        <v>70</v>
      </c>
      <c r="I61" s="7">
        <v>4000000058</v>
      </c>
      <c r="J61" s="7" t="s">
        <v>71</v>
      </c>
      <c r="K61" s="7"/>
      <c r="L61" s="8">
        <v>179</v>
      </c>
      <c r="M61" s="8">
        <f>179-11-2</f>
        <v>166</v>
      </c>
      <c r="N61" s="124">
        <v>45</v>
      </c>
      <c r="O61" s="124">
        <v>39</v>
      </c>
      <c r="P61" s="124">
        <v>95</v>
      </c>
      <c r="Q61" s="124">
        <v>0</v>
      </c>
      <c r="R61" s="124">
        <v>0</v>
      </c>
      <c r="S61" s="124"/>
      <c r="T61" s="7" t="s">
        <v>67</v>
      </c>
      <c r="U61" s="7" t="s">
        <v>200</v>
      </c>
      <c r="V61" s="7" t="s">
        <v>198</v>
      </c>
      <c r="W61" s="7" t="s">
        <v>49</v>
      </c>
      <c r="X61" s="7" t="s">
        <v>280</v>
      </c>
    </row>
    <row r="62" spans="1:24" x14ac:dyDescent="0.25">
      <c r="A62" s="123">
        <v>46119</v>
      </c>
      <c r="B62" s="21"/>
      <c r="C62" s="6" t="str">
        <f t="shared" si="0"/>
        <v>Apr</v>
      </c>
      <c r="D62" s="39">
        <f t="shared" si="1"/>
        <v>2026</v>
      </c>
      <c r="E62" s="6">
        <v>60</v>
      </c>
      <c r="F62" s="6" t="s">
        <v>247</v>
      </c>
      <c r="G62" s="6" t="s">
        <v>136</v>
      </c>
      <c r="H62" s="21" t="s">
        <v>137</v>
      </c>
      <c r="I62" s="7">
        <v>4000000058</v>
      </c>
      <c r="J62" s="7" t="s">
        <v>71</v>
      </c>
      <c r="K62" s="7"/>
      <c r="L62" s="8">
        <v>37</v>
      </c>
      <c r="M62" s="8">
        <f>37-14-3-1</f>
        <v>19</v>
      </c>
      <c r="N62" s="124">
        <v>0</v>
      </c>
      <c r="O62" s="124">
        <v>36</v>
      </c>
      <c r="P62" s="124">
        <v>1</v>
      </c>
      <c r="Q62" s="124">
        <v>0</v>
      </c>
      <c r="R62" s="124">
        <v>0</v>
      </c>
      <c r="S62" s="124"/>
      <c r="T62" s="7" t="s">
        <v>67</v>
      </c>
      <c r="U62" s="7" t="s">
        <v>200</v>
      </c>
      <c r="V62" s="7" t="s">
        <v>198</v>
      </c>
      <c r="W62" s="7" t="s">
        <v>49</v>
      </c>
      <c r="X62" s="7" t="s">
        <v>148</v>
      </c>
    </row>
    <row r="63" spans="1:24" x14ac:dyDescent="0.25">
      <c r="A63" s="123">
        <v>46119</v>
      </c>
      <c r="B63" s="21"/>
      <c r="C63" s="6" t="str">
        <f t="shared" si="0"/>
        <v>Apr</v>
      </c>
      <c r="D63" s="39">
        <f t="shared" si="1"/>
        <v>2026</v>
      </c>
      <c r="E63" s="6">
        <v>61</v>
      </c>
      <c r="F63" s="6" t="s">
        <v>249</v>
      </c>
      <c r="G63" s="6" t="s">
        <v>139</v>
      </c>
      <c r="H63" s="21" t="s">
        <v>70</v>
      </c>
      <c r="I63" s="7">
        <v>4000000058</v>
      </c>
      <c r="J63" s="7" t="s">
        <v>71</v>
      </c>
      <c r="K63" s="7"/>
      <c r="L63" s="8">
        <v>72</v>
      </c>
      <c r="M63" s="8">
        <f>72-6</f>
        <v>66</v>
      </c>
      <c r="N63" s="124">
        <v>43</v>
      </c>
      <c r="O63" s="124">
        <v>22</v>
      </c>
      <c r="P63" s="124">
        <v>7</v>
      </c>
      <c r="Q63" s="124">
        <v>0</v>
      </c>
      <c r="R63" s="124">
        <v>0</v>
      </c>
      <c r="S63" s="124"/>
      <c r="T63" s="7" t="s">
        <v>67</v>
      </c>
      <c r="U63" s="7" t="s">
        <v>200</v>
      </c>
      <c r="V63" s="7" t="s">
        <v>198</v>
      </c>
      <c r="W63" s="7" t="s">
        <v>49</v>
      </c>
      <c r="X63" s="7" t="s">
        <v>149</v>
      </c>
    </row>
    <row r="64" spans="1:24" x14ac:dyDescent="0.25">
      <c r="A64" s="123">
        <v>46120</v>
      </c>
      <c r="B64" s="6"/>
      <c r="C64" s="6" t="s">
        <v>265</v>
      </c>
      <c r="D64" s="39">
        <v>2026</v>
      </c>
      <c r="E64" s="6">
        <v>62</v>
      </c>
      <c r="F64" s="6" t="s">
        <v>250</v>
      </c>
      <c r="G64" s="6" t="s">
        <v>139</v>
      </c>
      <c r="H64" s="21" t="s">
        <v>70</v>
      </c>
      <c r="I64" s="7">
        <v>4000000058</v>
      </c>
      <c r="J64" s="7" t="s">
        <v>71</v>
      </c>
      <c r="K64" s="7"/>
      <c r="L64" s="8">
        <v>206</v>
      </c>
      <c r="M64" s="8">
        <f>206-13</f>
        <v>193</v>
      </c>
      <c r="N64" s="124">
        <v>0</v>
      </c>
      <c r="O64" s="124">
        <v>49</v>
      </c>
      <c r="P64" s="124">
        <v>157</v>
      </c>
      <c r="Q64" s="124">
        <v>0</v>
      </c>
      <c r="R64" s="124">
        <v>0</v>
      </c>
      <c r="S64" s="124"/>
      <c r="T64" s="7" t="s">
        <v>67</v>
      </c>
      <c r="U64" s="7" t="s">
        <v>200</v>
      </c>
      <c r="V64" s="7" t="s">
        <v>198</v>
      </c>
      <c r="W64" s="7" t="s">
        <v>49</v>
      </c>
      <c r="X64" s="7" t="s">
        <v>150</v>
      </c>
    </row>
    <row r="65" spans="1:24" x14ac:dyDescent="0.25">
      <c r="A65" s="123">
        <v>46120</v>
      </c>
      <c r="B65" s="6"/>
      <c r="C65" s="6" t="s">
        <v>265</v>
      </c>
      <c r="D65" s="39">
        <v>2026</v>
      </c>
      <c r="E65" s="6">
        <v>63</v>
      </c>
      <c r="F65" s="6" t="s">
        <v>241</v>
      </c>
      <c r="G65" s="6" t="s">
        <v>139</v>
      </c>
      <c r="H65" s="21" t="s">
        <v>70</v>
      </c>
      <c r="I65" s="7">
        <v>4000000058</v>
      </c>
      <c r="J65" s="7" t="s">
        <v>71</v>
      </c>
      <c r="K65" s="7"/>
      <c r="L65" s="8">
        <v>66</v>
      </c>
      <c r="M65" s="8">
        <f>66-17</f>
        <v>49</v>
      </c>
      <c r="N65" s="124">
        <v>0</v>
      </c>
      <c r="O65" s="124">
        <v>66</v>
      </c>
      <c r="P65" s="124">
        <v>0</v>
      </c>
      <c r="Q65" s="124">
        <v>0</v>
      </c>
      <c r="R65" s="124">
        <v>0</v>
      </c>
      <c r="S65" s="124"/>
      <c r="T65" s="7" t="s">
        <v>67</v>
      </c>
      <c r="U65" s="7" t="s">
        <v>200</v>
      </c>
      <c r="V65" s="7" t="s">
        <v>198</v>
      </c>
      <c r="W65" s="7" t="s">
        <v>49</v>
      </c>
      <c r="X65" s="7" t="s">
        <v>152</v>
      </c>
    </row>
    <row r="66" spans="1:24" x14ac:dyDescent="0.25">
      <c r="A66" s="123">
        <v>46120</v>
      </c>
      <c r="B66" s="6"/>
      <c r="C66" s="6" t="s">
        <v>265</v>
      </c>
      <c r="D66" s="39">
        <v>2026</v>
      </c>
      <c r="E66" s="6">
        <v>64</v>
      </c>
      <c r="F66" s="6" t="s">
        <v>251</v>
      </c>
      <c r="G66" s="6" t="s">
        <v>153</v>
      </c>
      <c r="H66" s="21" t="s">
        <v>154</v>
      </c>
      <c r="I66" s="7">
        <v>4000000088</v>
      </c>
      <c r="J66" s="7" t="s">
        <v>160</v>
      </c>
      <c r="K66" s="7"/>
      <c r="L66" s="8">
        <v>149</v>
      </c>
      <c r="M66" s="8">
        <v>149</v>
      </c>
      <c r="N66" s="124">
        <v>101</v>
      </c>
      <c r="O66" s="124">
        <v>48</v>
      </c>
      <c r="P66" s="124">
        <v>0</v>
      </c>
      <c r="Q66" s="124">
        <v>0</v>
      </c>
      <c r="R66" s="124">
        <v>0</v>
      </c>
      <c r="S66" s="124"/>
      <c r="T66" s="7" t="s">
        <v>67</v>
      </c>
      <c r="U66" s="7" t="s">
        <v>200</v>
      </c>
      <c r="V66" s="7" t="s">
        <v>198</v>
      </c>
      <c r="W66" s="7" t="s">
        <v>49</v>
      </c>
      <c r="X66" s="7" t="s">
        <v>273</v>
      </c>
    </row>
    <row r="67" spans="1:24" x14ac:dyDescent="0.25">
      <c r="A67" s="123">
        <v>46152</v>
      </c>
      <c r="B67" s="6"/>
      <c r="C67" s="6" t="s">
        <v>264</v>
      </c>
      <c r="D67" s="39">
        <v>2026</v>
      </c>
      <c r="E67" s="6">
        <v>65</v>
      </c>
      <c r="F67" s="6" t="s">
        <v>271</v>
      </c>
      <c r="G67" s="6" t="s">
        <v>136</v>
      </c>
      <c r="H67" s="21" t="s">
        <v>137</v>
      </c>
      <c r="I67" s="7">
        <v>4000000058</v>
      </c>
      <c r="J67" s="7" t="s">
        <v>71</v>
      </c>
      <c r="K67" s="7"/>
      <c r="L67" s="8">
        <v>122</v>
      </c>
      <c r="M67" s="8">
        <v>122</v>
      </c>
      <c r="N67" s="124">
        <v>0</v>
      </c>
      <c r="O67" s="124">
        <v>77</v>
      </c>
      <c r="P67" s="124">
        <v>4</v>
      </c>
      <c r="Q67" s="124">
        <v>41</v>
      </c>
      <c r="R67" s="124">
        <v>0</v>
      </c>
      <c r="S67" s="124"/>
      <c r="T67" s="7" t="s">
        <v>67</v>
      </c>
      <c r="U67" s="7" t="s">
        <v>200</v>
      </c>
      <c r="V67" s="7" t="s">
        <v>198</v>
      </c>
      <c r="W67" s="7" t="s">
        <v>49</v>
      </c>
      <c r="X67" s="7" t="s">
        <v>272</v>
      </c>
    </row>
    <row r="68" spans="1:24" x14ac:dyDescent="0.25">
      <c r="A68" s="123">
        <v>46152</v>
      </c>
      <c r="B68" s="6"/>
      <c r="C68" s="6" t="s">
        <v>264</v>
      </c>
      <c r="D68" s="39">
        <v>2026</v>
      </c>
      <c r="E68" s="6">
        <v>66</v>
      </c>
      <c r="F68" s="6" t="s">
        <v>274</v>
      </c>
      <c r="G68" s="6" t="s">
        <v>136</v>
      </c>
      <c r="H68" s="21" t="s">
        <v>137</v>
      </c>
      <c r="I68" s="7">
        <v>4000000058</v>
      </c>
      <c r="J68" s="7" t="s">
        <v>71</v>
      </c>
      <c r="K68" s="7"/>
      <c r="L68" s="8">
        <v>94</v>
      </c>
      <c r="M68" s="8">
        <v>94</v>
      </c>
      <c r="N68" s="124">
        <v>0</v>
      </c>
      <c r="O68" s="124">
        <v>39</v>
      </c>
      <c r="P68" s="126">
        <v>20</v>
      </c>
      <c r="Q68" s="124">
        <v>35</v>
      </c>
      <c r="R68" s="124">
        <v>0</v>
      </c>
      <c r="S68" s="124"/>
      <c r="T68" s="7" t="s">
        <v>67</v>
      </c>
      <c r="U68" s="7" t="s">
        <v>200</v>
      </c>
      <c r="V68" s="7" t="s">
        <v>198</v>
      </c>
      <c r="W68" s="7" t="s">
        <v>49</v>
      </c>
      <c r="X68" s="7" t="s">
        <v>276</v>
      </c>
    </row>
    <row r="69" spans="1:24" x14ac:dyDescent="0.25">
      <c r="A69" s="123">
        <v>46152</v>
      </c>
      <c r="B69" s="6"/>
      <c r="C69" s="6" t="s">
        <v>264</v>
      </c>
      <c r="D69" s="39">
        <v>2026</v>
      </c>
      <c r="E69" s="6">
        <v>67</v>
      </c>
      <c r="F69" s="6" t="s">
        <v>275</v>
      </c>
      <c r="G69" s="6" t="s">
        <v>153</v>
      </c>
      <c r="H69" s="21" t="s">
        <v>154</v>
      </c>
      <c r="I69" s="7">
        <v>4000000058</v>
      </c>
      <c r="J69" s="7" t="s">
        <v>71</v>
      </c>
      <c r="K69" s="7"/>
      <c r="L69" s="8">
        <v>182</v>
      </c>
      <c r="M69" s="8">
        <f>182-13</f>
        <v>169</v>
      </c>
      <c r="N69" s="124">
        <v>0</v>
      </c>
      <c r="O69" s="124">
        <v>39</v>
      </c>
      <c r="P69" s="124">
        <v>78</v>
      </c>
      <c r="Q69" s="124">
        <v>65</v>
      </c>
      <c r="R69" s="124">
        <v>0</v>
      </c>
      <c r="S69" s="124"/>
      <c r="T69" s="7" t="s">
        <v>67</v>
      </c>
      <c r="U69" s="7" t="s">
        <v>200</v>
      </c>
      <c r="V69" s="7" t="s">
        <v>198</v>
      </c>
      <c r="W69" s="7" t="s">
        <v>49</v>
      </c>
      <c r="X69" s="7" t="s">
        <v>277</v>
      </c>
    </row>
    <row r="70" spans="1:24" x14ac:dyDescent="0.25">
      <c r="A70" s="125">
        <v>46153</v>
      </c>
      <c r="B70" s="6"/>
      <c r="C70" s="6" t="s">
        <v>264</v>
      </c>
      <c r="D70" s="39">
        <v>2026</v>
      </c>
      <c r="E70" s="6">
        <v>68</v>
      </c>
      <c r="F70" s="6" t="s">
        <v>278</v>
      </c>
      <c r="G70" s="6" t="s">
        <v>136</v>
      </c>
      <c r="H70" s="21" t="s">
        <v>137</v>
      </c>
      <c r="I70" s="7">
        <v>4000000058</v>
      </c>
      <c r="J70" s="7" t="s">
        <v>71</v>
      </c>
      <c r="K70" s="7"/>
      <c r="L70" s="8">
        <v>69</v>
      </c>
      <c r="M70" s="8">
        <f>69-7</f>
        <v>62</v>
      </c>
      <c r="N70" s="124">
        <v>0</v>
      </c>
      <c r="O70" s="124">
        <v>25</v>
      </c>
      <c r="P70" s="124">
        <v>29</v>
      </c>
      <c r="Q70" s="124">
        <v>14</v>
      </c>
      <c r="R70" s="124"/>
      <c r="S70" s="124"/>
      <c r="T70" s="7" t="s">
        <v>67</v>
      </c>
      <c r="U70" s="7" t="s">
        <v>200</v>
      </c>
      <c r="V70" s="7" t="s">
        <v>198</v>
      </c>
      <c r="W70" s="7" t="s">
        <v>49</v>
      </c>
      <c r="X70" s="7" t="s">
        <v>279</v>
      </c>
    </row>
    <row r="71" spans="1:24" x14ac:dyDescent="0.25">
      <c r="A71" s="125">
        <v>46188</v>
      </c>
      <c r="B71" s="6"/>
      <c r="C71" s="6" t="str">
        <f>TEXT(A71,"MMM")</f>
        <v>Jun</v>
      </c>
      <c r="D71" s="39">
        <f>YEAR(A71)</f>
        <v>2026</v>
      </c>
      <c r="E71" s="6">
        <v>69</v>
      </c>
      <c r="F71" s="6" t="s">
        <v>281</v>
      </c>
      <c r="G71" s="6" t="s">
        <v>153</v>
      </c>
      <c r="H71" s="21" t="s">
        <v>154</v>
      </c>
      <c r="I71" s="7">
        <v>4000000088</v>
      </c>
      <c r="J71" s="7" t="s">
        <v>160</v>
      </c>
      <c r="K71" s="7"/>
      <c r="L71" s="8">
        <v>160</v>
      </c>
      <c r="M71" s="8">
        <f>160-15</f>
        <v>145</v>
      </c>
      <c r="N71" s="124">
        <v>0</v>
      </c>
      <c r="O71" s="124">
        <v>160</v>
      </c>
      <c r="P71" s="124">
        <v>0</v>
      </c>
      <c r="Q71" s="124">
        <v>0</v>
      </c>
      <c r="R71" s="124">
        <v>0</v>
      </c>
      <c r="S71" s="124"/>
      <c r="T71" s="7" t="s">
        <v>67</v>
      </c>
      <c r="U71" s="7" t="s">
        <v>200</v>
      </c>
      <c r="V71" s="7" t="s">
        <v>198</v>
      </c>
      <c r="W71" s="7" t="s">
        <v>49</v>
      </c>
      <c r="X71" s="7" t="s">
        <v>286</v>
      </c>
    </row>
    <row r="72" spans="1:24" x14ac:dyDescent="0.25">
      <c r="A72" s="125">
        <v>46197</v>
      </c>
      <c r="B72" s="6"/>
      <c r="C72" s="6" t="str">
        <f>TEXT(A72,"MMM")</f>
        <v>Jun</v>
      </c>
      <c r="D72" s="39">
        <f>YEAR(A72)</f>
        <v>2026</v>
      </c>
      <c r="E72" s="6">
        <v>70</v>
      </c>
      <c r="F72" s="6" t="s">
        <v>282</v>
      </c>
      <c r="G72" s="6" t="s">
        <v>153</v>
      </c>
      <c r="H72" s="21" t="s">
        <v>154</v>
      </c>
      <c r="I72" s="7">
        <v>4000000058</v>
      </c>
      <c r="J72" s="7" t="s">
        <v>71</v>
      </c>
      <c r="K72" s="7"/>
      <c r="L72" s="8">
        <v>53</v>
      </c>
      <c r="M72" s="8">
        <v>53</v>
      </c>
      <c r="N72" s="124">
        <v>0</v>
      </c>
      <c r="O72" s="124">
        <v>40</v>
      </c>
      <c r="P72" s="124">
        <v>0</v>
      </c>
      <c r="Q72" s="124">
        <v>0</v>
      </c>
      <c r="R72" s="124">
        <v>0</v>
      </c>
      <c r="S72" s="124"/>
      <c r="T72" s="7" t="s">
        <v>67</v>
      </c>
      <c r="U72" s="7" t="s">
        <v>200</v>
      </c>
      <c r="V72" s="7" t="s">
        <v>198</v>
      </c>
      <c r="W72" s="7" t="s">
        <v>49</v>
      </c>
      <c r="X72" s="7" t="s">
        <v>288</v>
      </c>
    </row>
    <row r="73" spans="1:24" x14ac:dyDescent="0.25">
      <c r="A73" s="125">
        <v>46197</v>
      </c>
      <c r="B73" s="6"/>
      <c r="C73" s="6" t="str">
        <f>TEXT(A73,"MMM")</f>
        <v>Jun</v>
      </c>
      <c r="D73" s="39">
        <f>YEAR(A73)</f>
        <v>2026</v>
      </c>
      <c r="E73" s="6">
        <v>71</v>
      </c>
      <c r="F73" s="6" t="s">
        <v>283</v>
      </c>
      <c r="G73" s="6" t="s">
        <v>153</v>
      </c>
      <c r="H73" s="21" t="s">
        <v>154</v>
      </c>
      <c r="I73" s="7">
        <v>4000000058</v>
      </c>
      <c r="J73" s="7" t="s">
        <v>71</v>
      </c>
      <c r="K73" s="7"/>
      <c r="L73" s="8">
        <v>29</v>
      </c>
      <c r="M73" s="8">
        <v>29</v>
      </c>
      <c r="N73" s="124">
        <v>0</v>
      </c>
      <c r="O73" s="124">
        <v>29</v>
      </c>
      <c r="P73" s="124">
        <v>0</v>
      </c>
      <c r="Q73" s="124">
        <v>0</v>
      </c>
      <c r="R73" s="124">
        <v>0</v>
      </c>
      <c r="S73" s="124"/>
      <c r="T73" s="7" t="s">
        <v>67</v>
      </c>
      <c r="U73" s="7" t="s">
        <v>200</v>
      </c>
      <c r="V73" s="7" t="s">
        <v>198</v>
      </c>
      <c r="W73" s="7" t="s">
        <v>49</v>
      </c>
      <c r="X73" s="7" t="s">
        <v>289</v>
      </c>
    </row>
    <row r="74" spans="1:24" x14ac:dyDescent="0.25">
      <c r="A74" s="125">
        <v>46197</v>
      </c>
      <c r="B74" s="6"/>
      <c r="C74" s="6" t="str">
        <f>TEXT(A74,"MMM")</f>
        <v>Jun</v>
      </c>
      <c r="D74" s="39">
        <f>YEAR(A74)</f>
        <v>2026</v>
      </c>
      <c r="E74" s="6">
        <v>72</v>
      </c>
      <c r="F74" s="6" t="s">
        <v>284</v>
      </c>
      <c r="G74" s="6" t="s">
        <v>153</v>
      </c>
      <c r="H74" s="21" t="s">
        <v>154</v>
      </c>
      <c r="I74" s="7">
        <v>4000000058</v>
      </c>
      <c r="J74" s="7" t="s">
        <v>71</v>
      </c>
      <c r="K74" s="7"/>
      <c r="L74" s="8">
        <v>92</v>
      </c>
      <c r="M74" s="8">
        <v>92</v>
      </c>
      <c r="N74" s="124">
        <v>0</v>
      </c>
      <c r="O74" s="124">
        <v>90</v>
      </c>
      <c r="P74" s="124">
        <v>0</v>
      </c>
      <c r="Q74" s="124">
        <v>0</v>
      </c>
      <c r="R74" s="124">
        <v>0</v>
      </c>
      <c r="S74" s="124"/>
      <c r="T74" s="7" t="s">
        <v>67</v>
      </c>
      <c r="U74" s="7" t="s">
        <v>200</v>
      </c>
      <c r="V74" s="7" t="s">
        <v>198</v>
      </c>
      <c r="W74" s="7" t="s">
        <v>49</v>
      </c>
      <c r="X74" s="7" t="s">
        <v>290</v>
      </c>
    </row>
    <row r="75" spans="1:24" x14ac:dyDescent="0.25">
      <c r="A75" s="125">
        <v>46197</v>
      </c>
      <c r="B75" s="6"/>
      <c r="C75" s="6" t="str">
        <f>TEXT(A75,"MMM")</f>
        <v>Jun</v>
      </c>
      <c r="D75" s="39">
        <f>YEAR(A75)</f>
        <v>2026</v>
      </c>
      <c r="E75" s="6">
        <v>73</v>
      </c>
      <c r="F75" s="6" t="s">
        <v>285</v>
      </c>
      <c r="G75" s="6" t="s">
        <v>153</v>
      </c>
      <c r="H75" s="21" t="s">
        <v>154</v>
      </c>
      <c r="I75" s="7">
        <v>4000000058</v>
      </c>
      <c r="J75" s="7" t="s">
        <v>71</v>
      </c>
      <c r="K75" s="7"/>
      <c r="L75" s="8">
        <v>118</v>
      </c>
      <c r="M75" s="8">
        <f>39+79</f>
        <v>118</v>
      </c>
      <c r="N75" s="124">
        <v>0</v>
      </c>
      <c r="O75" s="124">
        <v>79</v>
      </c>
      <c r="P75" s="124">
        <v>0</v>
      </c>
      <c r="Q75" s="124">
        <v>0</v>
      </c>
      <c r="R75" s="124">
        <v>0</v>
      </c>
      <c r="S75" s="124"/>
      <c r="T75" s="7" t="s">
        <v>67</v>
      </c>
      <c r="U75" s="7" t="s">
        <v>200</v>
      </c>
      <c r="V75" s="7" t="s">
        <v>198</v>
      </c>
      <c r="W75" s="7" t="s">
        <v>49</v>
      </c>
      <c r="X75" s="7" t="s">
        <v>291</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60D7-F5A9-4B3D-9935-E4A2FD2F253A}">
  <dimension ref="A1:AB15"/>
  <sheetViews>
    <sheetView workbookViewId="0">
      <selection activeCell="BA29" sqref="BA29"/>
    </sheetView>
  </sheetViews>
  <sheetFormatPr defaultRowHeight="15" x14ac:dyDescent="0.25"/>
  <cols>
    <col min="1" max="1" width="49.28515625" bestFit="1" customWidth="1"/>
    <col min="2" max="2" width="29.28515625" bestFit="1" customWidth="1"/>
    <col min="6" max="6" width="10.7109375" bestFit="1" customWidth="1"/>
    <col min="7" max="7" width="21.140625" bestFit="1" customWidth="1"/>
    <col min="8" max="8" width="15.42578125" bestFit="1" customWidth="1"/>
    <col min="9" max="9" width="22.7109375" bestFit="1" customWidth="1"/>
    <col min="10" max="10" width="14.7109375" bestFit="1" customWidth="1"/>
    <col min="14" max="14" width="10.7109375" bestFit="1" customWidth="1"/>
    <col min="15" max="15" width="15.42578125" bestFit="1" customWidth="1"/>
    <col min="16" max="16" width="22.7109375" bestFit="1" customWidth="1"/>
    <col min="17" max="18" width="14.7109375" bestFit="1" customWidth="1"/>
    <col min="21" max="21" width="12.5703125" bestFit="1" customWidth="1"/>
    <col min="22" max="22" width="27.140625" bestFit="1" customWidth="1"/>
    <col min="26" max="26" width="12.5703125" bestFit="1" customWidth="1"/>
    <col min="27" max="27" width="21.7109375" style="45" bestFit="1" customWidth="1"/>
    <col min="28" max="28" width="29.28515625" style="45" bestFit="1" customWidth="1"/>
  </cols>
  <sheetData>
    <row r="1" spans="1:28" ht="18.75" x14ac:dyDescent="0.25">
      <c r="A1" s="85" t="s">
        <v>204</v>
      </c>
      <c r="F1" s="86" t="s">
        <v>205</v>
      </c>
      <c r="N1" s="86" t="s">
        <v>195</v>
      </c>
      <c r="T1" s="85"/>
      <c r="U1" s="91" t="s">
        <v>209</v>
      </c>
      <c r="Z1" s="85" t="s">
        <v>32</v>
      </c>
    </row>
    <row r="5" spans="1:28" x14ac:dyDescent="0.25">
      <c r="A5" s="37" t="s">
        <v>28</v>
      </c>
      <c r="B5" t="s" vm="1">
        <v>41</v>
      </c>
      <c r="F5" s="37" t="s">
        <v>2</v>
      </c>
      <c r="G5" t="s">
        <v>201</v>
      </c>
      <c r="H5" t="s">
        <v>202</v>
      </c>
      <c r="I5" t="s">
        <v>33</v>
      </c>
      <c r="J5" t="s">
        <v>203</v>
      </c>
      <c r="N5" s="37" t="s">
        <v>2</v>
      </c>
      <c r="O5" t="s">
        <v>202</v>
      </c>
      <c r="P5" t="s">
        <v>33</v>
      </c>
      <c r="Q5" s="43" t="s">
        <v>203</v>
      </c>
      <c r="U5" s="37" t="s">
        <v>156</v>
      </c>
      <c r="V5" t="s">
        <v>199</v>
      </c>
      <c r="Z5" s="37" t="s">
        <v>156</v>
      </c>
      <c r="AA5" t="s">
        <v>158</v>
      </c>
      <c r="AB5"/>
    </row>
    <row r="6" spans="1:28" x14ac:dyDescent="0.25">
      <c r="F6" s="32">
        <v>2024</v>
      </c>
      <c r="G6">
        <v>5</v>
      </c>
      <c r="H6" s="46">
        <v>3263.479042553191</v>
      </c>
      <c r="I6" s="46">
        <v>1682.28</v>
      </c>
      <c r="J6" s="43">
        <v>0.51548668707976875</v>
      </c>
      <c r="N6" s="32">
        <v>2024</v>
      </c>
      <c r="O6" s="46">
        <v>3263.479042553191</v>
      </c>
      <c r="P6" s="46">
        <v>1682.28</v>
      </c>
      <c r="Q6" s="43">
        <v>0.51548668707976875</v>
      </c>
      <c r="U6" s="32" t="s">
        <v>50</v>
      </c>
      <c r="V6">
        <v>15</v>
      </c>
      <c r="Z6" s="32" t="s">
        <v>41</v>
      </c>
      <c r="AA6" s="46">
        <v>30270.554427226729</v>
      </c>
      <c r="AB6"/>
    </row>
    <row r="7" spans="1:28" x14ac:dyDescent="0.25">
      <c r="A7" s="37" t="s">
        <v>156</v>
      </c>
      <c r="B7" t="s">
        <v>159</v>
      </c>
      <c r="F7" s="32">
        <v>2025</v>
      </c>
      <c r="G7">
        <v>38</v>
      </c>
      <c r="H7" s="46">
        <v>26749.059484923237</v>
      </c>
      <c r="I7" s="46">
        <v>6554.36</v>
      </c>
      <c r="J7" s="43">
        <v>0.24503141890630886</v>
      </c>
      <c r="N7" s="32">
        <v>2025</v>
      </c>
      <c r="O7" s="46">
        <v>26749.059484923237</v>
      </c>
      <c r="P7" s="46">
        <v>6554.36</v>
      </c>
      <c r="Q7" s="43">
        <v>0.24503141890630886</v>
      </c>
      <c r="U7" s="32" t="s">
        <v>42</v>
      </c>
      <c r="V7">
        <v>60</v>
      </c>
      <c r="Z7" s="32" t="s">
        <v>50</v>
      </c>
      <c r="AA7" s="46">
        <v>11909.656633697074</v>
      </c>
      <c r="AB7"/>
    </row>
    <row r="8" spans="1:28" x14ac:dyDescent="0.25">
      <c r="A8" s="32" t="s">
        <v>57</v>
      </c>
      <c r="B8" s="87">
        <v>7847.84</v>
      </c>
      <c r="F8" s="32">
        <v>2026</v>
      </c>
      <c r="G8">
        <v>32</v>
      </c>
      <c r="H8" s="46">
        <v>18596.826071867003</v>
      </c>
      <c r="I8" s="46">
        <v>0</v>
      </c>
      <c r="J8" s="43">
        <v>0</v>
      </c>
      <c r="N8" s="32">
        <v>2026</v>
      </c>
      <c r="O8" s="46">
        <v>18596.826071867003</v>
      </c>
      <c r="P8" s="46">
        <v>0</v>
      </c>
      <c r="Q8" s="43">
        <v>0</v>
      </c>
      <c r="U8" s="32" t="s">
        <v>157</v>
      </c>
      <c r="V8">
        <v>75</v>
      </c>
      <c r="Z8" s="32" t="s">
        <v>65</v>
      </c>
      <c r="AA8" s="46">
        <v>6429.1535384196186</v>
      </c>
      <c r="AB8"/>
    </row>
    <row r="9" spans="1:28" x14ac:dyDescent="0.25">
      <c r="A9" s="32" t="s">
        <v>419</v>
      </c>
      <c r="B9" s="87">
        <v>0</v>
      </c>
      <c r="F9" s="32" t="s">
        <v>157</v>
      </c>
      <c r="G9">
        <v>75</v>
      </c>
      <c r="H9" s="46">
        <v>48609.364599343433</v>
      </c>
      <c r="I9" s="46">
        <v>8236.64</v>
      </c>
      <c r="J9" s="43">
        <v>0.16944553930892672</v>
      </c>
      <c r="N9" s="32" t="s">
        <v>157</v>
      </c>
      <c r="O9" s="46">
        <v>48609.364599343433</v>
      </c>
      <c r="P9" s="46">
        <v>8236.64</v>
      </c>
      <c r="Q9" s="43">
        <v>0.16944553930892672</v>
      </c>
      <c r="Z9" s="32" t="s">
        <v>157</v>
      </c>
      <c r="AA9" s="46">
        <v>48609.364599343433</v>
      </c>
      <c r="AB9"/>
    </row>
    <row r="10" spans="1:28" x14ac:dyDescent="0.25">
      <c r="A10" s="32" t="s">
        <v>457</v>
      </c>
      <c r="B10" s="87">
        <v>0</v>
      </c>
    </row>
    <row r="11" spans="1:28" x14ac:dyDescent="0.25">
      <c r="A11" s="32" t="s">
        <v>59</v>
      </c>
      <c r="B11" s="87">
        <v>0</v>
      </c>
    </row>
    <row r="12" spans="1:28" x14ac:dyDescent="0.25">
      <c r="A12" s="32" t="s">
        <v>416</v>
      </c>
      <c r="B12" s="87">
        <v>0</v>
      </c>
    </row>
    <row r="13" spans="1:28" x14ac:dyDescent="0.25">
      <c r="A13" s="32" t="s">
        <v>417</v>
      </c>
      <c r="B13" s="87">
        <v>0</v>
      </c>
    </row>
    <row r="14" spans="1:28" x14ac:dyDescent="0.25">
      <c r="A14" s="32" t="s">
        <v>266</v>
      </c>
      <c r="B14" s="87">
        <v>388.8</v>
      </c>
    </row>
    <row r="15" spans="1:28" x14ac:dyDescent="0.25">
      <c r="A15" s="32" t="s">
        <v>157</v>
      </c>
      <c r="B15" s="87">
        <v>8236.64</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786E-4E56-4946-8739-73F0BF89CD1B}">
  <dimension ref="C36:AD54"/>
  <sheetViews>
    <sheetView showGridLines="0" zoomScale="40" zoomScaleNormal="40" workbookViewId="0">
      <selection activeCell="C44" sqref="C44"/>
    </sheetView>
  </sheetViews>
  <sheetFormatPr defaultRowHeight="15" x14ac:dyDescent="0.25"/>
  <cols>
    <col min="1" max="1" width="18.140625" bestFit="1" customWidth="1"/>
    <col min="2" max="2" width="27.7109375" bestFit="1" customWidth="1"/>
    <col min="3" max="3" width="19" bestFit="1" customWidth="1"/>
    <col min="4" max="4" width="33.42578125" bestFit="1" customWidth="1"/>
    <col min="5" max="5" width="26.7109375" bestFit="1" customWidth="1"/>
    <col min="6" max="6" width="39.28515625" bestFit="1" customWidth="1"/>
    <col min="7" max="7" width="27.140625" bestFit="1" customWidth="1"/>
  </cols>
  <sheetData>
    <row r="36" spans="3:30" x14ac:dyDescent="0.25">
      <c r="AD36" s="56"/>
    </row>
    <row r="42" spans="3:30" ht="18.75" x14ac:dyDescent="0.3">
      <c r="C42" s="212" t="s">
        <v>196</v>
      </c>
      <c r="D42" s="212"/>
    </row>
    <row r="43" spans="3:30" ht="15.75" thickBot="1" x14ac:dyDescent="0.3"/>
    <row r="44" spans="3:30" ht="15.75" hidden="1" thickBot="1" x14ac:dyDescent="0.3">
      <c r="C44" s="49"/>
      <c r="D44" s="50" t="s">
        <v>174</v>
      </c>
      <c r="E44" s="51"/>
      <c r="F44" s="52"/>
      <c r="G44" s="53"/>
    </row>
    <row r="45" spans="3:30" ht="24" thickBot="1" x14ac:dyDescent="0.4">
      <c r="C45" s="60" t="s">
        <v>2</v>
      </c>
      <c r="D45" s="61" t="s">
        <v>185</v>
      </c>
      <c r="E45" s="62" t="s">
        <v>186</v>
      </c>
      <c r="F45" s="62" t="s">
        <v>187</v>
      </c>
      <c r="G45" s="63" t="s">
        <v>188</v>
      </c>
    </row>
    <row r="46" spans="3:30" ht="23.25" x14ac:dyDescent="0.35">
      <c r="C46" s="73">
        <v>2024</v>
      </c>
      <c r="D46" s="74">
        <v>6</v>
      </c>
      <c r="E46" s="75">
        <v>3263.479042553191</v>
      </c>
      <c r="F46" s="75">
        <v>1682.28</v>
      </c>
      <c r="G46" s="76">
        <v>0.51548668707976875</v>
      </c>
    </row>
    <row r="47" spans="3:30" ht="23.25" x14ac:dyDescent="0.35">
      <c r="C47" s="77">
        <v>2025</v>
      </c>
      <c r="D47" s="78">
        <v>38</v>
      </c>
      <c r="E47" s="79">
        <v>26749.059484923237</v>
      </c>
      <c r="F47" s="79">
        <v>6554.36</v>
      </c>
      <c r="G47" s="80">
        <v>0.24503141890630886</v>
      </c>
    </row>
    <row r="48" spans="3:30" ht="24" thickBot="1" x14ac:dyDescent="0.4">
      <c r="C48" s="81">
        <v>2026</v>
      </c>
      <c r="D48" s="78">
        <v>32</v>
      </c>
      <c r="E48" s="79">
        <v>18596.826071867003</v>
      </c>
      <c r="F48" s="79">
        <v>0</v>
      </c>
      <c r="G48" s="80">
        <v>0</v>
      </c>
    </row>
    <row r="49" spans="3:7" ht="24" thickBot="1" x14ac:dyDescent="0.4">
      <c r="C49" s="82" t="s">
        <v>157</v>
      </c>
      <c r="D49" s="206">
        <v>76</v>
      </c>
      <c r="E49" s="83">
        <v>48609.364599343433</v>
      </c>
      <c r="F49" s="83">
        <v>8236.64</v>
      </c>
      <c r="G49" s="84">
        <v>0.16944553930892672</v>
      </c>
    </row>
    <row r="53" spans="3:7" ht="15.75" thickBot="1" x14ac:dyDescent="0.3"/>
    <row r="54" spans="3:7" ht="15.75" thickBot="1" x14ac:dyDescent="0.3"/>
  </sheetData>
  <mergeCells count="1">
    <mergeCell ref="C42:D42"/>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5B2F-6A40-449D-8021-2A546CD7AB5E}">
  <dimension ref="A1:B25"/>
  <sheetViews>
    <sheetView workbookViewId="0">
      <selection activeCell="F26" sqref="F26"/>
    </sheetView>
  </sheetViews>
  <sheetFormatPr defaultRowHeight="15" x14ac:dyDescent="0.25"/>
  <cols>
    <col min="1" max="1" width="26" bestFit="1" customWidth="1"/>
  </cols>
  <sheetData>
    <row r="1" spans="1:2" x14ac:dyDescent="0.25">
      <c r="A1" s="1" t="s">
        <v>11</v>
      </c>
    </row>
    <row r="2" spans="1:2" x14ac:dyDescent="0.25">
      <c r="A2" s="65" t="s">
        <v>38</v>
      </c>
    </row>
    <row r="3" spans="1:2" x14ac:dyDescent="0.25">
      <c r="A3" s="65" t="s">
        <v>43</v>
      </c>
    </row>
    <row r="4" spans="1:2" x14ac:dyDescent="0.25">
      <c r="A4" s="7" t="s">
        <v>44</v>
      </c>
    </row>
    <row r="5" spans="1:2" x14ac:dyDescent="0.25">
      <c r="A5" s="66" t="s">
        <v>47</v>
      </c>
    </row>
    <row r="6" spans="1:2" x14ac:dyDescent="0.25">
      <c r="A6" s="7" t="s">
        <v>48</v>
      </c>
    </row>
    <row r="7" spans="1:2" x14ac:dyDescent="0.25">
      <c r="A7" s="67" t="s">
        <v>51</v>
      </c>
    </row>
    <row r="8" spans="1:2" x14ac:dyDescent="0.25">
      <c r="A8" s="64" t="s">
        <v>53</v>
      </c>
    </row>
    <row r="9" spans="1:2" x14ac:dyDescent="0.25">
      <c r="A9" s="41" t="s">
        <v>56</v>
      </c>
    </row>
    <row r="10" spans="1:2" x14ac:dyDescent="0.25">
      <c r="A10" s="7" t="s">
        <v>60</v>
      </c>
    </row>
    <row r="11" spans="1:2" x14ac:dyDescent="0.25">
      <c r="A11" s="68" t="s">
        <v>63</v>
      </c>
    </row>
    <row r="12" spans="1:2" x14ac:dyDescent="0.25">
      <c r="A12" s="66" t="s">
        <v>68</v>
      </c>
    </row>
    <row r="13" spans="1:2" x14ac:dyDescent="0.25">
      <c r="A13" s="69" t="s">
        <v>72</v>
      </c>
      <c r="B13" t="s">
        <v>200</v>
      </c>
    </row>
    <row r="14" spans="1:2" x14ac:dyDescent="0.25">
      <c r="A14" s="69" t="s">
        <v>85</v>
      </c>
      <c r="B14" t="s">
        <v>200</v>
      </c>
    </row>
    <row r="15" spans="1:2" x14ac:dyDescent="0.25">
      <c r="A15" s="71" t="s">
        <v>97</v>
      </c>
      <c r="B15" t="s">
        <v>97</v>
      </c>
    </row>
    <row r="16" spans="1:2" x14ac:dyDescent="0.25">
      <c r="A16" s="72" t="s">
        <v>98</v>
      </c>
      <c r="B16" t="s">
        <v>98</v>
      </c>
    </row>
    <row r="17" spans="1:2" x14ac:dyDescent="0.25">
      <c r="A17" s="69" t="s">
        <v>99</v>
      </c>
      <c r="B17" t="s">
        <v>200</v>
      </c>
    </row>
    <row r="18" spans="1:2" x14ac:dyDescent="0.25">
      <c r="A18" s="69" t="s">
        <v>101</v>
      </c>
      <c r="B18" t="s">
        <v>200</v>
      </c>
    </row>
    <row r="19" spans="1:2" x14ac:dyDescent="0.25">
      <c r="A19" s="69" t="s">
        <v>105</v>
      </c>
      <c r="B19" t="s">
        <v>200</v>
      </c>
    </row>
    <row r="20" spans="1:2" x14ac:dyDescent="0.25">
      <c r="A20" s="70" t="s">
        <v>114</v>
      </c>
      <c r="B20" t="s">
        <v>200</v>
      </c>
    </row>
    <row r="21" spans="1:2" x14ac:dyDescent="0.25">
      <c r="A21" s="69" t="s">
        <v>117</v>
      </c>
      <c r="B21" t="s">
        <v>200</v>
      </c>
    </row>
    <row r="22" spans="1:2" x14ac:dyDescent="0.25">
      <c r="A22" s="69" t="s">
        <v>127</v>
      </c>
      <c r="B22" t="s">
        <v>200</v>
      </c>
    </row>
    <row r="23" spans="1:2" x14ac:dyDescent="0.25">
      <c r="A23" s="69" t="s">
        <v>128</v>
      </c>
      <c r="B23" t="s">
        <v>200</v>
      </c>
    </row>
    <row r="24" spans="1:2" x14ac:dyDescent="0.25">
      <c r="A24" s="69" t="s">
        <v>142</v>
      </c>
      <c r="B24" t="s">
        <v>200</v>
      </c>
    </row>
    <row r="25" spans="1:2" x14ac:dyDescent="0.25">
      <c r="A25" s="69" t="s">
        <v>146</v>
      </c>
      <c r="B25"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870F-2EF1-444C-9409-0056E3E218AB}">
  <dimension ref="A1:F10"/>
  <sheetViews>
    <sheetView workbookViewId="0">
      <selection activeCell="E6" sqref="E6"/>
    </sheetView>
  </sheetViews>
  <sheetFormatPr defaultRowHeight="15" x14ac:dyDescent="0.25"/>
  <cols>
    <col min="1" max="1" width="9.85546875" bestFit="1" customWidth="1"/>
    <col min="4" max="4" width="14.7109375" bestFit="1" customWidth="1"/>
  </cols>
  <sheetData>
    <row r="1" spans="1:6" x14ac:dyDescent="0.25">
      <c r="A1" s="36">
        <v>77963370</v>
      </c>
    </row>
    <row r="2" spans="1:6" x14ac:dyDescent="0.25">
      <c r="A2">
        <v>76506474.518399999</v>
      </c>
    </row>
    <row r="3" spans="1:6" x14ac:dyDescent="0.25">
      <c r="A3" s="36">
        <f>A2-A1</f>
        <v>-1456895.4816000015</v>
      </c>
    </row>
    <row r="6" spans="1:6" x14ac:dyDescent="0.25">
      <c r="A6" t="s">
        <v>12</v>
      </c>
      <c r="C6" t="s">
        <v>29</v>
      </c>
      <c r="E6" t="s">
        <v>168</v>
      </c>
      <c r="F6" t="s">
        <v>169</v>
      </c>
    </row>
    <row r="7" spans="1:6" x14ac:dyDescent="0.25">
      <c r="A7" t="s">
        <v>161</v>
      </c>
      <c r="B7" t="s">
        <v>162</v>
      </c>
      <c r="C7" t="s">
        <v>164</v>
      </c>
      <c r="D7" t="s">
        <v>166</v>
      </c>
    </row>
    <row r="8" spans="1:6" x14ac:dyDescent="0.25">
      <c r="A8" t="s">
        <v>49</v>
      </c>
      <c r="B8" t="s">
        <v>163</v>
      </c>
      <c r="C8" t="s">
        <v>165</v>
      </c>
      <c r="D8" t="s">
        <v>167</v>
      </c>
    </row>
    <row r="9" spans="1:6" x14ac:dyDescent="0.25">
      <c r="D9" t="s">
        <v>50</v>
      </c>
    </row>
    <row r="10" spans="1:6" x14ac:dyDescent="0.25">
      <c r="D10"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60D7691-375E-4BFF-A1D4-EE3D8C805302}">
  <ds:schemaRefs/>
</ds:datastoreItem>
</file>

<file path=customXml/itemProps2.xml><?xml version="1.0" encoding="utf-8"?>
<ds:datastoreItem xmlns:ds="http://schemas.openxmlformats.org/officeDocument/2006/customXml" ds:itemID="{4C98F275-0E18-4BE7-8413-3C9318038487}">
  <ds:schemaRefs/>
</ds:datastoreItem>
</file>

<file path=customXml/itemProps3.xml><?xml version="1.0" encoding="utf-8"?>
<ds:datastoreItem xmlns:ds="http://schemas.openxmlformats.org/officeDocument/2006/customXml" ds:itemID="{B47BA269-3747-40B2-A35C-70FD3F49AB7A}">
  <ds:schemaRefs/>
</ds:datastoreItem>
</file>

<file path=customXml/itemProps4.xml><?xml version="1.0" encoding="utf-8"?>
<ds:datastoreItem xmlns:ds="http://schemas.openxmlformats.org/officeDocument/2006/customXml" ds:itemID="{D9C4D009-E6CE-40D1-A039-24311471760E}">
  <ds:schemaRefs/>
</ds:datastoreItem>
</file>

<file path=customXml/itemProps5.xml><?xml version="1.0" encoding="utf-8"?>
<ds:datastoreItem xmlns:ds="http://schemas.openxmlformats.org/officeDocument/2006/customXml" ds:itemID="{C0CBC911-CAFF-48FC-AB0E-21F3B4C06988}">
  <ds:schemaRefs/>
</ds:datastoreItem>
</file>

<file path=customXml/itemProps6.xml><?xml version="1.0" encoding="utf-8"?>
<ds:datastoreItem xmlns:ds="http://schemas.openxmlformats.org/officeDocument/2006/customXml" ds:itemID="{A8E2F036-EE96-4E41-A7DF-DB3BC6FE18C8}">
  <ds:schemaRefs/>
</ds:datastoreItem>
</file>

<file path=customXml/itemProps7.xml><?xml version="1.0" encoding="utf-8"?>
<ds:datastoreItem xmlns:ds="http://schemas.openxmlformats.org/officeDocument/2006/customXml" ds:itemID="{FAB74D03-4C90-4860-8E42-77C454462A0F}">
  <ds:schemaRefs/>
</ds:datastoreItem>
</file>

<file path=customXml/itemProps8.xml><?xml version="1.0" encoding="utf-8"?>
<ds:datastoreItem xmlns:ds="http://schemas.openxmlformats.org/officeDocument/2006/customXml" ds:itemID="{AA51B43A-9977-4962-9709-1A7BA6947738}">
  <ds:schemaRefs/>
</ds:datastoreItem>
</file>

<file path=customXml/itemProps9.xml><?xml version="1.0" encoding="utf-8"?>
<ds:datastoreItem xmlns:ds="http://schemas.openxmlformats.org/officeDocument/2006/customXml" ds:itemID="{C01F6E8D-1567-4F06-A4CF-35835CFE1531}">
  <ds:schemaRefs/>
</ds:datastoreItem>
</file>

<file path=customXml/itemProps10.xml><?xml version="1.0" encoding="utf-8"?>
<ds:datastoreItem xmlns:ds="http://schemas.openxmlformats.org/officeDocument/2006/customXml" ds:itemID="{03743145-1D25-403E-B604-A8CDDA4A21D1}">
  <ds:schemaRefs/>
</ds:datastoreItem>
</file>

<file path=customXml/itemProps11.xml><?xml version="1.0" encoding="utf-8"?>
<ds:datastoreItem xmlns:ds="http://schemas.openxmlformats.org/officeDocument/2006/customXml" ds:itemID="{BA38CC2B-327F-4F18-92C0-EDD1F279451A}">
  <ds:schemaRefs/>
</ds:datastoreItem>
</file>

<file path=customXml/itemProps12.xml><?xml version="1.0" encoding="utf-8"?>
<ds:datastoreItem xmlns:ds="http://schemas.openxmlformats.org/officeDocument/2006/customXml" ds:itemID="{C971D678-328A-4C3C-9A39-1A5D573E30DD}">
  <ds:schemaRefs/>
</ds:datastoreItem>
</file>

<file path=customXml/itemProps13.xml><?xml version="1.0" encoding="utf-8"?>
<ds:datastoreItem xmlns:ds="http://schemas.openxmlformats.org/officeDocument/2006/customXml" ds:itemID="{89B13644-3F8C-4AFD-838D-92898A7B7E55}">
  <ds:schemaRefs/>
</ds:datastoreItem>
</file>

<file path=customXml/itemProps14.xml><?xml version="1.0" encoding="utf-8"?>
<ds:datastoreItem xmlns:ds="http://schemas.openxmlformats.org/officeDocument/2006/customXml" ds:itemID="{2F7DCDD8-1325-4097-BDF7-CBE5F22718C6}">
  <ds:schemaRefs/>
</ds:datastoreItem>
</file>

<file path=customXml/itemProps15.xml><?xml version="1.0" encoding="utf-8"?>
<ds:datastoreItem xmlns:ds="http://schemas.openxmlformats.org/officeDocument/2006/customXml" ds:itemID="{61A5D094-12F1-4223-BCBF-7E07134ABE57}">
  <ds:schemaRefs/>
</ds:datastoreItem>
</file>

<file path=customXml/itemProps16.xml><?xml version="1.0" encoding="utf-8"?>
<ds:datastoreItem xmlns:ds="http://schemas.openxmlformats.org/officeDocument/2006/customXml" ds:itemID="{C7953951-3A62-4B05-98DF-CD43E8897D55}">
  <ds:schemaRefs/>
</ds:datastoreItem>
</file>

<file path=customXml/itemProps17.xml><?xml version="1.0" encoding="utf-8"?>
<ds:datastoreItem xmlns:ds="http://schemas.openxmlformats.org/officeDocument/2006/customXml" ds:itemID="{82AB0934-C5FF-45D1-8E1F-2A36CBCFE4EA}">
  <ds:schemaRefs/>
</ds:datastoreItem>
</file>

<file path=customXml/itemProps18.xml><?xml version="1.0" encoding="utf-8"?>
<ds:datastoreItem xmlns:ds="http://schemas.openxmlformats.org/officeDocument/2006/customXml" ds:itemID="{6CF3AD23-6AD1-4C74-8570-52605B38D11D}">
  <ds:schemaRefs/>
</ds:datastoreItem>
</file>

<file path=customXml/itemProps19.xml><?xml version="1.0" encoding="utf-8"?>
<ds:datastoreItem xmlns:ds="http://schemas.openxmlformats.org/officeDocument/2006/customXml" ds:itemID="{0E59D95F-1833-4F05-9D77-968A81037538}">
  <ds:schemaRefs/>
</ds:datastoreItem>
</file>

<file path=customXml/itemProps20.xml><?xml version="1.0" encoding="utf-8"?>
<ds:datastoreItem xmlns:ds="http://schemas.openxmlformats.org/officeDocument/2006/customXml" ds:itemID="{AFB11C67-97A1-433E-B7A8-8760A1D6D432}">
  <ds:schemaRefs/>
</ds:datastoreItem>
</file>

<file path=customXml/itemProps21.xml><?xml version="1.0" encoding="utf-8"?>
<ds:datastoreItem xmlns:ds="http://schemas.openxmlformats.org/officeDocument/2006/customXml" ds:itemID="{2B3C0478-BF95-4218-B759-7C58DFAB705F}">
  <ds:schemaRefs/>
</ds:datastoreItem>
</file>

<file path=customXml/itemProps22.xml><?xml version="1.0" encoding="utf-8"?>
<ds:datastoreItem xmlns:ds="http://schemas.openxmlformats.org/officeDocument/2006/customXml" ds:itemID="{ED378E21-F335-4A6F-A15B-651705E21BA1}">
  <ds:schemaRefs/>
</ds:datastoreItem>
</file>

<file path=customXml/itemProps23.xml><?xml version="1.0" encoding="utf-8"?>
<ds:datastoreItem xmlns:ds="http://schemas.openxmlformats.org/officeDocument/2006/customXml" ds:itemID="{05E3F1E7-4CC6-4A4F-9748-A881B3A757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Sheet4</vt:lpstr>
      <vt:lpstr>Sheet5</vt:lpstr>
      <vt:lpstr>Summary</vt:lpstr>
      <vt:lpstr>BL NCs</vt:lpstr>
      <vt:lpstr>Working</vt:lpstr>
      <vt:lpstr>Dashboard</vt:lpstr>
      <vt:lpstr>Import Shipment Details</vt:lpstr>
      <vt:lpstr>Working Sheet-Need</vt:lpstr>
      <vt:lpstr>Dashboard-</vt:lpstr>
      <vt:lpstr>Sheet6</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 Ammar</dc:creator>
  <cp:lastModifiedBy>Sara Muhammed Muhammed Alamin</cp:lastModifiedBy>
  <dcterms:created xsi:type="dcterms:W3CDTF">2026-04-20T09:11:57Z</dcterms:created>
  <dcterms:modified xsi:type="dcterms:W3CDTF">2026-08-24T07:23:37Z</dcterms:modified>
</cp:coreProperties>
</file>