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ber\Documents\Carbapenem\"/>
    </mc:Choice>
  </mc:AlternateContent>
  <bookViews>
    <workbookView xWindow="0" yWindow="0" windowWidth="14370" windowHeight="7200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" l="1"/>
  <c r="F26" i="4"/>
  <c r="C49" i="3"/>
  <c r="C46" i="3"/>
  <c r="H45" i="3"/>
  <c r="C45" i="3"/>
  <c r="H44" i="3"/>
  <c r="C44" i="3"/>
  <c r="H43" i="3"/>
  <c r="C43" i="3"/>
  <c r="H42" i="3"/>
  <c r="C42" i="3"/>
  <c r="H41" i="3"/>
  <c r="C41" i="3"/>
  <c r="C40" i="3"/>
  <c r="H40" i="3" s="1"/>
  <c r="C39" i="3"/>
  <c r="H39" i="3" s="1"/>
  <c r="H38" i="3"/>
  <c r="C38" i="3" s="1"/>
  <c r="C37" i="3"/>
  <c r="H37" i="3" s="1"/>
  <c r="C36" i="3"/>
  <c r="H36" i="3" s="1"/>
  <c r="H38" i="1"/>
  <c r="C38" i="1"/>
  <c r="C10" i="3"/>
  <c r="H13" i="3"/>
  <c r="C13" i="3"/>
  <c r="H13" i="1"/>
  <c r="C13" i="1"/>
  <c r="C11" i="1"/>
  <c r="C23" i="3"/>
  <c r="H22" i="3"/>
  <c r="C22" i="3"/>
  <c r="C14" i="3"/>
  <c r="H14" i="3"/>
  <c r="C20" i="3"/>
  <c r="H18" i="3"/>
  <c r="C19" i="3"/>
  <c r="H19" i="3"/>
  <c r="H21" i="3"/>
  <c r="C18" i="3"/>
  <c r="H17" i="3"/>
  <c r="C17" i="3"/>
  <c r="H15" i="3"/>
  <c r="C15" i="3"/>
  <c r="H16" i="3"/>
  <c r="C16" i="3"/>
  <c r="H12" i="3"/>
  <c r="C12" i="3"/>
  <c r="H3" i="3"/>
  <c r="C3" i="3"/>
  <c r="H9" i="3"/>
  <c r="C9" i="3"/>
  <c r="C8" i="3"/>
  <c r="H8" i="3" s="1"/>
  <c r="C11" i="3"/>
  <c r="H11" i="3" s="1"/>
  <c r="C4" i="3"/>
  <c r="H4" i="3" s="1"/>
  <c r="C7" i="3"/>
  <c r="H7" i="3" s="1"/>
  <c r="H5" i="3"/>
  <c r="C5" i="3" s="1"/>
  <c r="H6" i="3"/>
  <c r="C6" i="3" s="1"/>
  <c r="C2" i="3"/>
  <c r="H2" i="3" s="1"/>
  <c r="H20" i="1"/>
  <c r="C21" i="1"/>
  <c r="H10" i="1"/>
  <c r="C10" i="1"/>
  <c r="H41" i="1"/>
  <c r="C42" i="1"/>
  <c r="H37" i="1"/>
  <c r="C37" i="1"/>
  <c r="H19" i="1"/>
  <c r="C20" i="1"/>
  <c r="H9" i="1"/>
  <c r="C9" i="1"/>
  <c r="H22" i="1"/>
  <c r="C23" i="1"/>
  <c r="H18" i="1"/>
  <c r="H8" i="1"/>
  <c r="C19" i="1"/>
  <c r="C8" i="1"/>
  <c r="C41" i="2"/>
  <c r="H41" i="2" s="1"/>
  <c r="C9" i="2"/>
  <c r="H9" i="2" s="1"/>
  <c r="C36" i="1"/>
  <c r="H36" i="1" s="1"/>
  <c r="C7" i="1"/>
  <c r="H7" i="1" s="1"/>
  <c r="H17" i="1" l="1"/>
  <c r="H6" i="1"/>
  <c r="C6" i="1"/>
  <c r="H6" i="2"/>
  <c r="C6" i="2"/>
  <c r="C40" i="2"/>
  <c r="H40" i="2" s="1"/>
  <c r="C44" i="2"/>
  <c r="H35" i="1"/>
  <c r="C35" i="1"/>
  <c r="C45" i="1"/>
  <c r="C41" i="1"/>
  <c r="C39" i="2"/>
  <c r="H39" i="2" s="1"/>
  <c r="H39" i="1"/>
  <c r="C39" i="1"/>
  <c r="C50" i="2"/>
  <c r="C34" i="1"/>
  <c r="H34" i="1"/>
  <c r="H40" i="1"/>
  <c r="C40" i="1"/>
  <c r="C38" i="2"/>
  <c r="H38" i="2" s="1"/>
  <c r="C32" i="1"/>
  <c r="H32" i="1" s="1"/>
  <c r="C33" i="1"/>
  <c r="H33" i="1" s="1"/>
  <c r="C5" i="2"/>
  <c r="H5" i="2" s="1"/>
  <c r="H16" i="1"/>
  <c r="H15" i="1"/>
  <c r="C17" i="1"/>
  <c r="C16" i="1"/>
  <c r="C8" i="2"/>
  <c r="H8" i="2" s="1"/>
  <c r="C10" i="2"/>
  <c r="C5" i="1"/>
  <c r="H5" i="1" s="1"/>
  <c r="H4" i="1"/>
  <c r="C4" i="1" s="1"/>
  <c r="C7" i="2"/>
  <c r="H7" i="2" s="1"/>
  <c r="C16" i="2"/>
  <c r="H4" i="2"/>
  <c r="C4" i="2"/>
  <c r="C3" i="2"/>
  <c r="H3" i="2" s="1"/>
  <c r="C22" i="1"/>
  <c r="C15" i="1"/>
  <c r="H12" i="1"/>
  <c r="C12" i="1"/>
  <c r="H14" i="1"/>
  <c r="C14" i="1"/>
  <c r="C2" i="1"/>
  <c r="H2" i="1" s="1"/>
  <c r="H3" i="1"/>
  <c r="C3" i="1" s="1"/>
</calcChain>
</file>

<file path=xl/sharedStrings.xml><?xml version="1.0" encoding="utf-8"?>
<sst xmlns="http://schemas.openxmlformats.org/spreadsheetml/2006/main" count="971" uniqueCount="259">
  <si>
    <t>RESISTANT</t>
  </si>
  <si>
    <t>Appropriate</t>
  </si>
  <si>
    <t>Inapprorpiate</t>
  </si>
  <si>
    <t>Mortality</t>
  </si>
  <si>
    <t>ICU</t>
  </si>
  <si>
    <t>40/104</t>
  </si>
  <si>
    <t>(Lemos, 2013)</t>
  </si>
  <si>
    <t>AB; 30 pneu, 14 bacteremia, 10 uti, 15 IAI</t>
  </si>
  <si>
    <t>5./42</t>
  </si>
  <si>
    <t>(Ben-David, 2011)</t>
  </si>
  <si>
    <t>non-ICU</t>
  </si>
  <si>
    <t>[Merck]</t>
  </si>
  <si>
    <t>33/64</t>
  </si>
  <si>
    <t>(Aydemir, 2011)</t>
  </si>
  <si>
    <t>AB</t>
  </si>
  <si>
    <t>AB; 72.7% resistant patients had pneu</t>
  </si>
  <si>
    <t>35/46</t>
  </si>
  <si>
    <t>18/34</t>
  </si>
  <si>
    <t>(Zavascki, 2006)</t>
  </si>
  <si>
    <t>PA; HAP + VAP</t>
  </si>
  <si>
    <t>23/30</t>
  </si>
  <si>
    <t>13/21</t>
  </si>
  <si>
    <t>(Garnacho-Monterro, 2003)</t>
  </si>
  <si>
    <t>AB; treated with colistin</t>
  </si>
  <si>
    <t>11./13</t>
  </si>
  <si>
    <t>KP; of R- 16 pneu, 24 ICU)</t>
  </si>
  <si>
    <t>24/42</t>
  </si>
  <si>
    <t>KP; of R- 16 pneu, 5 inappropriate)</t>
  </si>
  <si>
    <t>18/42</t>
  </si>
  <si>
    <t>68/99</t>
  </si>
  <si>
    <t>31/99</t>
  </si>
  <si>
    <t>(Patel, 2008)</t>
  </si>
  <si>
    <t>KP; of R-56/99 bacteremia, 34/99 IAI</t>
  </si>
  <si>
    <t>25/60</t>
  </si>
  <si>
    <t>(Kallel, 2007)</t>
  </si>
  <si>
    <t xml:space="preserve">treated with colistin; 51.7% AB, 48.4% PA </t>
  </si>
  <si>
    <t>81/93</t>
  </si>
  <si>
    <t xml:space="preserve">(Chang, 2010) </t>
  </si>
  <si>
    <t>(Chang, 2010)</t>
  </si>
  <si>
    <t>AB; VAP</t>
  </si>
  <si>
    <t>73/93</t>
  </si>
  <si>
    <t>.</t>
  </si>
  <si>
    <t>41/67</t>
  </si>
  <si>
    <t>(Jamulitrat, 2009)</t>
  </si>
  <si>
    <t>AB; of R- 14 pneu, 33 catheter</t>
  </si>
  <si>
    <t>17/30</t>
  </si>
  <si>
    <t>(Routi, 2009)</t>
  </si>
  <si>
    <t>AB; of R, ICU - 20 resp, 2 catheter</t>
  </si>
  <si>
    <t>20/37</t>
  </si>
  <si>
    <t>(Esterly, 2011)</t>
  </si>
  <si>
    <t>4./14</t>
  </si>
  <si>
    <t>(Kwon, 2007)</t>
  </si>
  <si>
    <t>AB; mix of diagnoses</t>
  </si>
  <si>
    <t>2./6</t>
  </si>
  <si>
    <t>(Wareham, 2008)</t>
  </si>
  <si>
    <t>19/26</t>
  </si>
  <si>
    <t>AB; mixed diagnosis</t>
  </si>
  <si>
    <t>7./26</t>
  </si>
  <si>
    <t>12./32</t>
  </si>
  <si>
    <t>(Borer, 2009)</t>
  </si>
  <si>
    <t>KP; 16 UTI, 6 pneu, 3 catheter, 7 unknown</t>
  </si>
  <si>
    <t xml:space="preserve"> </t>
  </si>
  <si>
    <t>SUSCEPTIBLE</t>
  </si>
  <si>
    <t>10./61</t>
  </si>
  <si>
    <t>92/150</t>
  </si>
  <si>
    <t>39/150</t>
  </si>
  <si>
    <t>24/49</t>
  </si>
  <si>
    <t>5./6</t>
  </si>
  <si>
    <t>66/87</t>
  </si>
  <si>
    <t>AB: VAP</t>
  </si>
  <si>
    <t>21/60</t>
  </si>
  <si>
    <t>AB; 70% S patients had pneu</t>
  </si>
  <si>
    <t>AB; of S: 27 pneu, 10 bacteremia, 1 UTI, 1 IAI</t>
  </si>
  <si>
    <t>KP;of S: 29 pneu, 39 ICU</t>
  </si>
  <si>
    <t>KP; of S: 29 pneu, 92 appropriate</t>
  </si>
  <si>
    <t>imipenem; 61.7% AB, 38.3% PA</t>
  </si>
  <si>
    <t>22/88</t>
  </si>
  <si>
    <t>PA; HAP</t>
  </si>
  <si>
    <t>10./20</t>
  </si>
  <si>
    <t xml:space="preserve">(Zavascki, 2006) </t>
  </si>
  <si>
    <t>76/87</t>
  </si>
  <si>
    <t>9./14</t>
  </si>
  <si>
    <t xml:space="preserve">(Garnacho-Monterro, 2003) </t>
  </si>
  <si>
    <t>AB; pneumonia</t>
  </si>
  <si>
    <t>7./9</t>
  </si>
  <si>
    <t>115/131</t>
  </si>
  <si>
    <t>AB; of S- 20 pneu, 57 catheter</t>
  </si>
  <si>
    <t>50/66</t>
  </si>
  <si>
    <t>AB; of S- 29 resp, 13 catheter</t>
  </si>
  <si>
    <t>14/42</t>
  </si>
  <si>
    <t>38/53</t>
  </si>
  <si>
    <t>(Zarkotou, 2011)</t>
  </si>
  <si>
    <t>KP; blood stream infection (source- 12 catheter, 7 resp, 6 urinary, 4 tissue, 1 CNS)</t>
  </si>
  <si>
    <t>35/53</t>
  </si>
  <si>
    <t>7./35</t>
  </si>
  <si>
    <t>11./18</t>
  </si>
  <si>
    <t>131/145</t>
  </si>
  <si>
    <t>(Pena, 2012)</t>
  </si>
  <si>
    <t xml:space="preserve">(Pena, 2012) </t>
  </si>
  <si>
    <t>PA; bacteremia</t>
  </si>
  <si>
    <t>438/487</t>
  </si>
  <si>
    <t>58/145</t>
  </si>
  <si>
    <t>112/487</t>
  </si>
  <si>
    <t>PA; blood stream</t>
  </si>
  <si>
    <t>PA; blood strema</t>
  </si>
  <si>
    <t>91/252</t>
  </si>
  <si>
    <t>12./91</t>
  </si>
  <si>
    <t>(Lee, 2012)</t>
  </si>
  <si>
    <t>AB; blood stream- 14 day  mortality (not 30)</t>
  </si>
  <si>
    <t>63/161</t>
  </si>
  <si>
    <t>AB; blood stream; 88 resp, 19 urinary, 13 catheter, 14 intra-abd, 5 soft tissue or wound, 39 primary bacteremia</t>
  </si>
  <si>
    <t>41/75</t>
  </si>
  <si>
    <t xml:space="preserve">AB; out of TOTAL mortality </t>
  </si>
  <si>
    <t xml:space="preserve">(Kim, 2012) </t>
  </si>
  <si>
    <t>AB; blood stream; 28 pneu, 6 urinary, 24 catheter, 15 intra-abd, 8 wound, 8 unknown</t>
  </si>
  <si>
    <t>25/53</t>
  </si>
  <si>
    <t>(Kim, 2012)</t>
  </si>
  <si>
    <t>28/53</t>
  </si>
  <si>
    <t>7./25</t>
  </si>
  <si>
    <t>19/28</t>
  </si>
  <si>
    <t>33/42</t>
  </si>
  <si>
    <t>9./42</t>
  </si>
  <si>
    <t>1./33</t>
  </si>
  <si>
    <t>3./9</t>
  </si>
  <si>
    <t>AB; 14 day mortality blood stream; 28 pneu, 6 urinary, 24 catheter, 15 intra-abd, 8 wound, 8 unknown</t>
  </si>
  <si>
    <t>(Qureshi, 2012)</t>
  </si>
  <si>
    <t>28/41</t>
  </si>
  <si>
    <t>13/41</t>
  </si>
  <si>
    <t>KP; blood stream; 10 pneu, 13 line related, 7 uti, 6 primary bacteremia (KPC-producing)</t>
  </si>
  <si>
    <t>PA; 28 day mortality 10 pneu, 13 line related, 7 uti, 6 primary bacteremia (KPC-producing)</t>
  </si>
  <si>
    <t>10./28</t>
  </si>
  <si>
    <t>6./13</t>
  </si>
  <si>
    <t>AB; VAP treated with colistin</t>
  </si>
  <si>
    <t>AB; bloodstream infection</t>
  </si>
  <si>
    <t xml:space="preserve">PA; HAP only </t>
  </si>
  <si>
    <t>21/42</t>
  </si>
  <si>
    <t>9./21</t>
  </si>
  <si>
    <t>15/21</t>
  </si>
  <si>
    <t>88/108</t>
  </si>
  <si>
    <t>20/108</t>
  </si>
  <si>
    <t>KP;of S: (bacteremia) 29 pneu, 39 ICU</t>
  </si>
  <si>
    <t>AB; 14 catheter, 10 pneu, 7 iai, 9 others</t>
  </si>
  <si>
    <t>General</t>
  </si>
  <si>
    <t>PNEUMONIA</t>
  </si>
  <si>
    <t>BACTEREMIA</t>
  </si>
  <si>
    <t>UTIs</t>
  </si>
  <si>
    <t>IAIs</t>
  </si>
  <si>
    <t>any pathogen</t>
  </si>
  <si>
    <t>PA</t>
  </si>
  <si>
    <t>KP</t>
  </si>
  <si>
    <t>Value</t>
  </si>
  <si>
    <t>Source</t>
  </si>
  <si>
    <t>MORTALITY</t>
  </si>
  <si>
    <t xml:space="preserve">(Friere, 2009) treated with imipenem </t>
  </si>
  <si>
    <t>17/57</t>
  </si>
  <si>
    <t>14.6% (mortality in ICU); 3.6% (non-ICU)</t>
  </si>
  <si>
    <t xml:space="preserve">(Wareham, 2008) bacteremia (hospital and commuity acquired) </t>
  </si>
  <si>
    <t>(Lemos,2013)</t>
  </si>
  <si>
    <t>Resistant</t>
  </si>
  <si>
    <t>42/104</t>
  </si>
  <si>
    <t>(Lemos, 2013) of resistant: 40 inappropriate treatment, 30 pneu, 14 bacteremia, 10 uti, 15 IAI</t>
  </si>
  <si>
    <t>21/48</t>
  </si>
  <si>
    <t>(Schwaber, 2008)</t>
  </si>
  <si>
    <t>49/93</t>
  </si>
  <si>
    <t>(Chang, 2010) of resistant: 81 in ICU, 73 inappropriate therapy (VAP)</t>
  </si>
  <si>
    <t>16/89</t>
  </si>
  <si>
    <t>(Lautenbach, 2009) 228 respiratory, 54 blood, 52 wound, 29 urine, 18 tissue, 5 other</t>
  </si>
  <si>
    <t>23/32</t>
  </si>
  <si>
    <t>(Borer, 2009) for resistant: 16 UTI, 6 pneu, 3 catheter, 7 unknown, 12 ICU</t>
  </si>
  <si>
    <t>29/42</t>
  </si>
  <si>
    <t>(Ben-David, 2011) of resistant: 16 nosocomial pneumonia, 24 ICU, 5 appropriate</t>
  </si>
  <si>
    <t>35/67</t>
  </si>
  <si>
    <t>(Jamulitrat, 2009) of resistant cases: 14 pneumonia, 33 catheter related; 41 given appropriate treatment</t>
  </si>
  <si>
    <t>39/68</t>
  </si>
  <si>
    <t>(Patel, 2008) ICU ONLY (56/99 bacteremia patients, 34/99 IAI)</t>
  </si>
  <si>
    <t>13/30</t>
  </si>
  <si>
    <t>(Routi, 2009) ICU only, of resistant cases: 20 respiratory, 2 catheter, 17 appropriate therapy</t>
  </si>
  <si>
    <t>(Patel, 2008) non-ICU ONLY (56/99 bacteremia, 34/99 IAI)</t>
  </si>
  <si>
    <t>21/37</t>
  </si>
  <si>
    <t>(Esterly, 2011) of resistant: 20 were in ICU</t>
  </si>
  <si>
    <t>Appropriate therapy</t>
  </si>
  <si>
    <t>(Aydemir, 2011) 72.7% of resistant patients had pneumonia</t>
  </si>
  <si>
    <t>(Kallel, 2007) treated with colistin-&gt; 51.7% were AB, 48.4% were PA (ICU)</t>
  </si>
  <si>
    <t>(Zavascki, 2006) HAP + VAP</t>
  </si>
  <si>
    <t>(Garnacho-Monterro, 2003) resistant, colistin</t>
  </si>
  <si>
    <t>(Kwon, 2007) ICU &amp; non-ICU; primary focus of bacteremia split between catheter-related infections, pneumonia, IAIs, others</t>
  </si>
  <si>
    <t>Inappropriate therapy</t>
  </si>
  <si>
    <t>Susceptible</t>
  </si>
  <si>
    <t>13/61</t>
  </si>
  <si>
    <t>(Lemos, 2013) of susceptibe: 10 inappropriate, 27 pneu, 10 bacteremia, 1 UTI, 1 IAI</t>
  </si>
  <si>
    <t>33/87</t>
  </si>
  <si>
    <t>(Chang, 2010) of susceptible: 76 in ICU, 66 inapprorpiate therapy (VAP)</t>
  </si>
  <si>
    <t>63/297</t>
  </si>
  <si>
    <t>(Lautenbach, 2009)</t>
  </si>
  <si>
    <t>(Ben-David, 2011) of susceptible: 29 nosocomial pneu, 39 ICU, 92 appropriate</t>
  </si>
  <si>
    <t>26/131</t>
  </si>
  <si>
    <t xml:space="preserve">(Jamulitrat, 2009) of susceptible: 20 pneumonia, 57 catheter, 115 given appropriate </t>
  </si>
  <si>
    <t>31/66</t>
  </si>
  <si>
    <t>(Routi, 2009) ICU only, of susceptible cases: 29 respiratory, 13 catheter, 50 appropriate therapy</t>
  </si>
  <si>
    <t>(Esterly, 2011) of susceptible: 14 in ICU</t>
  </si>
  <si>
    <t>(Aydemir, 2011) 70% of susceptible patients had pneumonia</t>
  </si>
  <si>
    <t>(Kallel, 2007) treated with imipenem; 61.7% were AB, 38.3% were PA (ICU)</t>
  </si>
  <si>
    <t>(Zavascki, 2006) HAP only</t>
  </si>
  <si>
    <t>(Garnacho-Monterro, 2003) susceptible, imipenem</t>
  </si>
  <si>
    <t>LOS</t>
  </si>
  <si>
    <t>(Aydemir, 2011) 18.1 (14) + 22.4 (29.1)</t>
  </si>
  <si>
    <t>57.8 ± 36.2</t>
  </si>
  <si>
    <t>21 [14-29]</t>
  </si>
  <si>
    <t>(Lautenbach, 2009);  $334,516 mean hospital charges for resistant bacteria</t>
  </si>
  <si>
    <t>19.3 [16.0-22.5]</t>
  </si>
  <si>
    <t>(Lemos, 2013) Hospital days after inf</t>
  </si>
  <si>
    <r>
      <t xml:space="preserve">37 </t>
    </r>
    <r>
      <rPr>
        <b/>
        <sz val="11"/>
        <color theme="1"/>
        <rFont val="Calibri"/>
        <family val="2"/>
      </rPr>
      <t>± 32</t>
    </r>
  </si>
  <si>
    <t>13.1 [10.8-15.4]</t>
  </si>
  <si>
    <t>(Lemos, 2013) ICU days after inf</t>
  </si>
  <si>
    <t>33 [18.8-55.8]</t>
  </si>
  <si>
    <t>(Routi, 2009) ICU only</t>
  </si>
  <si>
    <t>14 [11.5-21]</t>
  </si>
  <si>
    <t>35.5 ± 31.2</t>
  </si>
  <si>
    <t>(Kallel, 2007) ICU colistin; PA and AB</t>
  </si>
  <si>
    <r>
      <t xml:space="preserve">32.6 </t>
    </r>
    <r>
      <rPr>
        <b/>
        <sz val="11"/>
        <color theme="1"/>
        <rFont val="Calibri"/>
        <family val="2"/>
      </rPr>
      <t>± 20.5</t>
    </r>
  </si>
  <si>
    <t>(Garnacho-Monterro, 2003) resistant, colistin ICU</t>
  </si>
  <si>
    <r>
      <t xml:space="preserve">45.2 </t>
    </r>
    <r>
      <rPr>
        <b/>
        <sz val="11"/>
        <color theme="1"/>
        <rFont val="Calibri"/>
        <family val="2"/>
      </rPr>
      <t>± 30.6</t>
    </r>
  </si>
  <si>
    <t>(Aydemir, 2011) 15.7 (12.3) + 16.5 (17.1)</t>
  </si>
  <si>
    <t>50.8 ± 31.5</t>
  </si>
  <si>
    <t>16 [12-18]</t>
  </si>
  <si>
    <t>(Lautenbach, 2009); $276,059 mean hospital charges for susceptible</t>
  </si>
  <si>
    <t>16.2 [11.5-19.9]</t>
  </si>
  <si>
    <r>
      <t xml:space="preserve">27 </t>
    </r>
    <r>
      <rPr>
        <b/>
        <sz val="11"/>
        <color theme="1"/>
        <rFont val="Calibri"/>
        <family val="2"/>
      </rPr>
      <t>± 37</t>
    </r>
  </si>
  <si>
    <t>10.5 [8.2-12.8]</t>
  </si>
  <si>
    <t>28.5 [14.8-46.5]</t>
  </si>
  <si>
    <t>6.5 [5-12]</t>
  </si>
  <si>
    <r>
      <t xml:space="preserve">31.2 </t>
    </r>
    <r>
      <rPr>
        <b/>
        <sz val="11"/>
        <color theme="1"/>
        <rFont val="Calibri"/>
        <family val="2"/>
      </rPr>
      <t>± 28.7</t>
    </r>
  </si>
  <si>
    <t>(Kallel, 2007) ICU imipenem, PA and AB</t>
  </si>
  <si>
    <r>
      <t xml:space="preserve">35 </t>
    </r>
    <r>
      <rPr>
        <b/>
        <sz val="11"/>
        <color theme="1"/>
        <rFont val="Calibri"/>
        <family val="2"/>
      </rPr>
      <t>± 25</t>
    </r>
  </si>
  <si>
    <t>(Garnacho-Monterro, 2003) susceptible, imipenem non-ICU</t>
  </si>
  <si>
    <r>
      <t xml:space="preserve">53.9 </t>
    </r>
    <r>
      <rPr>
        <b/>
        <sz val="11"/>
        <color theme="1"/>
        <rFont val="Calibri"/>
        <family val="2"/>
      </rPr>
      <t>± 50</t>
    </r>
  </si>
  <si>
    <t>Miscellaneous Info</t>
  </si>
  <si>
    <t>21/50 of those on inappropriate therapy died; 34/115 of those on appropriate</t>
  </si>
  <si>
    <t>13/48 of those who died were on inappropriate therapy; 18/51 of those who lived were on appropriate</t>
  </si>
  <si>
    <t>70/82 of those who die are on inappropriate therapy</t>
  </si>
  <si>
    <t>(Chang, 2010) VAP</t>
  </si>
  <si>
    <t>23/31 of those who died were on appropriate therapy</t>
  </si>
  <si>
    <t>AB; bloodstream infection (no available breakdown)</t>
  </si>
  <si>
    <t>AB; blood stream- SURVIVORS (88 RESP, 19 uti, 13 catheter, 14 IAI, 5 soft tissue/wound, 39 primary bacteremia); NONsurvivors (54 pneu, 3 uti, 5 catheter, 5 IAI, 2 soft tissue, 11 bacteremia) 14 day  mortality (not 30)</t>
  </si>
  <si>
    <t>LOS nonICU</t>
  </si>
  <si>
    <t>PA; blood stream; of R: 44 UTI, 32 catheter, 30 unknown, 21 resp, 12 abd, 4 soft tissue, 2 other</t>
  </si>
  <si>
    <t>PA; blood stream; of S: 126 UTI, 89 catheter, 140 unknown, 52 resp, 52 abd, 16 soft tissue, 12 other</t>
  </si>
  <si>
    <t>KP; of R- bloodstream infection; of R- 16 pneumonia and 24 ICU</t>
  </si>
  <si>
    <t>35.5 (31.2)</t>
  </si>
  <si>
    <t xml:space="preserve">(Kallel, 2007) </t>
  </si>
  <si>
    <t>PA+AB; VAP  treated with colistin-&gt; 51.7% were AB, 48.4% were PA (ICU)</t>
  </si>
  <si>
    <t>31.2 (28.7)</t>
  </si>
  <si>
    <t>Garnacho-Monterro, 2003</t>
  </si>
  <si>
    <t>AB, VAP</t>
  </si>
  <si>
    <t>45.2 (30.6)</t>
  </si>
  <si>
    <t>35 (25)</t>
  </si>
  <si>
    <t>53.9 (50)</t>
  </si>
  <si>
    <t>Inappropriate</t>
  </si>
  <si>
    <t>32.6 (20.5)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</si>
</sst>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#\ ???/???"/>
    <numFmt numFmtId="165" formatCode="#\ ??/11"/>
    <numFmt numFmtId="166" formatCode="#\ ??/24"/>
    <numFmt numFmtId="167" formatCode="#\ ??/31"/>
    <numFmt numFmtId="168" formatCode="#\ ??/14"/>
    <numFmt numFmtId="169" formatCode="#\ ?/6"/>
    <numFmt numFmtId="170" formatCode="#\ ??/26"/>
    <numFmt numFmtId="171" formatCode="#\ ??/56"/>
    <numFmt numFmtId="172" formatCode="#\ ??/32"/>
    <numFmt numFmtId="173" formatCode="#\ ???/150"/>
    <numFmt numFmtId="174" formatCode="#\ ??/42"/>
    <numFmt numFmtId="175" formatCode="#\ ?/32"/>
    <numFmt numFmtId="176" formatCode="#\ ??/20"/>
    <numFmt numFmtId="177" formatCode="#\ ?/8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7" fontId="2" fillId="0" borderId="0" xfId="0" applyNumberFormat="1" applyFont="1"/>
    <xf numFmtId="16" fontId="2" fillId="0" borderId="0" xfId="0" applyNumberFormat="1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3" xfId="0" applyFill="1" applyBorder="1" applyAlignment="1"/>
    <xf numFmtId="0" fontId="1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4" xfId="0" applyFill="1" applyBorder="1" applyAlignment="1"/>
    <xf numFmtId="0" fontId="4" fillId="0" borderId="5" xfId="0" applyFont="1" applyFill="1" applyBorder="1" applyAlignment="1"/>
    <xf numFmtId="0" fontId="5" fillId="0" borderId="5" xfId="0" applyFont="1" applyFill="1" applyBorder="1" applyAlignment="1"/>
    <xf numFmtId="0" fontId="5" fillId="0" borderId="4" xfId="0" applyFont="1" applyFill="1" applyBorder="1" applyAlignment="1"/>
    <xf numFmtId="0" fontId="0" fillId="0" borderId="5" xfId="0" applyFill="1" applyBorder="1" applyAlignment="1"/>
    <xf numFmtId="0" fontId="1" fillId="0" borderId="3" xfId="0" applyFont="1" applyFill="1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Alignment="1">
      <alignment horizontal="left"/>
    </xf>
    <xf numFmtId="165" fontId="1" fillId="0" borderId="0" xfId="0" applyNumberFormat="1" applyFont="1" applyFill="1" applyAlignment="1">
      <alignment horizontal="center"/>
    </xf>
    <xf numFmtId="12" fontId="0" fillId="0" borderId="0" xfId="0" applyNumberFormat="1" applyFill="1" applyAlignment="1">
      <alignment horizontal="center"/>
    </xf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5" xfId="0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6" fontId="1" fillId="0" borderId="5" xfId="0" applyNumberFormat="1" applyFont="1" applyFill="1" applyBorder="1" applyAlignment="1">
      <alignment horizontal="center"/>
    </xf>
    <xf numFmtId="0" fontId="6" fillId="0" borderId="3" xfId="0" applyFont="1" applyFill="1" applyBorder="1" applyAlignment="1"/>
    <xf numFmtId="0" fontId="6" fillId="0" borderId="4" xfId="0" applyFont="1" applyFill="1" applyBorder="1" applyAlignment="1"/>
    <xf numFmtId="167" fontId="1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13" fontId="1" fillId="0" borderId="0" xfId="0" applyNumberFormat="1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/>
    <xf numFmtId="13" fontId="1" fillId="0" borderId="5" xfId="0" applyNumberFormat="1" applyFont="1" applyFill="1" applyBorder="1" applyAlignment="1">
      <alignment horizontal="center"/>
    </xf>
    <xf numFmtId="170" fontId="1" fillId="0" borderId="5" xfId="0" applyNumberFormat="1" applyFont="1" applyFill="1" applyBorder="1" applyAlignment="1">
      <alignment horizontal="center"/>
    </xf>
    <xf numFmtId="171" fontId="1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73" fontId="1" fillId="0" borderId="0" xfId="0" applyNumberFormat="1" applyFont="1" applyFill="1" applyAlignment="1">
      <alignment horizontal="center"/>
    </xf>
    <xf numFmtId="174" fontId="1" fillId="0" borderId="0" xfId="0" applyNumberFormat="1" applyFont="1" applyFill="1" applyAlignment="1">
      <alignment horizontal="center"/>
    </xf>
    <xf numFmtId="171" fontId="1" fillId="0" borderId="5" xfId="0" applyNumberFormat="1" applyFont="1" applyFill="1" applyBorder="1" applyAlignment="1">
      <alignment horizontal="center"/>
    </xf>
    <xf numFmtId="174" fontId="1" fillId="0" borderId="5" xfId="0" applyNumberFormat="1" applyFont="1" applyFill="1" applyBorder="1" applyAlignment="1">
      <alignment horizontal="center"/>
    </xf>
    <xf numFmtId="175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177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7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16" fontId="2" fillId="0" borderId="0" xfId="0" applyNumberFormat="1" applyFont="1" applyAlignment="1">
      <alignment wrapText="1"/>
    </xf>
    <xf numFmtId="0" fontId="0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16" fontId="2" fillId="0" borderId="1" xfId="0" applyNumberFormat="1" applyFont="1" applyBorder="1" applyAlignment="1">
      <alignment wrapText="1"/>
    </xf>
    <xf numFmtId="16" fontId="0" fillId="0" borderId="0" xfId="0" applyNumberFormat="1" applyAlignment="1">
      <alignment wrapText="1"/>
    </xf>
    <xf numFmtId="0" fontId="1" fillId="0" borderId="0" xfId="0" applyFont="1" applyFill="1"/>
    <xf numFmtId="0" fontId="3" fillId="0" borderId="0" xfId="0" applyFont="1" applyFill="1"/>
    <xf numFmtId="16" fontId="2" fillId="0" borderId="0" xfId="0" applyNumberFormat="1" applyFont="1" applyFill="1"/>
    <xf numFmtId="17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70" zoomScaleNormal="70" workbookViewId="0">
      <selection activeCell="G61" sqref="G61"/>
    </sheetView>
  </sheetViews>
  <sheetFormatPr defaultRowHeight="15" x14ac:dyDescent="0.25"/>
  <cols>
    <col min="1" max="1" width="11.7109375" bestFit="1" customWidth="1"/>
    <col min="2" max="2" width="7.42578125" style="2" customWidth="1"/>
    <col min="3" max="3" width="9.140625" style="2"/>
    <col min="4" max="4" width="6.140625" customWidth="1"/>
    <col min="5" max="5" width="8.85546875" customWidth="1"/>
    <col min="6" max="6" width="13.28515625" bestFit="1" customWidth="1"/>
    <col min="7" max="8" width="9.140625" style="2"/>
    <col min="9" max="9" width="6.42578125" customWidth="1"/>
  </cols>
  <sheetData>
    <row r="1" spans="1:11" s="3" customFormat="1" x14ac:dyDescent="0.25">
      <c r="A1" s="7" t="s">
        <v>0</v>
      </c>
      <c r="B1" s="8"/>
      <c r="C1" s="8"/>
      <c r="G1" s="8"/>
      <c r="H1" s="8"/>
    </row>
    <row r="2" spans="1:11" x14ac:dyDescent="0.25">
      <c r="A2" s="6" t="s">
        <v>1</v>
      </c>
      <c r="B2" s="4" t="s">
        <v>8</v>
      </c>
      <c r="C2" s="2">
        <f>5/42</f>
        <v>0.11904761904761904</v>
      </c>
      <c r="D2" t="s">
        <v>9</v>
      </c>
      <c r="F2" s="6" t="s">
        <v>2</v>
      </c>
      <c r="H2" s="9">
        <f>1-C2</f>
        <v>0.88095238095238093</v>
      </c>
      <c r="I2" s="10" t="s">
        <v>9</v>
      </c>
      <c r="J2" s="10" t="s">
        <v>25</v>
      </c>
      <c r="K2" s="10"/>
    </row>
    <row r="3" spans="1:11" x14ac:dyDescent="0.25">
      <c r="A3" s="1" t="s">
        <v>41</v>
      </c>
      <c r="C3" s="2">
        <f>1-H3</f>
        <v>0.61538461538461542</v>
      </c>
      <c r="D3" t="s">
        <v>6</v>
      </c>
      <c r="F3" s="1" t="s">
        <v>41</v>
      </c>
      <c r="G3" s="2" t="s">
        <v>5</v>
      </c>
      <c r="H3" s="9">
        <f>40/104</f>
        <v>0.38461538461538464</v>
      </c>
      <c r="I3" s="10" t="s">
        <v>6</v>
      </c>
      <c r="J3" s="10" t="s">
        <v>7</v>
      </c>
      <c r="K3" s="10"/>
    </row>
    <row r="4" spans="1:11" x14ac:dyDescent="0.25">
      <c r="A4" s="1" t="s">
        <v>41</v>
      </c>
      <c r="C4" s="2">
        <f>1-H4</f>
        <v>0.21505376344086025</v>
      </c>
      <c r="D4" t="s">
        <v>38</v>
      </c>
      <c r="F4" s="1" t="s">
        <v>41</v>
      </c>
      <c r="G4" s="2" t="s">
        <v>40</v>
      </c>
      <c r="H4" s="9">
        <f>73/93</f>
        <v>0.78494623655913975</v>
      </c>
      <c r="I4" s="10" t="s">
        <v>38</v>
      </c>
      <c r="J4" s="10" t="s">
        <v>39</v>
      </c>
      <c r="K4" s="10"/>
    </row>
    <row r="5" spans="1:11" x14ac:dyDescent="0.25">
      <c r="A5" s="1" t="s">
        <v>41</v>
      </c>
      <c r="B5" s="2" t="s">
        <v>42</v>
      </c>
      <c r="C5" s="2">
        <f>41/67</f>
        <v>0.61194029850746268</v>
      </c>
      <c r="D5" t="s">
        <v>43</v>
      </c>
      <c r="F5" s="1" t="s">
        <v>41</v>
      </c>
      <c r="H5" s="9">
        <f>1-C5</f>
        <v>0.38805970149253732</v>
      </c>
      <c r="I5" s="10" t="s">
        <v>43</v>
      </c>
      <c r="J5" s="10" t="s">
        <v>44</v>
      </c>
      <c r="K5" s="10"/>
    </row>
    <row r="6" spans="1:11" x14ac:dyDescent="0.25">
      <c r="A6" s="1" t="s">
        <v>41</v>
      </c>
      <c r="B6" s="2" t="s">
        <v>93</v>
      </c>
      <c r="C6" s="2">
        <f>35/53</f>
        <v>0.660377358490566</v>
      </c>
      <c r="D6" t="s">
        <v>91</v>
      </c>
      <c r="F6" s="1" t="s">
        <v>41</v>
      </c>
      <c r="H6" s="9">
        <f>1-C6</f>
        <v>0.339622641509434</v>
      </c>
      <c r="I6" s="10" t="s">
        <v>91</v>
      </c>
      <c r="J6" s="10" t="s">
        <v>92</v>
      </c>
      <c r="K6" s="10"/>
    </row>
    <row r="7" spans="1:11" x14ac:dyDescent="0.25">
      <c r="A7" s="1" t="s">
        <v>41</v>
      </c>
      <c r="B7" s="2" t="s">
        <v>96</v>
      </c>
      <c r="C7" s="2">
        <f>131/145</f>
        <v>0.90344827586206899</v>
      </c>
      <c r="D7" t="s">
        <v>97</v>
      </c>
      <c r="F7" s="1" t="s">
        <v>41</v>
      </c>
      <c r="H7" s="9">
        <f>1-C7</f>
        <v>9.6551724137931005E-2</v>
      </c>
      <c r="I7" s="10" t="s">
        <v>98</v>
      </c>
      <c r="J7" s="10" t="s">
        <v>103</v>
      </c>
      <c r="K7" s="10"/>
    </row>
    <row r="8" spans="1:11" x14ac:dyDescent="0.25">
      <c r="A8" s="1" t="s">
        <v>41</v>
      </c>
      <c r="B8" s="2" t="s">
        <v>105</v>
      </c>
      <c r="C8" s="2">
        <f>91/252</f>
        <v>0.3611111111111111</v>
      </c>
      <c r="D8" t="s">
        <v>107</v>
      </c>
      <c r="F8" s="1" t="s">
        <v>41</v>
      </c>
      <c r="H8" s="9">
        <f>1-C8</f>
        <v>0.63888888888888884</v>
      </c>
      <c r="I8" s="10" t="s">
        <v>107</v>
      </c>
      <c r="J8" s="10" t="s">
        <v>110</v>
      </c>
      <c r="K8" s="10"/>
    </row>
    <row r="9" spans="1:11" x14ac:dyDescent="0.25">
      <c r="A9" s="1" t="s">
        <v>41</v>
      </c>
      <c r="B9" s="2" t="s">
        <v>115</v>
      </c>
      <c r="C9" s="2">
        <f>25/53</f>
        <v>0.47169811320754718</v>
      </c>
      <c r="D9" t="s">
        <v>116</v>
      </c>
      <c r="F9" s="1" t="s">
        <v>41</v>
      </c>
      <c r="G9" s="2" t="s">
        <v>117</v>
      </c>
      <c r="H9" s="9">
        <f>28/53</f>
        <v>0.52830188679245282</v>
      </c>
      <c r="I9" s="10" t="s">
        <v>113</v>
      </c>
      <c r="J9" s="10" t="s">
        <v>114</v>
      </c>
      <c r="K9" s="10"/>
    </row>
    <row r="10" spans="1:11" x14ac:dyDescent="0.25">
      <c r="A10" s="1" t="s">
        <v>41</v>
      </c>
      <c r="B10" s="2" t="s">
        <v>126</v>
      </c>
      <c r="C10" s="2">
        <f>28/41</f>
        <v>0.68292682926829273</v>
      </c>
      <c r="D10" t="s">
        <v>125</v>
      </c>
      <c r="F10" s="1" t="s">
        <v>41</v>
      </c>
      <c r="G10" s="2" t="s">
        <v>127</v>
      </c>
      <c r="H10" s="9">
        <f>13/41</f>
        <v>0.31707317073170732</v>
      </c>
      <c r="I10" s="10" t="s">
        <v>125</v>
      </c>
      <c r="J10" s="10" t="s">
        <v>128</v>
      </c>
      <c r="K10" s="10"/>
    </row>
    <row r="11" spans="1:11" x14ac:dyDescent="0.25">
      <c r="A11" s="1"/>
      <c r="B11" s="2" t="s">
        <v>135</v>
      </c>
      <c r="C11" s="2">
        <f>21/42</f>
        <v>0.5</v>
      </c>
      <c r="D11" t="s">
        <v>18</v>
      </c>
      <c r="E11" s="10" t="s">
        <v>134</v>
      </c>
      <c r="F11" s="1"/>
      <c r="H11" s="9">
        <v>0.5</v>
      </c>
      <c r="I11" s="10" t="s">
        <v>18</v>
      </c>
      <c r="J11" s="10" t="s">
        <v>134</v>
      </c>
    </row>
    <row r="12" spans="1:11" x14ac:dyDescent="0.25">
      <c r="A12" s="6" t="s">
        <v>3</v>
      </c>
      <c r="B12" s="2" t="s">
        <v>17</v>
      </c>
      <c r="C12" s="2">
        <f>18/34</f>
        <v>0.52941176470588236</v>
      </c>
      <c r="D12" t="s">
        <v>18</v>
      </c>
      <c r="E12" t="s">
        <v>19</v>
      </c>
      <c r="F12" s="6" t="s">
        <v>3</v>
      </c>
      <c r="G12" s="2" t="s">
        <v>20</v>
      </c>
      <c r="H12" s="9">
        <f>23/30</f>
        <v>0.76666666666666672</v>
      </c>
      <c r="I12" s="10" t="s">
        <v>18</v>
      </c>
      <c r="J12" s="10" t="s">
        <v>19</v>
      </c>
    </row>
    <row r="13" spans="1:11" x14ac:dyDescent="0.25">
      <c r="A13" s="6"/>
      <c r="B13" s="2" t="s">
        <v>136</v>
      </c>
      <c r="C13" s="2">
        <f>9/21</f>
        <v>0.42857142857142855</v>
      </c>
      <c r="D13" t="s">
        <v>18</v>
      </c>
      <c r="E13" t="s">
        <v>134</v>
      </c>
      <c r="F13" s="6"/>
      <c r="G13" s="2" t="s">
        <v>137</v>
      </c>
      <c r="H13" s="9">
        <f>15/21</f>
        <v>0.7142857142857143</v>
      </c>
      <c r="I13" s="10" t="s">
        <v>18</v>
      </c>
      <c r="J13" s="10" t="s">
        <v>134</v>
      </c>
    </row>
    <row r="14" spans="1:11" x14ac:dyDescent="0.25">
      <c r="A14" s="1" t="s">
        <v>41</v>
      </c>
      <c r="B14" s="2" t="s">
        <v>12</v>
      </c>
      <c r="C14" s="2">
        <f>33/64</f>
        <v>0.515625</v>
      </c>
      <c r="D14" t="s">
        <v>13</v>
      </c>
      <c r="E14" t="s">
        <v>15</v>
      </c>
      <c r="F14" s="1" t="s">
        <v>41</v>
      </c>
      <c r="G14" s="2" t="s">
        <v>16</v>
      </c>
      <c r="H14" s="2">
        <f>35/46</f>
        <v>0.76086956521739135</v>
      </c>
      <c r="I14" t="s">
        <v>13</v>
      </c>
      <c r="J14" t="s">
        <v>15</v>
      </c>
    </row>
    <row r="15" spans="1:11" x14ac:dyDescent="0.25">
      <c r="A15" s="1" t="s">
        <v>41</v>
      </c>
      <c r="B15" s="2" t="s">
        <v>21</v>
      </c>
      <c r="C15" s="2">
        <f>13/21</f>
        <v>0.61904761904761907</v>
      </c>
      <c r="D15" t="s">
        <v>22</v>
      </c>
      <c r="E15" t="s">
        <v>23</v>
      </c>
      <c r="F15" s="1" t="s">
        <v>41</v>
      </c>
      <c r="G15" s="2" t="s">
        <v>55</v>
      </c>
      <c r="H15" s="2">
        <f>19/26</f>
        <v>0.73076923076923073</v>
      </c>
      <c r="I15" t="s">
        <v>51</v>
      </c>
      <c r="J15" t="s">
        <v>56</v>
      </c>
    </row>
    <row r="16" spans="1:11" x14ac:dyDescent="0.25">
      <c r="A16" s="1" t="s">
        <v>41</v>
      </c>
      <c r="B16" s="5" t="s">
        <v>50</v>
      </c>
      <c r="C16" s="2">
        <f>4/14</f>
        <v>0.2857142857142857</v>
      </c>
      <c r="D16" t="s">
        <v>51</v>
      </c>
      <c r="E16" t="s">
        <v>52</v>
      </c>
      <c r="F16" s="1" t="s">
        <v>41</v>
      </c>
      <c r="G16" s="5" t="s">
        <v>57</v>
      </c>
      <c r="H16" s="2">
        <f>7/26</f>
        <v>0.26923076923076922</v>
      </c>
      <c r="I16" t="s">
        <v>54</v>
      </c>
      <c r="J16" t="s">
        <v>14</v>
      </c>
    </row>
    <row r="17" spans="1:10" x14ac:dyDescent="0.25">
      <c r="A17" s="1" t="s">
        <v>41</v>
      </c>
      <c r="B17" s="2" t="s">
        <v>53</v>
      </c>
      <c r="C17" s="2">
        <f>2/6</f>
        <v>0.33333333333333331</v>
      </c>
      <c r="D17" t="s">
        <v>54</v>
      </c>
      <c r="E17" t="s">
        <v>14</v>
      </c>
      <c r="F17" s="1" t="s">
        <v>41</v>
      </c>
      <c r="G17" s="2" t="s">
        <v>95</v>
      </c>
      <c r="H17" s="2">
        <f>11/18</f>
        <v>0.61111111111111116</v>
      </c>
      <c r="I17" t="s">
        <v>91</v>
      </c>
      <c r="J17" t="s">
        <v>92</v>
      </c>
    </row>
    <row r="18" spans="1:10" x14ac:dyDescent="0.25">
      <c r="A18" s="1" t="s">
        <v>41</v>
      </c>
      <c r="B18" s="2" t="s">
        <v>94</v>
      </c>
      <c r="C18" s="2">
        <v>0.2</v>
      </c>
      <c r="D18" t="s">
        <v>91</v>
      </c>
      <c r="E18" t="s">
        <v>92</v>
      </c>
      <c r="F18" s="1" t="s">
        <v>41</v>
      </c>
      <c r="G18" s="2" t="s">
        <v>109</v>
      </c>
      <c r="H18" s="2">
        <f>63/161</f>
        <v>0.39130434782608697</v>
      </c>
      <c r="I18" t="s">
        <v>107</v>
      </c>
      <c r="J18" t="s">
        <v>108</v>
      </c>
    </row>
    <row r="19" spans="1:10" x14ac:dyDescent="0.25">
      <c r="A19" s="1" t="s">
        <v>41</v>
      </c>
      <c r="B19" s="4" t="s">
        <v>106</v>
      </c>
      <c r="C19" s="2">
        <f>12/91</f>
        <v>0.13186813186813187</v>
      </c>
      <c r="D19" t="s">
        <v>107</v>
      </c>
      <c r="E19" t="s">
        <v>108</v>
      </c>
      <c r="F19" s="1" t="s">
        <v>41</v>
      </c>
      <c r="G19" s="2" t="s">
        <v>119</v>
      </c>
      <c r="H19" s="2">
        <f>19/28</f>
        <v>0.6785714285714286</v>
      </c>
      <c r="I19" t="s">
        <v>113</v>
      </c>
      <c r="J19" t="s">
        <v>124</v>
      </c>
    </row>
    <row r="20" spans="1:10" x14ac:dyDescent="0.25">
      <c r="A20" s="1" t="s">
        <v>41</v>
      </c>
      <c r="B20" s="4" t="s">
        <v>118</v>
      </c>
      <c r="C20" s="2">
        <f>7/25</f>
        <v>0.28000000000000003</v>
      </c>
      <c r="D20" t="s">
        <v>116</v>
      </c>
      <c r="E20" t="s">
        <v>124</v>
      </c>
      <c r="F20" s="1" t="s">
        <v>41</v>
      </c>
      <c r="G20" s="2" t="s">
        <v>131</v>
      </c>
      <c r="H20" s="2">
        <f>6/13</f>
        <v>0.46153846153846156</v>
      </c>
      <c r="I20" t="s">
        <v>125</v>
      </c>
      <c r="J20" t="s">
        <v>129</v>
      </c>
    </row>
    <row r="21" spans="1:10" x14ac:dyDescent="0.25">
      <c r="A21" s="1" t="s">
        <v>41</v>
      </c>
      <c r="B21" s="4" t="s">
        <v>130</v>
      </c>
      <c r="C21" s="2">
        <f>10/28</f>
        <v>0.35714285714285715</v>
      </c>
      <c r="D21" t="s">
        <v>125</v>
      </c>
      <c r="E21" t="s">
        <v>129</v>
      </c>
      <c r="F21" s="1" t="s">
        <v>41</v>
      </c>
    </row>
    <row r="22" spans="1:10" x14ac:dyDescent="0.25">
      <c r="A22" s="6" t="s">
        <v>4</v>
      </c>
      <c r="B22" s="5" t="s">
        <v>24</v>
      </c>
      <c r="C22" s="2">
        <f>11/13</f>
        <v>0.84615384615384615</v>
      </c>
      <c r="D22" t="s">
        <v>22</v>
      </c>
      <c r="E22" t="s">
        <v>14</v>
      </c>
      <c r="F22" s="6" t="s">
        <v>4</v>
      </c>
      <c r="G22" s="2" t="s">
        <v>111</v>
      </c>
      <c r="H22" s="2">
        <f>41/75</f>
        <v>0.54666666666666663</v>
      </c>
      <c r="I22" t="s">
        <v>107</v>
      </c>
      <c r="J22" t="s">
        <v>112</v>
      </c>
    </row>
    <row r="23" spans="1:10" x14ac:dyDescent="0.25">
      <c r="A23" s="1" t="s">
        <v>41</v>
      </c>
      <c r="B23" s="2" t="s">
        <v>111</v>
      </c>
      <c r="C23" s="2">
        <f>41/75</f>
        <v>0.54666666666666663</v>
      </c>
      <c r="D23" t="s">
        <v>107</v>
      </c>
      <c r="E23" t="s">
        <v>112</v>
      </c>
      <c r="F23" s="1" t="s">
        <v>41</v>
      </c>
    </row>
    <row r="24" spans="1:10" x14ac:dyDescent="0.25">
      <c r="A24" s="1" t="s">
        <v>41</v>
      </c>
      <c r="F24" s="1" t="s">
        <v>41</v>
      </c>
    </row>
    <row r="25" spans="1:10" x14ac:dyDescent="0.25">
      <c r="A25" s="1" t="s">
        <v>41</v>
      </c>
      <c r="F25" s="1" t="s">
        <v>41</v>
      </c>
    </row>
    <row r="26" spans="1:10" x14ac:dyDescent="0.25">
      <c r="A26" s="1" t="s">
        <v>41</v>
      </c>
      <c r="F26" s="1" t="s">
        <v>41</v>
      </c>
    </row>
    <row r="27" spans="1:10" x14ac:dyDescent="0.25">
      <c r="A27" s="1" t="s">
        <v>41</v>
      </c>
      <c r="F27" s="1" t="s">
        <v>41</v>
      </c>
    </row>
    <row r="30" spans="1:10" x14ac:dyDescent="0.25">
      <c r="F30" t="s">
        <v>61</v>
      </c>
    </row>
    <row r="31" spans="1:10" s="3" customFormat="1" x14ac:dyDescent="0.25">
      <c r="A31" s="7" t="s">
        <v>62</v>
      </c>
      <c r="C31" s="8"/>
      <c r="G31" s="8"/>
      <c r="H31" s="8"/>
    </row>
    <row r="32" spans="1:10" x14ac:dyDescent="0.25">
      <c r="A32" s="6" t="s">
        <v>1</v>
      </c>
      <c r="B32" s="2" t="s">
        <v>64</v>
      </c>
      <c r="C32" s="2">
        <f>92/150</f>
        <v>0.61333333333333329</v>
      </c>
      <c r="D32" t="s">
        <v>9</v>
      </c>
      <c r="F32" s="6" t="s">
        <v>2</v>
      </c>
      <c r="H32" s="2">
        <f>1-C32</f>
        <v>0.38666666666666671</v>
      </c>
      <c r="I32" t="s">
        <v>9</v>
      </c>
      <c r="J32" t="s">
        <v>73</v>
      </c>
    </row>
    <row r="33" spans="1:10" x14ac:dyDescent="0.25">
      <c r="A33" s="1" t="s">
        <v>41</v>
      </c>
      <c r="B33" s="4" t="s">
        <v>63</v>
      </c>
      <c r="C33" s="2">
        <f>10/61</f>
        <v>0.16393442622950818</v>
      </c>
      <c r="D33" t="s">
        <v>6</v>
      </c>
      <c r="F33" s="1" t="s">
        <v>41</v>
      </c>
      <c r="H33" s="2">
        <f>1-C33</f>
        <v>0.83606557377049184</v>
      </c>
      <c r="I33" t="s">
        <v>6</v>
      </c>
      <c r="J33" t="s">
        <v>72</v>
      </c>
    </row>
    <row r="34" spans="1:10" x14ac:dyDescent="0.25">
      <c r="A34" s="1" t="s">
        <v>41</v>
      </c>
      <c r="C34" s="2">
        <f>1-H34</f>
        <v>0.24137931034482762</v>
      </c>
      <c r="D34" t="s">
        <v>38</v>
      </c>
      <c r="F34" s="1" t="s">
        <v>41</v>
      </c>
      <c r="G34" s="2" t="s">
        <v>68</v>
      </c>
      <c r="H34" s="2">
        <f>66/87</f>
        <v>0.75862068965517238</v>
      </c>
      <c r="I34" t="s">
        <v>38</v>
      </c>
      <c r="J34" t="s">
        <v>69</v>
      </c>
    </row>
    <row r="35" spans="1:10" x14ac:dyDescent="0.25">
      <c r="A35" s="1" t="s">
        <v>41</v>
      </c>
      <c r="B35" s="2" t="s">
        <v>85</v>
      </c>
      <c r="C35" s="2">
        <f>115/131</f>
        <v>0.87786259541984735</v>
      </c>
      <c r="D35" t="s">
        <v>43</v>
      </c>
      <c r="F35" s="1" t="s">
        <v>41</v>
      </c>
      <c r="H35" s="2">
        <f>1-C35</f>
        <v>0.12213740458015265</v>
      </c>
      <c r="I35" t="s">
        <v>43</v>
      </c>
      <c r="J35" t="s">
        <v>86</v>
      </c>
    </row>
    <row r="36" spans="1:10" x14ac:dyDescent="0.25">
      <c r="A36" s="1" t="s">
        <v>41</v>
      </c>
      <c r="B36" s="2" t="s">
        <v>100</v>
      </c>
      <c r="C36" s="2">
        <f>438/487</f>
        <v>0.89938398357289528</v>
      </c>
      <c r="D36" t="s">
        <v>97</v>
      </c>
      <c r="F36" s="1" t="s">
        <v>41</v>
      </c>
      <c r="H36" s="2">
        <f>1-C36</f>
        <v>0.10061601642710472</v>
      </c>
      <c r="I36" t="s">
        <v>98</v>
      </c>
      <c r="J36" t="s">
        <v>104</v>
      </c>
    </row>
    <row r="37" spans="1:10" x14ac:dyDescent="0.25">
      <c r="A37" s="1" t="s">
        <v>41</v>
      </c>
      <c r="B37" s="2" t="s">
        <v>120</v>
      </c>
      <c r="C37" s="2">
        <f>33/42</f>
        <v>0.7857142857142857</v>
      </c>
      <c r="D37" t="s">
        <v>116</v>
      </c>
      <c r="F37" s="1" t="s">
        <v>41</v>
      </c>
      <c r="G37" s="4" t="s">
        <v>121</v>
      </c>
      <c r="H37" s="2">
        <f>9/42</f>
        <v>0.21428571428571427</v>
      </c>
      <c r="I37" t="s">
        <v>113</v>
      </c>
      <c r="J37" t="s">
        <v>114</v>
      </c>
    </row>
    <row r="38" spans="1:10" x14ac:dyDescent="0.25">
      <c r="A38" s="1" t="s">
        <v>41</v>
      </c>
      <c r="B38" s="2" t="s">
        <v>138</v>
      </c>
      <c r="C38" s="2">
        <f>88/108</f>
        <v>0.81481481481481477</v>
      </c>
      <c r="D38" t="s">
        <v>18</v>
      </c>
      <c r="E38" s="10" t="s">
        <v>134</v>
      </c>
      <c r="F38" s="1" t="s">
        <v>41</v>
      </c>
      <c r="G38" s="4" t="s">
        <v>139</v>
      </c>
      <c r="H38" s="2">
        <f>20/108</f>
        <v>0.18518518518518517</v>
      </c>
      <c r="I38" t="s">
        <v>18</v>
      </c>
      <c r="J38" s="10" t="s">
        <v>134</v>
      </c>
    </row>
    <row r="39" spans="1:10" x14ac:dyDescent="0.25">
      <c r="A39" s="6" t="s">
        <v>3</v>
      </c>
      <c r="B39" s="2" t="s">
        <v>76</v>
      </c>
      <c r="C39" s="2">
        <f>22/88</f>
        <v>0.25</v>
      </c>
      <c r="D39" t="s">
        <v>18</v>
      </c>
      <c r="E39" t="s">
        <v>77</v>
      </c>
      <c r="F39" s="6" t="s">
        <v>3</v>
      </c>
      <c r="G39" s="5" t="s">
        <v>78</v>
      </c>
      <c r="H39" s="2">
        <f>10/20</f>
        <v>0.5</v>
      </c>
      <c r="I39" t="s">
        <v>79</v>
      </c>
      <c r="J39" t="s">
        <v>77</v>
      </c>
    </row>
    <row r="40" spans="1:10" x14ac:dyDescent="0.25">
      <c r="A40" s="1" t="s">
        <v>41</v>
      </c>
      <c r="B40" s="2" t="s">
        <v>66</v>
      </c>
      <c r="C40" s="2">
        <f>24/49</f>
        <v>0.48979591836734693</v>
      </c>
      <c r="D40" t="s">
        <v>13</v>
      </c>
      <c r="E40" t="s">
        <v>71</v>
      </c>
      <c r="F40" s="1" t="s">
        <v>41</v>
      </c>
      <c r="G40" s="5" t="s">
        <v>67</v>
      </c>
      <c r="H40" s="2">
        <f>5/6</f>
        <v>0.83333333333333337</v>
      </c>
      <c r="I40" t="s">
        <v>13</v>
      </c>
      <c r="J40" t="s">
        <v>71</v>
      </c>
    </row>
    <row r="41" spans="1:10" x14ac:dyDescent="0.25">
      <c r="A41" s="1" t="s">
        <v>41</v>
      </c>
      <c r="B41" s="5" t="s">
        <v>81</v>
      </c>
      <c r="C41" s="2">
        <f>9/14</f>
        <v>0.6428571428571429</v>
      </c>
      <c r="D41" t="s">
        <v>82</v>
      </c>
      <c r="E41" t="s">
        <v>83</v>
      </c>
      <c r="F41" s="1" t="s">
        <v>41</v>
      </c>
      <c r="G41" s="2" t="s">
        <v>123</v>
      </c>
      <c r="H41" s="2">
        <f>3/9</f>
        <v>0.33333333333333331</v>
      </c>
      <c r="I41" t="s">
        <v>113</v>
      </c>
      <c r="J41" t="s">
        <v>124</v>
      </c>
    </row>
    <row r="42" spans="1:10" x14ac:dyDescent="0.25">
      <c r="A42" s="1" t="s">
        <v>41</v>
      </c>
      <c r="B42" s="2" t="s">
        <v>122</v>
      </c>
      <c r="C42" s="2">
        <f>1/33</f>
        <v>3.0303030303030304E-2</v>
      </c>
      <c r="D42" t="s">
        <v>113</v>
      </c>
      <c r="E42" t="s">
        <v>124</v>
      </c>
      <c r="F42" s="1" t="s">
        <v>41</v>
      </c>
    </row>
    <row r="43" spans="1:10" x14ac:dyDescent="0.25">
      <c r="A43" s="1" t="s">
        <v>41</v>
      </c>
      <c r="F43" s="1" t="s">
        <v>41</v>
      </c>
    </row>
    <row r="44" spans="1:10" x14ac:dyDescent="0.25">
      <c r="A44" s="1" t="s">
        <v>41</v>
      </c>
      <c r="F44" s="1" t="s">
        <v>41</v>
      </c>
    </row>
    <row r="45" spans="1:10" x14ac:dyDescent="0.25">
      <c r="A45" s="6" t="s">
        <v>4</v>
      </c>
      <c r="B45" s="2" t="s">
        <v>84</v>
      </c>
      <c r="C45" s="2">
        <f>7/9</f>
        <v>0.77777777777777779</v>
      </c>
      <c r="D45" t="s">
        <v>82</v>
      </c>
      <c r="E45" t="s">
        <v>83</v>
      </c>
      <c r="F45" s="6" t="s">
        <v>4</v>
      </c>
    </row>
    <row r="46" spans="1:10" x14ac:dyDescent="0.25">
      <c r="A46" s="1" t="s">
        <v>41</v>
      </c>
      <c r="F46" s="1" t="s">
        <v>41</v>
      </c>
    </row>
    <row r="47" spans="1:10" x14ac:dyDescent="0.25">
      <c r="A47" s="1" t="s">
        <v>41</v>
      </c>
      <c r="F47" s="1" t="s">
        <v>41</v>
      </c>
    </row>
    <row r="48" spans="1:10" x14ac:dyDescent="0.25">
      <c r="A48" s="1" t="s">
        <v>41</v>
      </c>
      <c r="F48" s="1" t="s">
        <v>41</v>
      </c>
    </row>
    <row r="49" spans="1:6" x14ac:dyDescent="0.25">
      <c r="A49" s="1" t="s">
        <v>41</v>
      </c>
      <c r="F49" s="1" t="s">
        <v>41</v>
      </c>
    </row>
    <row r="50" spans="1:6" x14ac:dyDescent="0.25">
      <c r="A50" s="1" t="s">
        <v>41</v>
      </c>
      <c r="F50" s="1" t="s">
        <v>41</v>
      </c>
    </row>
    <row r="51" spans="1:6" x14ac:dyDescent="0.25">
      <c r="F5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85" zoomScaleNormal="85" workbookViewId="0">
      <selection activeCell="G9" sqref="G9"/>
    </sheetView>
  </sheetViews>
  <sheetFormatPr defaultRowHeight="15" x14ac:dyDescent="0.25"/>
  <cols>
    <col min="1" max="1" width="13.85546875" style="1" bestFit="1" customWidth="1"/>
    <col min="2" max="3" width="9.140625" style="2"/>
    <col min="6" max="6" width="13.85546875" style="1" bestFit="1" customWidth="1"/>
    <col min="7" max="8" width="9.140625" style="2"/>
  </cols>
  <sheetData>
    <row r="1" spans="1:10" s="3" customFormat="1" x14ac:dyDescent="0.25">
      <c r="A1" s="7" t="s">
        <v>0</v>
      </c>
      <c r="B1" s="8"/>
      <c r="C1" s="8"/>
      <c r="F1" s="7"/>
      <c r="G1" s="8"/>
      <c r="H1" s="8"/>
    </row>
    <row r="2" spans="1:10" x14ac:dyDescent="0.25">
      <c r="A2" s="6" t="s">
        <v>4</v>
      </c>
      <c r="D2" t="s">
        <v>11</v>
      </c>
      <c r="F2" s="6" t="s">
        <v>10</v>
      </c>
      <c r="I2" t="s">
        <v>11</v>
      </c>
    </row>
    <row r="3" spans="1:10" x14ac:dyDescent="0.25">
      <c r="A3" s="1" t="s">
        <v>41</v>
      </c>
      <c r="B3" s="2" t="s">
        <v>26</v>
      </c>
      <c r="C3" s="2">
        <f>24/42</f>
        <v>0.5714285714285714</v>
      </c>
      <c r="D3" t="s">
        <v>9</v>
      </c>
      <c r="F3" s="1" t="s">
        <v>41</v>
      </c>
      <c r="G3" s="2" t="s">
        <v>28</v>
      </c>
      <c r="H3" s="2">
        <f>(1-C3)</f>
        <v>0.4285714285714286</v>
      </c>
      <c r="I3" t="s">
        <v>9</v>
      </c>
      <c r="J3" t="s">
        <v>27</v>
      </c>
    </row>
    <row r="4" spans="1:10" x14ac:dyDescent="0.25">
      <c r="A4" s="1" t="s">
        <v>41</v>
      </c>
      <c r="B4" s="2" t="s">
        <v>29</v>
      </c>
      <c r="C4" s="2">
        <f>68/99</f>
        <v>0.68686868686868685</v>
      </c>
      <c r="D4" t="s">
        <v>31</v>
      </c>
      <c r="F4" s="1" t="s">
        <v>41</v>
      </c>
      <c r="G4" s="2" t="s">
        <v>30</v>
      </c>
      <c r="H4" s="2">
        <f>31/99</f>
        <v>0.31313131313131315</v>
      </c>
      <c r="I4" t="s">
        <v>31</v>
      </c>
      <c r="J4" t="s">
        <v>32</v>
      </c>
    </row>
    <row r="5" spans="1:10" x14ac:dyDescent="0.25">
      <c r="A5" s="1" t="s">
        <v>41</v>
      </c>
      <c r="B5" s="4" t="s">
        <v>58</v>
      </c>
      <c r="C5" s="2">
        <f>12/32</f>
        <v>0.375</v>
      </c>
      <c r="D5" t="s">
        <v>59</v>
      </c>
      <c r="F5" s="1" t="s">
        <v>41</v>
      </c>
      <c r="H5" s="2">
        <f>1-C5</f>
        <v>0.625</v>
      </c>
      <c r="I5" t="s">
        <v>59</v>
      </c>
      <c r="J5" t="s">
        <v>60</v>
      </c>
    </row>
    <row r="6" spans="1:10" x14ac:dyDescent="0.25">
      <c r="A6" s="1" t="s">
        <v>41</v>
      </c>
      <c r="B6" s="2" t="s">
        <v>90</v>
      </c>
      <c r="C6" s="2">
        <f>38/53</f>
        <v>0.71698113207547165</v>
      </c>
      <c r="D6" t="s">
        <v>91</v>
      </c>
      <c r="F6" s="1" t="s">
        <v>41</v>
      </c>
      <c r="H6" s="2">
        <f>1-C6</f>
        <v>0.28301886792452835</v>
      </c>
      <c r="I6" t="s">
        <v>91</v>
      </c>
      <c r="J6" t="s">
        <v>92</v>
      </c>
    </row>
    <row r="7" spans="1:10" x14ac:dyDescent="0.25">
      <c r="A7" s="1" t="s">
        <v>41</v>
      </c>
      <c r="B7" s="2" t="s">
        <v>36</v>
      </c>
      <c r="C7" s="2">
        <f>81/93</f>
        <v>0.87096774193548387</v>
      </c>
      <c r="D7" t="s">
        <v>37</v>
      </c>
      <c r="F7" s="1" t="s">
        <v>41</v>
      </c>
      <c r="H7" s="2">
        <f>1-C7</f>
        <v>0.12903225806451613</v>
      </c>
      <c r="I7" t="s">
        <v>38</v>
      </c>
      <c r="J7" t="s">
        <v>39</v>
      </c>
    </row>
    <row r="8" spans="1:10" x14ac:dyDescent="0.25">
      <c r="A8" s="1" t="s">
        <v>41</v>
      </c>
      <c r="B8" s="2" t="s">
        <v>48</v>
      </c>
      <c r="C8" s="2">
        <f>20/37</f>
        <v>0.54054054054054057</v>
      </c>
      <c r="D8" t="s">
        <v>49</v>
      </c>
      <c r="F8" s="1" t="s">
        <v>41</v>
      </c>
      <c r="H8" s="2">
        <f>1-C8</f>
        <v>0.45945945945945943</v>
      </c>
      <c r="I8" t="s">
        <v>49</v>
      </c>
      <c r="J8" t="s">
        <v>14</v>
      </c>
    </row>
    <row r="9" spans="1:10" x14ac:dyDescent="0.25">
      <c r="B9" s="2" t="s">
        <v>101</v>
      </c>
      <c r="C9" s="2">
        <f>58/145</f>
        <v>0.4</v>
      </c>
      <c r="D9" t="s">
        <v>97</v>
      </c>
      <c r="H9" s="2">
        <f>1-C9</f>
        <v>0.6</v>
      </c>
      <c r="I9" t="s">
        <v>97</v>
      </c>
      <c r="J9" t="s">
        <v>99</v>
      </c>
    </row>
    <row r="10" spans="1:10" x14ac:dyDescent="0.25">
      <c r="A10" s="6" t="s">
        <v>1</v>
      </c>
      <c r="B10" s="2" t="s">
        <v>45</v>
      </c>
      <c r="C10" s="2">
        <f>17/30</f>
        <v>0.56666666666666665</v>
      </c>
      <c r="D10" t="s">
        <v>46</v>
      </c>
      <c r="E10" t="s">
        <v>47</v>
      </c>
      <c r="F10" s="6" t="s">
        <v>1</v>
      </c>
    </row>
    <row r="11" spans="1:10" x14ac:dyDescent="0.25">
      <c r="A11" s="1" t="s">
        <v>41</v>
      </c>
      <c r="F11" s="1" t="s">
        <v>41</v>
      </c>
    </row>
    <row r="12" spans="1:10" x14ac:dyDescent="0.25">
      <c r="A12" s="1" t="s">
        <v>41</v>
      </c>
      <c r="F12" s="1" t="s">
        <v>41</v>
      </c>
    </row>
    <row r="13" spans="1:10" x14ac:dyDescent="0.25">
      <c r="A13" s="1" t="s">
        <v>41</v>
      </c>
      <c r="F13" s="1" t="s">
        <v>41</v>
      </c>
    </row>
    <row r="14" spans="1:10" x14ac:dyDescent="0.25">
      <c r="A14" s="1" t="s">
        <v>41</v>
      </c>
      <c r="F14" s="1" t="s">
        <v>41</v>
      </c>
    </row>
    <row r="15" spans="1:10" x14ac:dyDescent="0.25">
      <c r="A15" s="1" t="s">
        <v>41</v>
      </c>
      <c r="F15" s="1" t="s">
        <v>41</v>
      </c>
    </row>
    <row r="16" spans="1:10" x14ac:dyDescent="0.25">
      <c r="A16" s="6" t="s">
        <v>3</v>
      </c>
      <c r="B16" s="2" t="s">
        <v>33</v>
      </c>
      <c r="C16" s="2">
        <f>25/60</f>
        <v>0.41666666666666669</v>
      </c>
      <c r="D16" t="s">
        <v>34</v>
      </c>
      <c r="E16" t="s">
        <v>35</v>
      </c>
      <c r="F16" s="6" t="s">
        <v>3</v>
      </c>
    </row>
    <row r="17" spans="1:6" x14ac:dyDescent="0.25">
      <c r="A17" s="1" t="s">
        <v>41</v>
      </c>
      <c r="F17" s="1" t="s">
        <v>41</v>
      </c>
    </row>
    <row r="18" spans="1:6" x14ac:dyDescent="0.25">
      <c r="A18" s="1" t="s">
        <v>41</v>
      </c>
      <c r="F18" s="1" t="s">
        <v>41</v>
      </c>
    </row>
    <row r="19" spans="1:6" x14ac:dyDescent="0.25">
      <c r="A19" s="1" t="s">
        <v>41</v>
      </c>
      <c r="F19" s="1" t="s">
        <v>41</v>
      </c>
    </row>
    <row r="20" spans="1:6" x14ac:dyDescent="0.25">
      <c r="A20" s="1" t="s">
        <v>41</v>
      </c>
      <c r="F20" s="1" t="s">
        <v>41</v>
      </c>
    </row>
    <row r="21" spans="1:6" x14ac:dyDescent="0.25">
      <c r="A21" s="1" t="s">
        <v>41</v>
      </c>
      <c r="F21" s="1" t="s">
        <v>41</v>
      </c>
    </row>
    <row r="22" spans="1:6" x14ac:dyDescent="0.25">
      <c r="A22" s="6" t="s">
        <v>2</v>
      </c>
      <c r="F22" s="6" t="s">
        <v>2</v>
      </c>
    </row>
    <row r="23" spans="1:6" x14ac:dyDescent="0.25">
      <c r="A23" s="1" t="s">
        <v>41</v>
      </c>
      <c r="F23" s="1" t="s">
        <v>41</v>
      </c>
    </row>
    <row r="24" spans="1:6" x14ac:dyDescent="0.25">
      <c r="A24" s="1" t="s">
        <v>41</v>
      </c>
      <c r="F24" s="1" t="s">
        <v>41</v>
      </c>
    </row>
    <row r="25" spans="1:6" x14ac:dyDescent="0.25">
      <c r="A25" s="1" t="s">
        <v>41</v>
      </c>
      <c r="F25" s="1" t="s">
        <v>41</v>
      </c>
    </row>
    <row r="26" spans="1:6" x14ac:dyDescent="0.25">
      <c r="A26" s="1" t="s">
        <v>41</v>
      </c>
      <c r="F26" s="1" t="s">
        <v>41</v>
      </c>
    </row>
    <row r="27" spans="1:6" x14ac:dyDescent="0.25">
      <c r="A27" s="1" t="s">
        <v>41</v>
      </c>
      <c r="F27" s="1" t="s">
        <v>41</v>
      </c>
    </row>
    <row r="28" spans="1:6" x14ac:dyDescent="0.25">
      <c r="A28" s="6" t="s">
        <v>3</v>
      </c>
      <c r="F28" s="6" t="s">
        <v>3</v>
      </c>
    </row>
    <row r="29" spans="1:6" x14ac:dyDescent="0.25">
      <c r="A29" s="1" t="s">
        <v>41</v>
      </c>
      <c r="F29" s="1" t="s">
        <v>41</v>
      </c>
    </row>
    <row r="30" spans="1:6" x14ac:dyDescent="0.25">
      <c r="A30" s="1" t="s">
        <v>41</v>
      </c>
      <c r="F30" s="1" t="s">
        <v>41</v>
      </c>
    </row>
    <row r="31" spans="1:6" x14ac:dyDescent="0.25">
      <c r="A31" s="1" t="s">
        <v>41</v>
      </c>
      <c r="F31" s="1" t="s">
        <v>41</v>
      </c>
    </row>
    <row r="32" spans="1:6" x14ac:dyDescent="0.25">
      <c r="A32" s="1" t="s">
        <v>41</v>
      </c>
      <c r="F32" s="1" t="s">
        <v>41</v>
      </c>
    </row>
    <row r="33" spans="1:10" x14ac:dyDescent="0.25">
      <c r="A33" s="1" t="s">
        <v>41</v>
      </c>
      <c r="F33" s="1" t="s">
        <v>41</v>
      </c>
    </row>
    <row r="37" spans="1:10" s="3" customFormat="1" x14ac:dyDescent="0.25">
      <c r="A37" s="7" t="s">
        <v>62</v>
      </c>
      <c r="B37" s="8"/>
      <c r="C37" s="8"/>
      <c r="F37" s="7"/>
      <c r="G37" s="8"/>
      <c r="H37" s="8"/>
    </row>
    <row r="38" spans="1:10" x14ac:dyDescent="0.25">
      <c r="A38" s="6" t="s">
        <v>4</v>
      </c>
      <c r="B38" s="2" t="s">
        <v>65</v>
      </c>
      <c r="C38" s="2">
        <f>39/150</f>
        <v>0.26</v>
      </c>
      <c r="D38" t="s">
        <v>9</v>
      </c>
      <c r="F38" s="6" t="s">
        <v>10</v>
      </c>
      <c r="H38" s="2">
        <f>1-C38</f>
        <v>0.74</v>
      </c>
      <c r="I38" t="s">
        <v>9</v>
      </c>
      <c r="J38" t="s">
        <v>74</v>
      </c>
    </row>
    <row r="39" spans="1:10" x14ac:dyDescent="0.25">
      <c r="A39" s="1" t="s">
        <v>41</v>
      </c>
      <c r="B39" s="2" t="s">
        <v>80</v>
      </c>
      <c r="C39" s="2">
        <f>76/87</f>
        <v>0.87356321839080464</v>
      </c>
      <c r="D39" t="s">
        <v>38</v>
      </c>
      <c r="F39" s="1" t="s">
        <v>41</v>
      </c>
      <c r="H39" s="2">
        <f>1-C39</f>
        <v>0.12643678160919536</v>
      </c>
      <c r="I39" t="s">
        <v>38</v>
      </c>
      <c r="J39" t="s">
        <v>39</v>
      </c>
    </row>
    <row r="40" spans="1:10" x14ac:dyDescent="0.25">
      <c r="A40" s="1" t="s">
        <v>41</v>
      </c>
      <c r="B40" s="2" t="s">
        <v>89</v>
      </c>
      <c r="C40" s="2">
        <f>14/42</f>
        <v>0.33333333333333331</v>
      </c>
      <c r="D40" t="s">
        <v>49</v>
      </c>
      <c r="F40" s="1" t="s">
        <v>41</v>
      </c>
      <c r="H40" s="2">
        <f>1-C40</f>
        <v>0.66666666666666674</v>
      </c>
      <c r="I40" t="s">
        <v>49</v>
      </c>
      <c r="J40" t="s">
        <v>14</v>
      </c>
    </row>
    <row r="41" spans="1:10" x14ac:dyDescent="0.25">
      <c r="A41" s="1" t="s">
        <v>41</v>
      </c>
      <c r="B41" s="2" t="s">
        <v>102</v>
      </c>
      <c r="C41" s="2">
        <f>112/487</f>
        <v>0.2299794661190965</v>
      </c>
      <c r="D41" t="s">
        <v>97</v>
      </c>
      <c r="F41" s="1" t="s">
        <v>41</v>
      </c>
      <c r="H41" s="2">
        <f>1-C41</f>
        <v>0.77002053388090352</v>
      </c>
      <c r="I41" t="s">
        <v>97</v>
      </c>
      <c r="J41" t="s">
        <v>99</v>
      </c>
    </row>
    <row r="42" spans="1:10" x14ac:dyDescent="0.25">
      <c r="A42" s="1" t="s">
        <v>41</v>
      </c>
      <c r="F42" s="1" t="s">
        <v>41</v>
      </c>
    </row>
    <row r="43" spans="1:10" x14ac:dyDescent="0.25">
      <c r="A43" s="1" t="s">
        <v>41</v>
      </c>
      <c r="F43" s="1" t="s">
        <v>41</v>
      </c>
    </row>
    <row r="44" spans="1:10" x14ac:dyDescent="0.25">
      <c r="A44" s="6" t="s">
        <v>1</v>
      </c>
      <c r="B44" s="2" t="s">
        <v>87</v>
      </c>
      <c r="C44" s="2">
        <f>50/66</f>
        <v>0.75757575757575757</v>
      </c>
      <c r="D44" t="s">
        <v>46</v>
      </c>
      <c r="E44" t="s">
        <v>88</v>
      </c>
      <c r="F44" s="6" t="s">
        <v>1</v>
      </c>
    </row>
    <row r="45" spans="1:10" x14ac:dyDescent="0.25">
      <c r="A45" s="1" t="s">
        <v>41</v>
      </c>
      <c r="F45" s="1" t="s">
        <v>41</v>
      </c>
    </row>
    <row r="46" spans="1:10" x14ac:dyDescent="0.25">
      <c r="A46" s="1" t="s">
        <v>41</v>
      </c>
      <c r="F46" s="1" t="s">
        <v>41</v>
      </c>
    </row>
    <row r="47" spans="1:10" x14ac:dyDescent="0.25">
      <c r="A47" s="1" t="s">
        <v>41</v>
      </c>
      <c r="F47" s="1" t="s">
        <v>41</v>
      </c>
    </row>
    <row r="48" spans="1:10" x14ac:dyDescent="0.25">
      <c r="A48" s="1" t="s">
        <v>41</v>
      </c>
      <c r="F48" s="1" t="s">
        <v>41</v>
      </c>
    </row>
    <row r="49" spans="1:6" x14ac:dyDescent="0.25">
      <c r="A49" s="1" t="s">
        <v>41</v>
      </c>
      <c r="F49" s="1" t="s">
        <v>41</v>
      </c>
    </row>
    <row r="50" spans="1:6" x14ac:dyDescent="0.25">
      <c r="A50" s="6" t="s">
        <v>3</v>
      </c>
      <c r="B50" s="2" t="s">
        <v>70</v>
      </c>
      <c r="C50" s="2">
        <f>21/60</f>
        <v>0.35</v>
      </c>
      <c r="D50" t="s">
        <v>34</v>
      </c>
      <c r="E50" t="s">
        <v>75</v>
      </c>
      <c r="F50" s="6" t="s">
        <v>3</v>
      </c>
    </row>
    <row r="51" spans="1:6" x14ac:dyDescent="0.25">
      <c r="A51" s="1" t="s">
        <v>41</v>
      </c>
      <c r="F51" s="1" t="s">
        <v>41</v>
      </c>
    </row>
    <row r="52" spans="1:6" x14ac:dyDescent="0.25">
      <c r="A52" s="1" t="s">
        <v>41</v>
      </c>
      <c r="F52" s="1" t="s">
        <v>41</v>
      </c>
    </row>
    <row r="53" spans="1:6" x14ac:dyDescent="0.25">
      <c r="A53" s="1" t="s">
        <v>41</v>
      </c>
      <c r="F53" s="1" t="s">
        <v>41</v>
      </c>
    </row>
    <row r="54" spans="1:6" x14ac:dyDescent="0.25">
      <c r="A54" s="1" t="s">
        <v>41</v>
      </c>
      <c r="F54" s="1" t="s">
        <v>41</v>
      </c>
    </row>
    <row r="55" spans="1:6" x14ac:dyDescent="0.25">
      <c r="A55" s="1" t="s">
        <v>41</v>
      </c>
      <c r="F55" s="1" t="s">
        <v>41</v>
      </c>
    </row>
    <row r="56" spans="1:6" x14ac:dyDescent="0.25">
      <c r="A56" s="6" t="s">
        <v>2</v>
      </c>
      <c r="F56" s="6" t="s">
        <v>2</v>
      </c>
    </row>
    <row r="57" spans="1:6" x14ac:dyDescent="0.25">
      <c r="A57" s="1" t="s">
        <v>41</v>
      </c>
      <c r="F57" s="1" t="s">
        <v>41</v>
      </c>
    </row>
    <row r="58" spans="1:6" x14ac:dyDescent="0.25">
      <c r="A58" s="1" t="s">
        <v>41</v>
      </c>
      <c r="F58" s="1" t="s">
        <v>41</v>
      </c>
    </row>
    <row r="59" spans="1:6" x14ac:dyDescent="0.25">
      <c r="A59" s="1" t="s">
        <v>41</v>
      </c>
      <c r="F59" s="1" t="s">
        <v>41</v>
      </c>
    </row>
    <row r="60" spans="1:6" x14ac:dyDescent="0.25">
      <c r="A60" s="1" t="s">
        <v>41</v>
      </c>
      <c r="F60" s="1" t="s">
        <v>41</v>
      </c>
    </row>
    <row r="61" spans="1:6" x14ac:dyDescent="0.25">
      <c r="A61" s="1" t="s">
        <v>41</v>
      </c>
      <c r="F61" s="1" t="s">
        <v>41</v>
      </c>
    </row>
    <row r="62" spans="1:6" x14ac:dyDescent="0.25">
      <c r="A62" s="6" t="s">
        <v>3</v>
      </c>
      <c r="F62" s="6" t="s">
        <v>3</v>
      </c>
    </row>
    <row r="63" spans="1:6" x14ac:dyDescent="0.25">
      <c r="A63" s="1" t="s">
        <v>41</v>
      </c>
      <c r="F63" s="1" t="s">
        <v>41</v>
      </c>
    </row>
    <row r="64" spans="1:6" x14ac:dyDescent="0.25">
      <c r="A64" s="1" t="s">
        <v>41</v>
      </c>
      <c r="F64" s="1" t="s">
        <v>41</v>
      </c>
    </row>
    <row r="65" spans="1:6" x14ac:dyDescent="0.25">
      <c r="A65" s="1" t="s">
        <v>41</v>
      </c>
      <c r="F65" s="1" t="s">
        <v>41</v>
      </c>
    </row>
    <row r="66" spans="1:6" x14ac:dyDescent="0.25">
      <c r="A66" s="1" t="s">
        <v>41</v>
      </c>
      <c r="F66" s="1" t="s">
        <v>41</v>
      </c>
    </row>
    <row r="67" spans="1:6" x14ac:dyDescent="0.25">
      <c r="A67" s="1" t="s">
        <v>41</v>
      </c>
      <c r="F67" s="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zoomScale="70" zoomScaleNormal="70" workbookViewId="0">
      <selection activeCell="D16" sqref="D16"/>
    </sheetView>
  </sheetViews>
  <sheetFormatPr defaultRowHeight="15" x14ac:dyDescent="0.25"/>
  <cols>
    <col min="1" max="1" width="13.42578125" style="56" customWidth="1"/>
    <col min="2" max="2" width="9.28515625" style="56" customWidth="1"/>
    <col min="3" max="3" width="9.140625" style="56"/>
    <col min="4" max="4" width="20.5703125" style="56" customWidth="1"/>
    <col min="5" max="5" width="66.85546875" style="56" customWidth="1"/>
    <col min="6" max="6" width="14.140625" style="56" customWidth="1"/>
    <col min="7" max="7" width="12.42578125" style="56" bestFit="1" customWidth="1"/>
    <col min="8" max="8" width="9.140625" style="56"/>
    <col min="9" max="9" width="17.7109375" style="56" customWidth="1"/>
    <col min="10" max="10" width="76.7109375" style="56" customWidth="1"/>
    <col min="11" max="16384" width="9.140625" style="56"/>
  </cols>
  <sheetData>
    <row r="1" spans="1:10" x14ac:dyDescent="0.25">
      <c r="A1" s="53" t="s">
        <v>0</v>
      </c>
      <c r="B1" s="54"/>
      <c r="C1" s="54"/>
      <c r="D1" s="55"/>
      <c r="E1" s="55"/>
      <c r="F1" s="55"/>
      <c r="G1" s="54"/>
      <c r="H1" s="54"/>
      <c r="I1" s="55"/>
      <c r="J1" s="55"/>
    </row>
    <row r="2" spans="1:10" x14ac:dyDescent="0.25">
      <c r="A2" s="57" t="s">
        <v>1</v>
      </c>
      <c r="B2" s="58" t="s">
        <v>8</v>
      </c>
      <c r="C2" s="59">
        <f>5/42</f>
        <v>0.11904761904761904</v>
      </c>
      <c r="D2" s="56" t="s">
        <v>9</v>
      </c>
      <c r="F2" s="57" t="s">
        <v>2</v>
      </c>
      <c r="G2" s="59"/>
      <c r="H2" s="60">
        <f>1-C2</f>
        <v>0.88095238095238093</v>
      </c>
      <c r="I2" s="61" t="s">
        <v>9</v>
      </c>
      <c r="J2" s="61" t="s">
        <v>247</v>
      </c>
    </row>
    <row r="3" spans="1:10" ht="30" x14ac:dyDescent="0.25">
      <c r="A3" s="62" t="s">
        <v>41</v>
      </c>
      <c r="B3" s="59" t="s">
        <v>126</v>
      </c>
      <c r="C3" s="59">
        <f>28/41</f>
        <v>0.68292682926829273</v>
      </c>
      <c r="D3" s="56" t="s">
        <v>125</v>
      </c>
      <c r="F3" s="62" t="s">
        <v>41</v>
      </c>
      <c r="G3" s="59" t="s">
        <v>127</v>
      </c>
      <c r="H3" s="59">
        <f>13/41</f>
        <v>0.31707317073170732</v>
      </c>
      <c r="I3" s="56" t="s">
        <v>125</v>
      </c>
      <c r="J3" s="56" t="s">
        <v>128</v>
      </c>
    </row>
    <row r="4" spans="1:10" x14ac:dyDescent="0.25">
      <c r="A4" s="62" t="s">
        <v>41</v>
      </c>
      <c r="B4" s="59" t="s">
        <v>93</v>
      </c>
      <c r="C4" s="59">
        <f>35/53</f>
        <v>0.660377358490566</v>
      </c>
      <c r="D4" s="56" t="s">
        <v>91</v>
      </c>
      <c r="F4" s="62" t="s">
        <v>41</v>
      </c>
      <c r="G4" s="59"/>
      <c r="H4" s="59">
        <f>1-C4</f>
        <v>0.339622641509434</v>
      </c>
      <c r="I4" s="56" t="s">
        <v>91</v>
      </c>
      <c r="J4" s="56" t="s">
        <v>92</v>
      </c>
    </row>
    <row r="5" spans="1:10" s="65" customFormat="1" x14ac:dyDescent="0.25">
      <c r="A5" s="63" t="s">
        <v>41</v>
      </c>
      <c r="B5" s="64"/>
      <c r="C5" s="64">
        <f>1-H5</f>
        <v>0.21505376344086025</v>
      </c>
      <c r="D5" s="65" t="s">
        <v>38</v>
      </c>
      <c r="F5" s="63" t="s">
        <v>41</v>
      </c>
      <c r="G5" s="64" t="s">
        <v>40</v>
      </c>
      <c r="H5" s="66">
        <f>73/93</f>
        <v>0.78494623655913975</v>
      </c>
      <c r="I5" s="67" t="s">
        <v>38</v>
      </c>
      <c r="J5" s="67" t="s">
        <v>39</v>
      </c>
    </row>
    <row r="6" spans="1:10" s="70" customFormat="1" x14ac:dyDescent="0.25">
      <c r="A6" s="68" t="s">
        <v>41</v>
      </c>
      <c r="B6" s="69"/>
      <c r="C6" s="69">
        <f>1-H6</f>
        <v>0.61538461538461542</v>
      </c>
      <c r="D6" s="70" t="s">
        <v>6</v>
      </c>
      <c r="F6" s="68" t="s">
        <v>41</v>
      </c>
      <c r="G6" s="69" t="s">
        <v>5</v>
      </c>
      <c r="H6" s="69">
        <f>40/104</f>
        <v>0.38461538461538464</v>
      </c>
      <c r="I6" s="70" t="s">
        <v>6</v>
      </c>
      <c r="J6" s="70" t="s">
        <v>7</v>
      </c>
    </row>
    <row r="7" spans="1:10" x14ac:dyDescent="0.25">
      <c r="A7" s="62" t="s">
        <v>41</v>
      </c>
      <c r="B7" s="59" t="s">
        <v>42</v>
      </c>
      <c r="C7" s="59">
        <f>41/67</f>
        <v>0.61194029850746268</v>
      </c>
      <c r="D7" s="56" t="s">
        <v>43</v>
      </c>
      <c r="F7" s="62" t="s">
        <v>41</v>
      </c>
      <c r="G7" s="59"/>
      <c r="H7" s="59">
        <f>1-C7</f>
        <v>0.38805970149253732</v>
      </c>
      <c r="I7" s="56" t="s">
        <v>43</v>
      </c>
      <c r="J7" s="56" t="s">
        <v>44</v>
      </c>
    </row>
    <row r="8" spans="1:10" ht="30" x14ac:dyDescent="0.25">
      <c r="A8" s="62" t="s">
        <v>41</v>
      </c>
      <c r="B8" s="59" t="s">
        <v>105</v>
      </c>
      <c r="C8" s="59">
        <f>91/252</f>
        <v>0.3611111111111111</v>
      </c>
      <c r="D8" s="56" t="s">
        <v>107</v>
      </c>
      <c r="F8" s="62" t="s">
        <v>41</v>
      </c>
      <c r="G8" s="59"/>
      <c r="H8" s="59">
        <f>1-C8</f>
        <v>0.63888888888888884</v>
      </c>
      <c r="I8" s="56" t="s">
        <v>107</v>
      </c>
      <c r="J8" s="56" t="s">
        <v>110</v>
      </c>
    </row>
    <row r="9" spans="1:10" ht="30" x14ac:dyDescent="0.25">
      <c r="A9" s="62" t="s">
        <v>41</v>
      </c>
      <c r="B9" s="59" t="s">
        <v>115</v>
      </c>
      <c r="C9" s="59">
        <f>25/53</f>
        <v>0.47169811320754718</v>
      </c>
      <c r="D9" s="56" t="s">
        <v>116</v>
      </c>
      <c r="F9" s="62" t="s">
        <v>41</v>
      </c>
      <c r="G9" s="59" t="s">
        <v>117</v>
      </c>
      <c r="H9" s="59">
        <f>28/53</f>
        <v>0.52830188679245282</v>
      </c>
      <c r="I9" s="56" t="s">
        <v>113</v>
      </c>
      <c r="J9" s="56" t="s">
        <v>114</v>
      </c>
    </row>
    <row r="10" spans="1:10" s="65" customFormat="1" x14ac:dyDescent="0.25">
      <c r="A10" s="63"/>
      <c r="B10" s="64" t="s">
        <v>135</v>
      </c>
      <c r="C10" s="66">
        <f>21/42</f>
        <v>0.5</v>
      </c>
      <c r="D10" s="67" t="s">
        <v>18</v>
      </c>
      <c r="E10" s="67" t="s">
        <v>134</v>
      </c>
      <c r="F10" s="63"/>
      <c r="G10" s="64"/>
      <c r="H10" s="66">
        <v>0.5</v>
      </c>
      <c r="I10" s="67" t="s">
        <v>18</v>
      </c>
      <c r="J10" s="67" t="s">
        <v>134</v>
      </c>
    </row>
    <row r="11" spans="1:10" s="70" customFormat="1" ht="30" x14ac:dyDescent="0.25">
      <c r="A11" s="68" t="s">
        <v>41</v>
      </c>
      <c r="B11" s="69" t="s">
        <v>96</v>
      </c>
      <c r="C11" s="69">
        <f>131/145</f>
        <v>0.90344827586206899</v>
      </c>
      <c r="D11" s="70" t="s">
        <v>97</v>
      </c>
      <c r="F11" s="68" t="s">
        <v>41</v>
      </c>
      <c r="G11" s="69"/>
      <c r="H11" s="69">
        <f>1-C11</f>
        <v>9.6551724137931005E-2</v>
      </c>
      <c r="I11" s="70" t="s">
        <v>98</v>
      </c>
      <c r="J11" s="70" t="s">
        <v>245</v>
      </c>
    </row>
    <row r="12" spans="1:10" s="65" customFormat="1" x14ac:dyDescent="0.25">
      <c r="A12" s="71" t="s">
        <v>3</v>
      </c>
      <c r="B12" s="64" t="s">
        <v>17</v>
      </c>
      <c r="C12" s="66">
        <f>18/34</f>
        <v>0.52941176470588236</v>
      </c>
      <c r="D12" s="67" t="s">
        <v>18</v>
      </c>
      <c r="E12" s="67" t="s">
        <v>19</v>
      </c>
      <c r="F12" s="71" t="s">
        <v>3</v>
      </c>
      <c r="G12" s="64" t="s">
        <v>20</v>
      </c>
      <c r="H12" s="66">
        <f>23/30</f>
        <v>0.76666666666666672</v>
      </c>
      <c r="I12" s="67" t="s">
        <v>18</v>
      </c>
      <c r="J12" s="67" t="s">
        <v>19</v>
      </c>
    </row>
    <row r="13" spans="1:10" x14ac:dyDescent="0.25">
      <c r="A13" s="57"/>
      <c r="B13" s="59" t="s">
        <v>136</v>
      </c>
      <c r="C13" s="72">
        <f>9/21</f>
        <v>0.42857142857142855</v>
      </c>
      <c r="D13" s="73" t="s">
        <v>18</v>
      </c>
      <c r="E13" s="73" t="s">
        <v>134</v>
      </c>
      <c r="F13" s="57"/>
      <c r="G13" s="59" t="s">
        <v>137</v>
      </c>
      <c r="H13" s="72">
        <f>15/21</f>
        <v>0.7142857142857143</v>
      </c>
      <c r="I13" s="73" t="s">
        <v>18</v>
      </c>
      <c r="J13" s="73" t="s">
        <v>134</v>
      </c>
    </row>
    <row r="14" spans="1:10" ht="30" x14ac:dyDescent="0.25">
      <c r="A14" s="62" t="s">
        <v>41</v>
      </c>
      <c r="B14" s="58" t="s">
        <v>130</v>
      </c>
      <c r="C14" s="59">
        <f>10/28</f>
        <v>0.35714285714285715</v>
      </c>
      <c r="D14" s="56" t="s">
        <v>125</v>
      </c>
      <c r="E14" s="56" t="s">
        <v>129</v>
      </c>
      <c r="F14" s="62" t="s">
        <v>41</v>
      </c>
      <c r="G14" s="59" t="s">
        <v>131</v>
      </c>
      <c r="H14" s="59">
        <f>6/13</f>
        <v>0.46153846153846156</v>
      </c>
      <c r="I14" s="56" t="s">
        <v>125</v>
      </c>
      <c r="J14" s="56" t="s">
        <v>129</v>
      </c>
    </row>
    <row r="15" spans="1:10" s="65" customFormat="1" ht="30" x14ac:dyDescent="0.25">
      <c r="A15" s="63" t="s">
        <v>41</v>
      </c>
      <c r="B15" s="64" t="s">
        <v>21</v>
      </c>
      <c r="C15" s="66">
        <f>13/21</f>
        <v>0.61904761904761907</v>
      </c>
      <c r="D15" s="67" t="s">
        <v>22</v>
      </c>
      <c r="E15" s="67" t="s">
        <v>132</v>
      </c>
      <c r="F15" s="63" t="s">
        <v>41</v>
      </c>
      <c r="G15" s="64" t="s">
        <v>55</v>
      </c>
      <c r="H15" s="64">
        <f>19/26</f>
        <v>0.73076923076923073</v>
      </c>
      <c r="I15" s="65" t="s">
        <v>51</v>
      </c>
      <c r="J15" s="65" t="s">
        <v>141</v>
      </c>
    </row>
    <row r="16" spans="1:10" s="70" customFormat="1" x14ac:dyDescent="0.25">
      <c r="A16" s="68" t="s">
        <v>41</v>
      </c>
      <c r="B16" s="69" t="s">
        <v>12</v>
      </c>
      <c r="C16" s="69">
        <f>33/64</f>
        <v>0.515625</v>
      </c>
      <c r="D16" s="70" t="s">
        <v>13</v>
      </c>
      <c r="E16" s="70" t="s">
        <v>15</v>
      </c>
      <c r="F16" s="68" t="s">
        <v>41</v>
      </c>
      <c r="G16" s="69" t="s">
        <v>16</v>
      </c>
      <c r="H16" s="69">
        <f>35/46</f>
        <v>0.76086956521739135</v>
      </c>
      <c r="I16" s="70" t="s">
        <v>13</v>
      </c>
      <c r="J16" s="70" t="s">
        <v>15</v>
      </c>
    </row>
    <row r="17" spans="1:10" x14ac:dyDescent="0.25">
      <c r="A17" s="62" t="s">
        <v>41</v>
      </c>
      <c r="B17" s="74" t="s">
        <v>50</v>
      </c>
      <c r="C17" s="59">
        <f>4/14</f>
        <v>0.2857142857142857</v>
      </c>
      <c r="D17" s="56" t="s">
        <v>51</v>
      </c>
      <c r="E17" s="56" t="s">
        <v>52</v>
      </c>
      <c r="F17" s="62" t="s">
        <v>41</v>
      </c>
      <c r="G17" s="74" t="s">
        <v>57</v>
      </c>
      <c r="H17" s="59">
        <f>7/26</f>
        <v>0.26923076923076922</v>
      </c>
      <c r="I17" s="56" t="s">
        <v>54</v>
      </c>
      <c r="J17" s="56" t="s">
        <v>242</v>
      </c>
    </row>
    <row r="18" spans="1:10" ht="30" x14ac:dyDescent="0.25">
      <c r="A18" s="62" t="s">
        <v>41</v>
      </c>
      <c r="B18" s="59" t="s">
        <v>53</v>
      </c>
      <c r="C18" s="59">
        <f>2/6</f>
        <v>0.33333333333333331</v>
      </c>
      <c r="D18" s="56" t="s">
        <v>54</v>
      </c>
      <c r="E18" s="56" t="s">
        <v>133</v>
      </c>
      <c r="F18" s="62" t="s">
        <v>41</v>
      </c>
      <c r="G18" s="59" t="s">
        <v>119</v>
      </c>
      <c r="H18" s="59">
        <f>19/28</f>
        <v>0.6785714285714286</v>
      </c>
      <c r="I18" s="56" t="s">
        <v>113</v>
      </c>
      <c r="J18" s="56" t="s">
        <v>124</v>
      </c>
    </row>
    <row r="19" spans="1:10" ht="45" x14ac:dyDescent="0.25">
      <c r="A19" s="62" t="s">
        <v>41</v>
      </c>
      <c r="B19" s="58" t="s">
        <v>106</v>
      </c>
      <c r="C19" s="59">
        <f>12/91</f>
        <v>0.13186813186813187</v>
      </c>
      <c r="D19" s="56" t="s">
        <v>107</v>
      </c>
      <c r="E19" s="56" t="s">
        <v>108</v>
      </c>
      <c r="F19" s="62" t="s">
        <v>41</v>
      </c>
      <c r="G19" s="69" t="s">
        <v>109</v>
      </c>
      <c r="H19" s="69">
        <f>63/161</f>
        <v>0.39130434782608697</v>
      </c>
      <c r="I19" s="70" t="s">
        <v>107</v>
      </c>
      <c r="J19" s="75" t="s">
        <v>243</v>
      </c>
    </row>
    <row r="20" spans="1:10" ht="30" x14ac:dyDescent="0.25">
      <c r="A20" s="62" t="s">
        <v>41</v>
      </c>
      <c r="B20" s="58" t="s">
        <v>118</v>
      </c>
      <c r="C20" s="59">
        <f>7/25</f>
        <v>0.28000000000000003</v>
      </c>
      <c r="D20" s="56" t="s">
        <v>116</v>
      </c>
      <c r="E20" s="56" t="s">
        <v>124</v>
      </c>
      <c r="F20" s="62" t="s">
        <v>41</v>
      </c>
    </row>
    <row r="21" spans="1:10" s="78" customFormat="1" ht="30" x14ac:dyDescent="0.25">
      <c r="A21" s="76" t="s">
        <v>41</v>
      </c>
      <c r="B21" s="77" t="s">
        <v>94</v>
      </c>
      <c r="C21" s="77">
        <v>0.2</v>
      </c>
      <c r="D21" s="78" t="s">
        <v>91</v>
      </c>
      <c r="E21" s="78" t="s">
        <v>92</v>
      </c>
      <c r="F21" s="76" t="s">
        <v>41</v>
      </c>
      <c r="G21" s="77" t="s">
        <v>95</v>
      </c>
      <c r="H21" s="77">
        <f>11/18</f>
        <v>0.61111111111111116</v>
      </c>
      <c r="I21" s="78" t="s">
        <v>91</v>
      </c>
      <c r="J21" s="78" t="s">
        <v>92</v>
      </c>
    </row>
    <row r="22" spans="1:10" s="65" customFormat="1" ht="30" x14ac:dyDescent="0.25">
      <c r="A22" s="71" t="s">
        <v>4</v>
      </c>
      <c r="B22" s="79" t="s">
        <v>24</v>
      </c>
      <c r="C22" s="66">
        <f>11/13</f>
        <v>0.84615384615384615</v>
      </c>
      <c r="D22" s="67" t="s">
        <v>22</v>
      </c>
      <c r="E22" s="67" t="s">
        <v>132</v>
      </c>
      <c r="F22" s="71" t="s">
        <v>4</v>
      </c>
      <c r="G22" s="64" t="s">
        <v>111</v>
      </c>
      <c r="H22" s="64">
        <f>41/75</f>
        <v>0.54666666666666663</v>
      </c>
      <c r="I22" s="65" t="s">
        <v>107</v>
      </c>
      <c r="J22" s="65" t="s">
        <v>112</v>
      </c>
    </row>
    <row r="23" spans="1:10" x14ac:dyDescent="0.25">
      <c r="A23" s="62" t="s">
        <v>41</v>
      </c>
      <c r="B23" s="59" t="s">
        <v>111</v>
      </c>
      <c r="C23" s="59">
        <f>41/75</f>
        <v>0.54666666666666663</v>
      </c>
      <c r="D23" s="56" t="s">
        <v>107</v>
      </c>
      <c r="E23" s="56" t="s">
        <v>112</v>
      </c>
      <c r="F23" s="62" t="s">
        <v>41</v>
      </c>
      <c r="G23" s="59"/>
      <c r="H23" s="59"/>
    </row>
    <row r="24" spans="1:10" x14ac:dyDescent="0.25">
      <c r="A24" s="62" t="s">
        <v>41</v>
      </c>
      <c r="B24" s="59"/>
      <c r="C24" s="59"/>
      <c r="F24" s="62" t="s">
        <v>41</v>
      </c>
      <c r="G24" s="59"/>
      <c r="H24" s="59"/>
    </row>
    <row r="25" spans="1:10" x14ac:dyDescent="0.25">
      <c r="A25" s="62" t="s">
        <v>41</v>
      </c>
      <c r="B25" s="59"/>
      <c r="C25" s="59"/>
      <c r="F25" s="62" t="s">
        <v>41</v>
      </c>
      <c r="G25" s="59"/>
      <c r="H25" s="59"/>
    </row>
    <row r="26" spans="1:10" x14ac:dyDescent="0.25">
      <c r="A26" s="62" t="s">
        <v>41</v>
      </c>
      <c r="B26" s="59"/>
      <c r="C26" s="59"/>
      <c r="F26" s="62" t="s">
        <v>41</v>
      </c>
      <c r="G26" s="59"/>
      <c r="H26" s="59"/>
      <c r="I26" s="56" t="s">
        <v>61</v>
      </c>
    </row>
    <row r="27" spans="1:10" x14ac:dyDescent="0.25">
      <c r="A27" s="62" t="s">
        <v>41</v>
      </c>
      <c r="B27" s="59"/>
      <c r="C27" s="59"/>
      <c r="F27" s="62" t="s">
        <v>41</v>
      </c>
      <c r="G27" s="59"/>
      <c r="H27" s="59"/>
    </row>
    <row r="28" spans="1:10" x14ac:dyDescent="0.25">
      <c r="G28" s="80"/>
    </row>
    <row r="35" spans="1:11" s="55" customFormat="1" x14ac:dyDescent="0.25">
      <c r="A35" s="53" t="s">
        <v>62</v>
      </c>
      <c r="C35" s="54"/>
      <c r="G35" s="54"/>
      <c r="H35" s="54"/>
    </row>
    <row r="36" spans="1:11" x14ac:dyDescent="0.25">
      <c r="A36" s="57" t="s">
        <v>1</v>
      </c>
      <c r="B36" s="59" t="s">
        <v>64</v>
      </c>
      <c r="C36" s="59">
        <f>92/150</f>
        <v>0.61333333333333329</v>
      </c>
      <c r="D36" s="56" t="s">
        <v>9</v>
      </c>
      <c r="F36" s="57" t="s">
        <v>2</v>
      </c>
      <c r="G36" s="59"/>
      <c r="H36" s="59">
        <f>1-C36</f>
        <v>0.38666666666666671</v>
      </c>
      <c r="I36" s="56" t="s">
        <v>9</v>
      </c>
      <c r="J36" s="56" t="s">
        <v>140</v>
      </c>
    </row>
    <row r="37" spans="1:11" x14ac:dyDescent="0.25">
      <c r="A37" s="62" t="s">
        <v>41</v>
      </c>
      <c r="B37" s="58" t="s">
        <v>63</v>
      </c>
      <c r="C37" s="59">
        <f>10/61</f>
        <v>0.16393442622950818</v>
      </c>
      <c r="D37" s="56" t="s">
        <v>6</v>
      </c>
      <c r="F37" s="62" t="s">
        <v>41</v>
      </c>
      <c r="G37" s="59"/>
      <c r="H37" s="59">
        <f>1-C37</f>
        <v>0.83606557377049184</v>
      </c>
      <c r="I37" s="56" t="s">
        <v>6</v>
      </c>
      <c r="J37" s="56" t="s">
        <v>72</v>
      </c>
    </row>
    <row r="38" spans="1:11" x14ac:dyDescent="0.25">
      <c r="A38" s="62" t="s">
        <v>41</v>
      </c>
      <c r="B38" s="59"/>
      <c r="C38" s="72">
        <f>1-H38</f>
        <v>0.24137931034482762</v>
      </c>
      <c r="D38" s="73" t="s">
        <v>38</v>
      </c>
      <c r="F38" s="62" t="s">
        <v>41</v>
      </c>
      <c r="G38" s="59" t="s">
        <v>68</v>
      </c>
      <c r="H38" s="72">
        <f>66/87</f>
        <v>0.75862068965517238</v>
      </c>
      <c r="I38" s="73" t="s">
        <v>38</v>
      </c>
      <c r="J38" s="73" t="s">
        <v>69</v>
      </c>
    </row>
    <row r="39" spans="1:11" x14ac:dyDescent="0.25">
      <c r="A39" s="62" t="s">
        <v>41</v>
      </c>
      <c r="B39" s="59" t="s">
        <v>85</v>
      </c>
      <c r="C39" s="59">
        <f>115/131</f>
        <v>0.87786259541984735</v>
      </c>
      <c r="D39" s="56" t="s">
        <v>43</v>
      </c>
      <c r="F39" s="62" t="s">
        <v>41</v>
      </c>
      <c r="G39" s="59"/>
      <c r="H39" s="59">
        <f>1-C39</f>
        <v>0.12213740458015265</v>
      </c>
      <c r="I39" s="56" t="s">
        <v>43</v>
      </c>
      <c r="J39" s="56" t="s">
        <v>86</v>
      </c>
    </row>
    <row r="40" spans="1:11" ht="30" x14ac:dyDescent="0.25">
      <c r="A40" s="62" t="s">
        <v>41</v>
      </c>
      <c r="B40" s="59" t="s">
        <v>100</v>
      </c>
      <c r="C40" s="59">
        <f>438/487</f>
        <v>0.89938398357289528</v>
      </c>
      <c r="D40" s="56" t="s">
        <v>97</v>
      </c>
      <c r="F40" s="62" t="s">
        <v>41</v>
      </c>
      <c r="G40" s="59"/>
      <c r="H40" s="59">
        <f>1-C40</f>
        <v>0.10061601642710472</v>
      </c>
      <c r="I40" s="56" t="s">
        <v>98</v>
      </c>
      <c r="J40" s="56" t="s">
        <v>246</v>
      </c>
    </row>
    <row r="41" spans="1:11" ht="30" x14ac:dyDescent="0.25">
      <c r="A41" s="62" t="s">
        <v>41</v>
      </c>
      <c r="B41" s="59" t="s">
        <v>120</v>
      </c>
      <c r="C41" s="59">
        <f>33/42</f>
        <v>0.7857142857142857</v>
      </c>
      <c r="D41" s="56" t="s">
        <v>116</v>
      </c>
      <c r="F41" s="62" t="s">
        <v>41</v>
      </c>
      <c r="G41" s="58" t="s">
        <v>121</v>
      </c>
      <c r="H41" s="59">
        <f>9/42</f>
        <v>0.21428571428571427</v>
      </c>
      <c r="I41" s="56" t="s">
        <v>113</v>
      </c>
      <c r="J41" s="56" t="s">
        <v>114</v>
      </c>
    </row>
    <row r="42" spans="1:11" x14ac:dyDescent="0.25">
      <c r="A42" s="62" t="s">
        <v>41</v>
      </c>
      <c r="B42" s="59" t="s">
        <v>138</v>
      </c>
      <c r="C42" s="72">
        <f>88/108</f>
        <v>0.81481481481481477</v>
      </c>
      <c r="D42" s="73" t="s">
        <v>18</v>
      </c>
      <c r="E42" s="73" t="s">
        <v>134</v>
      </c>
      <c r="F42" s="62" t="s">
        <v>41</v>
      </c>
      <c r="G42" s="58" t="s">
        <v>139</v>
      </c>
      <c r="H42" s="72">
        <f>20/108</f>
        <v>0.18518518518518517</v>
      </c>
      <c r="I42" s="73" t="s">
        <v>18</v>
      </c>
      <c r="J42" s="73" t="s">
        <v>134</v>
      </c>
      <c r="K42" s="61"/>
    </row>
    <row r="43" spans="1:11" x14ac:dyDescent="0.25">
      <c r="A43" s="57" t="s">
        <v>3</v>
      </c>
      <c r="B43" s="59" t="s">
        <v>76</v>
      </c>
      <c r="C43" s="72">
        <f>22/88</f>
        <v>0.25</v>
      </c>
      <c r="D43" s="73" t="s">
        <v>18</v>
      </c>
      <c r="E43" s="73" t="s">
        <v>77</v>
      </c>
      <c r="F43" s="57" t="s">
        <v>3</v>
      </c>
      <c r="G43" s="74" t="s">
        <v>78</v>
      </c>
      <c r="H43" s="72">
        <f>10/20</f>
        <v>0.5</v>
      </c>
      <c r="I43" s="73" t="s">
        <v>79</v>
      </c>
      <c r="J43" s="73" t="s">
        <v>77</v>
      </c>
    </row>
    <row r="44" spans="1:11" x14ac:dyDescent="0.25">
      <c r="A44" s="62" t="s">
        <v>41</v>
      </c>
      <c r="B44" s="59" t="s">
        <v>66</v>
      </c>
      <c r="C44" s="59">
        <f>24/49</f>
        <v>0.48979591836734693</v>
      </c>
      <c r="D44" s="56" t="s">
        <v>13</v>
      </c>
      <c r="E44" s="56" t="s">
        <v>71</v>
      </c>
      <c r="F44" s="62" t="s">
        <v>41</v>
      </c>
      <c r="G44" s="74" t="s">
        <v>67</v>
      </c>
      <c r="H44" s="59">
        <f>5/6</f>
        <v>0.83333333333333337</v>
      </c>
      <c r="I44" s="56" t="s">
        <v>13</v>
      </c>
      <c r="J44" s="56" t="s">
        <v>71</v>
      </c>
    </row>
    <row r="45" spans="1:11" ht="30" x14ac:dyDescent="0.25">
      <c r="A45" s="62" t="s">
        <v>41</v>
      </c>
      <c r="B45" s="74" t="s">
        <v>81</v>
      </c>
      <c r="C45" s="72">
        <f>9/14</f>
        <v>0.6428571428571429</v>
      </c>
      <c r="D45" s="73" t="s">
        <v>82</v>
      </c>
      <c r="E45" s="73" t="s">
        <v>83</v>
      </c>
      <c r="F45" s="62" t="s">
        <v>41</v>
      </c>
      <c r="G45" s="59" t="s">
        <v>123</v>
      </c>
      <c r="H45" s="59">
        <f>3/9</f>
        <v>0.33333333333333331</v>
      </c>
      <c r="I45" s="56" t="s">
        <v>113</v>
      </c>
      <c r="J45" s="56" t="s">
        <v>124</v>
      </c>
    </row>
    <row r="46" spans="1:11" ht="30" x14ac:dyDescent="0.25">
      <c r="A46" s="62" t="s">
        <v>41</v>
      </c>
      <c r="B46" s="59" t="s">
        <v>122</v>
      </c>
      <c r="C46" s="59">
        <f>1/33</f>
        <v>3.0303030303030304E-2</v>
      </c>
      <c r="D46" s="56" t="s">
        <v>113</v>
      </c>
      <c r="E46" s="56" t="s">
        <v>124</v>
      </c>
      <c r="F46" s="62" t="s">
        <v>41</v>
      </c>
      <c r="G46" s="59"/>
      <c r="H46" s="59"/>
    </row>
    <row r="47" spans="1:11" x14ac:dyDescent="0.25">
      <c r="A47" s="62" t="s">
        <v>41</v>
      </c>
      <c r="B47" s="59"/>
      <c r="C47" s="59"/>
      <c r="F47" s="62" t="s">
        <v>41</v>
      </c>
      <c r="G47" s="59"/>
      <c r="H47" s="59"/>
    </row>
    <row r="48" spans="1:11" x14ac:dyDescent="0.25">
      <c r="A48" s="62" t="s">
        <v>41</v>
      </c>
      <c r="B48" s="59"/>
      <c r="C48" s="59"/>
      <c r="F48" s="62" t="s">
        <v>41</v>
      </c>
      <c r="G48" s="59"/>
      <c r="H48" s="59"/>
    </row>
    <row r="49" spans="1:8" ht="30" x14ac:dyDescent="0.25">
      <c r="A49" s="57" t="s">
        <v>4</v>
      </c>
      <c r="B49" s="59" t="s">
        <v>84</v>
      </c>
      <c r="C49" s="72">
        <f>7/9</f>
        <v>0.77777777777777779</v>
      </c>
      <c r="D49" s="73" t="s">
        <v>82</v>
      </c>
      <c r="E49" s="73" t="s">
        <v>83</v>
      </c>
      <c r="F49" s="57" t="s">
        <v>4</v>
      </c>
      <c r="G49" s="59"/>
      <c r="H49" s="59"/>
    </row>
  </sheetData>
  <pageMargins left="0.25" right="0.25" top="0.75" bottom="0.75" header="0.3" footer="0.3"/>
  <pageSetup scale="52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zoomScale="85" zoomScaleNormal="85" workbookViewId="0">
      <selection activeCell="B15" sqref="B15"/>
    </sheetView>
  </sheetViews>
  <sheetFormatPr defaultRowHeight="15" x14ac:dyDescent="0.25"/>
  <cols>
    <col min="1" max="1" width="11.7109375" bestFit="1" customWidth="1"/>
    <col min="2" max="2" width="11.42578125" style="2" customWidth="1"/>
    <col min="3" max="3" width="6.140625" customWidth="1"/>
    <col min="4" max="4" width="12.28515625" customWidth="1"/>
    <col min="5" max="5" width="13.28515625" bestFit="1" customWidth="1"/>
    <col min="6" max="7" width="9.140625" style="2"/>
    <col min="8" max="8" width="6.42578125" customWidth="1"/>
  </cols>
  <sheetData>
    <row r="1" spans="1:7" s="3" customFormat="1" x14ac:dyDescent="0.25">
      <c r="A1" s="7" t="s">
        <v>0</v>
      </c>
      <c r="B1" s="8"/>
      <c r="F1" s="8"/>
      <c r="G1" s="8"/>
    </row>
    <row r="2" spans="1:7" s="10" customFormat="1" x14ac:dyDescent="0.25">
      <c r="A2" s="81" t="s">
        <v>1</v>
      </c>
      <c r="B2" s="9"/>
      <c r="E2" s="81" t="s">
        <v>2</v>
      </c>
      <c r="F2" s="9"/>
      <c r="G2" s="9"/>
    </row>
    <row r="3" spans="1:7" x14ac:dyDescent="0.25">
      <c r="A3" s="6" t="s">
        <v>244</v>
      </c>
      <c r="B3" s="2" t="s">
        <v>254</v>
      </c>
      <c r="C3" t="s">
        <v>252</v>
      </c>
      <c r="D3" t="s">
        <v>253</v>
      </c>
      <c r="E3" s="6" t="s">
        <v>244</v>
      </c>
      <c r="G3" s="9"/>
    </row>
    <row r="4" spans="1:7" x14ac:dyDescent="0.25">
      <c r="A4" s="6"/>
      <c r="E4" s="6"/>
      <c r="G4" s="9"/>
    </row>
    <row r="5" spans="1:7" x14ac:dyDescent="0.25">
      <c r="A5" s="1" t="s">
        <v>41</v>
      </c>
      <c r="E5" s="1" t="s">
        <v>41</v>
      </c>
    </row>
    <row r="6" spans="1:7" x14ac:dyDescent="0.25">
      <c r="A6" s="1" t="s">
        <v>41</v>
      </c>
      <c r="E6" s="1" t="s">
        <v>41</v>
      </c>
    </row>
    <row r="7" spans="1:7" x14ac:dyDescent="0.25">
      <c r="A7" s="1" t="s">
        <v>41</v>
      </c>
      <c r="B7" s="5"/>
      <c r="E7" s="1" t="s">
        <v>41</v>
      </c>
      <c r="F7" s="5"/>
    </row>
    <row r="8" spans="1:7" x14ac:dyDescent="0.25">
      <c r="A8" s="1" t="s">
        <v>41</v>
      </c>
      <c r="E8" s="1" t="s">
        <v>41</v>
      </c>
    </row>
    <row r="9" spans="1:7" x14ac:dyDescent="0.25">
      <c r="A9" s="1" t="s">
        <v>41</v>
      </c>
      <c r="E9" s="1" t="s">
        <v>41</v>
      </c>
    </row>
    <row r="10" spans="1:7" x14ac:dyDescent="0.25">
      <c r="A10" s="1" t="s">
        <v>41</v>
      </c>
      <c r="B10" s="4"/>
      <c r="E10" s="1" t="s">
        <v>41</v>
      </c>
    </row>
    <row r="11" spans="1:7" x14ac:dyDescent="0.25">
      <c r="A11" s="1" t="s">
        <v>41</v>
      </c>
      <c r="B11" s="4"/>
      <c r="E11" s="1" t="s">
        <v>41</v>
      </c>
    </row>
    <row r="12" spans="1:7" x14ac:dyDescent="0.25">
      <c r="A12" s="1" t="s">
        <v>41</v>
      </c>
      <c r="B12" s="4"/>
      <c r="E12" s="1" t="s">
        <v>41</v>
      </c>
    </row>
    <row r="13" spans="1:7" x14ac:dyDescent="0.25">
      <c r="A13" s="6" t="s">
        <v>4</v>
      </c>
      <c r="B13" s="5" t="s">
        <v>248</v>
      </c>
      <c r="C13" t="s">
        <v>249</v>
      </c>
      <c r="D13" t="s">
        <v>250</v>
      </c>
      <c r="E13" s="6" t="s">
        <v>4</v>
      </c>
    </row>
    <row r="14" spans="1:7" x14ac:dyDescent="0.25">
      <c r="A14" s="1" t="s">
        <v>41</v>
      </c>
      <c r="B14" s="2" t="s">
        <v>258</v>
      </c>
      <c r="C14" t="s">
        <v>252</v>
      </c>
      <c r="D14" t="s">
        <v>253</v>
      </c>
      <c r="E14" s="1" t="s">
        <v>41</v>
      </c>
    </row>
    <row r="15" spans="1:7" x14ac:dyDescent="0.25">
      <c r="A15" s="1" t="s">
        <v>41</v>
      </c>
      <c r="E15" s="1" t="s">
        <v>41</v>
      </c>
    </row>
    <row r="16" spans="1:7" x14ac:dyDescent="0.25">
      <c r="A16" s="1" t="s">
        <v>41</v>
      </c>
      <c r="E16" s="1" t="s">
        <v>41</v>
      </c>
    </row>
    <row r="17" spans="1:7" x14ac:dyDescent="0.25">
      <c r="A17" s="1" t="s">
        <v>41</v>
      </c>
      <c r="E17" s="1" t="s">
        <v>41</v>
      </c>
    </row>
    <row r="18" spans="1:7" x14ac:dyDescent="0.25">
      <c r="A18" s="1" t="s">
        <v>41</v>
      </c>
      <c r="E18" s="1" t="s">
        <v>41</v>
      </c>
    </row>
    <row r="19" spans="1:7" s="3" customFormat="1" x14ac:dyDescent="0.25">
      <c r="A19" s="7" t="s">
        <v>62</v>
      </c>
      <c r="F19" s="8"/>
      <c r="G19" s="8"/>
    </row>
    <row r="20" spans="1:7" s="10" customFormat="1" x14ac:dyDescent="0.25">
      <c r="A20" s="81" t="s">
        <v>1</v>
      </c>
      <c r="B20" s="9"/>
      <c r="E20" s="81" t="s">
        <v>257</v>
      </c>
      <c r="F20" s="9"/>
      <c r="G20" s="9"/>
    </row>
    <row r="21" spans="1:7" x14ac:dyDescent="0.25">
      <c r="A21" s="6" t="s">
        <v>244</v>
      </c>
      <c r="B21" s="2" t="s">
        <v>256</v>
      </c>
      <c r="C21" t="s">
        <v>252</v>
      </c>
      <c r="D21" t="s">
        <v>253</v>
      </c>
      <c r="E21" s="6" t="s">
        <v>244</v>
      </c>
      <c r="G21" s="9"/>
    </row>
    <row r="22" spans="1:7" x14ac:dyDescent="0.25">
      <c r="A22" s="6"/>
      <c r="E22" s="6"/>
      <c r="G22" s="9"/>
    </row>
    <row r="23" spans="1:7" x14ac:dyDescent="0.25">
      <c r="A23" s="1" t="s">
        <v>41</v>
      </c>
      <c r="E23" s="1" t="s">
        <v>41</v>
      </c>
    </row>
    <row r="24" spans="1:7" x14ac:dyDescent="0.25">
      <c r="A24" s="1" t="s">
        <v>41</v>
      </c>
      <c r="E24" s="1" t="s">
        <v>41</v>
      </c>
    </row>
    <row r="25" spans="1:7" x14ac:dyDescent="0.25">
      <c r="A25" s="1" t="s">
        <v>41</v>
      </c>
      <c r="B25" s="5"/>
      <c r="E25" s="1" t="s">
        <v>41</v>
      </c>
      <c r="F25" s="5"/>
    </row>
    <row r="26" spans="1:7" x14ac:dyDescent="0.25">
      <c r="A26" s="1" t="s">
        <v>41</v>
      </c>
      <c r="E26" s="1" t="s">
        <v>41</v>
      </c>
    </row>
    <row r="27" spans="1:7" x14ac:dyDescent="0.25">
      <c r="A27" s="1" t="s">
        <v>41</v>
      </c>
      <c r="E27" s="1" t="s">
        <v>41</v>
      </c>
    </row>
    <row r="28" spans="1:7" x14ac:dyDescent="0.25">
      <c r="A28" s="1" t="s">
        <v>41</v>
      </c>
      <c r="B28" s="4"/>
      <c r="E28" s="1" t="s">
        <v>41</v>
      </c>
    </row>
    <row r="29" spans="1:7" x14ac:dyDescent="0.25">
      <c r="A29" s="1" t="s">
        <v>41</v>
      </c>
      <c r="B29" s="4"/>
      <c r="E29" s="1" t="s">
        <v>41</v>
      </c>
    </row>
    <row r="30" spans="1:7" x14ac:dyDescent="0.25">
      <c r="A30" s="1" t="s">
        <v>41</v>
      </c>
      <c r="B30" s="4"/>
      <c r="E30" s="1" t="s">
        <v>41</v>
      </c>
    </row>
    <row r="31" spans="1:7" x14ac:dyDescent="0.25">
      <c r="A31" s="6" t="s">
        <v>4</v>
      </c>
      <c r="B31" s="5" t="s">
        <v>251</v>
      </c>
      <c r="C31" t="s">
        <v>34</v>
      </c>
      <c r="D31" t="s">
        <v>250</v>
      </c>
      <c r="E31" s="6" t="s">
        <v>4</v>
      </c>
    </row>
    <row r="32" spans="1:7" x14ac:dyDescent="0.25">
      <c r="A32" s="1" t="s">
        <v>41</v>
      </c>
      <c r="B32" s="2" t="s">
        <v>255</v>
      </c>
      <c r="C32" t="s">
        <v>252</v>
      </c>
      <c r="D32" t="s">
        <v>253</v>
      </c>
      <c r="E32" s="1" t="s">
        <v>41</v>
      </c>
    </row>
    <row r="33" spans="1:7" x14ac:dyDescent="0.25">
      <c r="A33" s="1" t="s">
        <v>41</v>
      </c>
      <c r="E33" s="1" t="s">
        <v>41</v>
      </c>
    </row>
    <row r="34" spans="1:7" x14ac:dyDescent="0.25">
      <c r="A34" s="1" t="s">
        <v>41</v>
      </c>
      <c r="E34" s="1" t="s">
        <v>41</v>
      </c>
    </row>
    <row r="35" spans="1:7" x14ac:dyDescent="0.25">
      <c r="A35" s="1" t="s">
        <v>41</v>
      </c>
      <c r="E35" s="1" t="s">
        <v>41</v>
      </c>
    </row>
    <row r="36" spans="1:7" x14ac:dyDescent="0.25">
      <c r="A36" s="1" t="s">
        <v>41</v>
      </c>
      <c r="E36" s="1" t="s">
        <v>41</v>
      </c>
    </row>
    <row r="37" spans="1:7" s="10" customFormat="1" x14ac:dyDescent="0.25">
      <c r="A37" s="81"/>
      <c r="B37" s="9"/>
      <c r="F37" s="9"/>
      <c r="G37" s="9"/>
    </row>
    <row r="38" spans="1:7" s="10" customFormat="1" x14ac:dyDescent="0.25">
      <c r="A38" s="82"/>
      <c r="B38" s="9"/>
      <c r="E38" s="82"/>
      <c r="F38" s="9"/>
      <c r="G38" s="9"/>
    </row>
    <row r="39" spans="1:7" s="10" customFormat="1" x14ac:dyDescent="0.25">
      <c r="A39" s="82"/>
      <c r="B39" s="9"/>
      <c r="E39" s="82"/>
      <c r="F39" s="9"/>
      <c r="G39" s="9"/>
    </row>
    <row r="40" spans="1:7" s="10" customFormat="1" x14ac:dyDescent="0.25">
      <c r="A40" s="81"/>
      <c r="B40" s="9"/>
      <c r="E40" s="81"/>
      <c r="F40" s="9"/>
      <c r="G40" s="9"/>
    </row>
    <row r="41" spans="1:7" s="10" customFormat="1" x14ac:dyDescent="0.25">
      <c r="A41" s="81"/>
      <c r="B41" s="9"/>
      <c r="E41" s="81"/>
      <c r="F41" s="9"/>
      <c r="G41" s="9"/>
    </row>
    <row r="42" spans="1:7" s="10" customFormat="1" x14ac:dyDescent="0.25">
      <c r="A42" s="81"/>
      <c r="B42" s="83"/>
      <c r="E42" s="81"/>
      <c r="F42" s="83"/>
      <c r="G42" s="9"/>
    </row>
    <row r="43" spans="1:7" s="10" customFormat="1" x14ac:dyDescent="0.25">
      <c r="A43" s="81"/>
      <c r="B43" s="9"/>
      <c r="E43" s="81"/>
      <c r="F43" s="9"/>
      <c r="G43" s="9"/>
    </row>
    <row r="44" spans="1:7" s="10" customFormat="1" x14ac:dyDescent="0.25">
      <c r="A44" s="81"/>
      <c r="B44" s="9"/>
      <c r="E44" s="81"/>
      <c r="F44" s="9"/>
      <c r="G44" s="9"/>
    </row>
    <row r="45" spans="1:7" s="10" customFormat="1" x14ac:dyDescent="0.25">
      <c r="A45" s="81"/>
      <c r="B45" s="84"/>
      <c r="E45" s="81"/>
      <c r="F45" s="9"/>
      <c r="G45" s="9"/>
    </row>
    <row r="46" spans="1:7" s="10" customFormat="1" x14ac:dyDescent="0.25">
      <c r="A46" s="81"/>
      <c r="B46" s="84"/>
      <c r="E46" s="81"/>
      <c r="F46" s="9"/>
      <c r="G46" s="9"/>
    </row>
    <row r="47" spans="1:7" s="10" customFormat="1" x14ac:dyDescent="0.25">
      <c r="A47" s="81"/>
      <c r="B47" s="84"/>
      <c r="E47" s="81"/>
      <c r="F47" s="9"/>
      <c r="G47" s="9"/>
    </row>
    <row r="48" spans="1:7" s="10" customFormat="1" x14ac:dyDescent="0.25">
      <c r="A48" s="82"/>
      <c r="B48" s="83"/>
      <c r="E48" s="82"/>
      <c r="F48" s="9"/>
      <c r="G48" s="9"/>
    </row>
    <row r="49" spans="1:7" s="10" customFormat="1" x14ac:dyDescent="0.25">
      <c r="A49" s="81"/>
      <c r="B49" s="9"/>
      <c r="E49" s="81"/>
      <c r="F49" s="9"/>
      <c r="G49" s="9"/>
    </row>
    <row r="50" spans="1:7" s="10" customFormat="1" x14ac:dyDescent="0.25">
      <c r="A50" s="81"/>
      <c r="B50" s="9"/>
      <c r="E50" s="81"/>
      <c r="F50" s="9"/>
      <c r="G50" s="9"/>
    </row>
    <row r="51" spans="1:7" s="10" customFormat="1" x14ac:dyDescent="0.25">
      <c r="A51" s="81"/>
      <c r="B51" s="9"/>
      <c r="E51" s="81"/>
      <c r="F51" s="9"/>
      <c r="G51" s="9"/>
    </row>
    <row r="52" spans="1:7" s="10" customFormat="1" x14ac:dyDescent="0.25">
      <c r="A52" s="81"/>
      <c r="B52" s="9"/>
      <c r="E52" s="81"/>
      <c r="F52" s="9"/>
      <c r="G52" s="9"/>
    </row>
    <row r="53" spans="1:7" s="10" customFormat="1" x14ac:dyDescent="0.25">
      <c r="A53" s="81"/>
      <c r="B53" s="9"/>
      <c r="E53" s="81"/>
      <c r="F53" s="9"/>
      <c r="G53" s="9"/>
    </row>
    <row r="54" spans="1:7" s="10" customFormat="1" x14ac:dyDescent="0.25">
      <c r="B54" s="9"/>
      <c r="F54" s="9"/>
      <c r="G54" s="9"/>
    </row>
    <row r="55" spans="1:7" s="10" customFormat="1" x14ac:dyDescent="0.25">
      <c r="B55" s="9"/>
      <c r="F55" s="9"/>
      <c r="G55" s="9"/>
    </row>
    <row r="56" spans="1:7" s="10" customFormat="1" x14ac:dyDescent="0.25">
      <c r="B56" s="9"/>
      <c r="F56" s="9"/>
      <c r="G56" s="9"/>
    </row>
    <row r="57" spans="1:7" s="10" customFormat="1" x14ac:dyDescent="0.25">
      <c r="B57" s="9"/>
      <c r="F57" s="9"/>
      <c r="G57" s="9"/>
    </row>
    <row r="58" spans="1:7" s="10" customFormat="1" x14ac:dyDescent="0.25">
      <c r="B58" s="9"/>
      <c r="F58" s="9"/>
      <c r="G58" s="9"/>
    </row>
    <row r="59" spans="1:7" s="10" customFormat="1" x14ac:dyDescent="0.25">
      <c r="B59" s="9"/>
      <c r="F59" s="9"/>
      <c r="G59" s="9"/>
    </row>
    <row r="60" spans="1:7" s="10" customFormat="1" x14ac:dyDescent="0.25">
      <c r="B60" s="9"/>
      <c r="F60" s="9"/>
      <c r="G60" s="9"/>
    </row>
    <row r="61" spans="1:7" s="10" customFormat="1" x14ac:dyDescent="0.25">
      <c r="B61" s="9"/>
      <c r="F61" s="9"/>
      <c r="G6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"/>
  <sheetViews>
    <sheetView zoomScale="70" zoomScaleNormal="70" workbookViewId="0">
      <selection activeCell="F58" sqref="A1:XFD1048576"/>
    </sheetView>
  </sheetViews>
  <sheetFormatPr defaultRowHeight="15" x14ac:dyDescent="0.25"/>
  <cols>
    <col min="1" max="1" width="22.85546875" style="11" customWidth="1"/>
    <col min="2" max="2" width="9.140625" style="20"/>
    <col min="3" max="3" width="9.140625" style="13"/>
    <col min="4" max="4" width="9.140625" style="20"/>
    <col min="5" max="5" width="9.140625" style="13"/>
    <col min="6" max="6" width="14.85546875" style="20" customWidth="1"/>
    <col min="7" max="7" width="17.42578125" style="13" customWidth="1"/>
    <col min="8" max="8" width="11.5703125" style="20" bestFit="1" customWidth="1"/>
    <col min="9" max="9" width="9.140625" style="11"/>
    <col min="10" max="10" width="11.140625" style="20" customWidth="1"/>
    <col min="11" max="11" width="23.28515625" style="23" customWidth="1"/>
    <col min="12" max="12" width="12" style="20" customWidth="1"/>
    <col min="13" max="13" width="23" style="13" customWidth="1"/>
    <col min="14" max="14" width="10.5703125" style="20" customWidth="1"/>
    <col min="15" max="15" width="28" style="13" customWidth="1"/>
    <col min="16" max="16" width="9.140625" style="20"/>
    <col min="17" max="17" width="28.5703125" style="11" customWidth="1"/>
    <col min="18" max="18" width="9.140625" style="20"/>
    <col min="19" max="21" width="9.140625" style="13"/>
    <col min="22" max="22" width="18.85546875" style="20" customWidth="1"/>
    <col min="23" max="23" width="17" style="13" customWidth="1"/>
    <col min="24" max="24" width="12.85546875" style="20" customWidth="1"/>
    <col min="25" max="25" width="18.42578125" style="11" customWidth="1"/>
    <col min="26" max="26" width="9.140625" style="20"/>
    <col min="27" max="27" width="9.140625" style="13"/>
    <col min="28" max="28" width="9.140625" style="20"/>
    <col min="29" max="29" width="9.140625" style="13"/>
    <col min="30" max="30" width="11.5703125" style="20" bestFit="1" customWidth="1"/>
    <col min="31" max="31" width="9.140625" style="13"/>
    <col min="32" max="32" width="9.140625" style="20"/>
    <col min="33" max="33" width="9.140625" style="11"/>
    <col min="34" max="16384" width="9.140625" style="13"/>
  </cols>
  <sheetData>
    <row r="1" spans="1:41" x14ac:dyDescent="0.25">
      <c r="B1" s="12" t="s">
        <v>142</v>
      </c>
      <c r="C1" s="12"/>
      <c r="D1" s="12"/>
      <c r="E1" s="12"/>
      <c r="F1" s="12"/>
      <c r="G1" s="12"/>
      <c r="H1" s="12"/>
      <c r="I1" s="12"/>
      <c r="J1" s="12" t="s">
        <v>143</v>
      </c>
      <c r="K1" s="12"/>
      <c r="L1" s="12"/>
      <c r="M1" s="12"/>
      <c r="N1" s="12"/>
      <c r="O1" s="12"/>
      <c r="P1" s="12"/>
      <c r="Q1" s="12"/>
      <c r="R1" s="12" t="s">
        <v>144</v>
      </c>
      <c r="S1" s="12"/>
      <c r="T1" s="12"/>
      <c r="U1" s="12"/>
      <c r="V1" s="12"/>
      <c r="W1" s="12"/>
      <c r="X1" s="12"/>
      <c r="Y1" s="12"/>
      <c r="Z1" s="12" t="s">
        <v>145</v>
      </c>
      <c r="AA1" s="12"/>
      <c r="AB1" s="12"/>
      <c r="AC1" s="12"/>
      <c r="AD1" s="12"/>
      <c r="AE1" s="12"/>
      <c r="AF1" s="12"/>
      <c r="AG1" s="12"/>
      <c r="AH1" s="12" t="s">
        <v>146</v>
      </c>
      <c r="AI1" s="12"/>
      <c r="AJ1" s="12"/>
      <c r="AK1" s="12"/>
      <c r="AL1" s="12"/>
      <c r="AM1" s="12"/>
      <c r="AN1" s="12"/>
      <c r="AO1" s="12"/>
    </row>
    <row r="2" spans="1:41" x14ac:dyDescent="0.25">
      <c r="B2" s="12" t="s">
        <v>147</v>
      </c>
      <c r="C2" s="12"/>
      <c r="D2" s="12" t="s">
        <v>148</v>
      </c>
      <c r="E2" s="12"/>
      <c r="F2" s="12" t="s">
        <v>14</v>
      </c>
      <c r="G2" s="12"/>
      <c r="H2" s="12" t="s">
        <v>149</v>
      </c>
      <c r="I2" s="12"/>
      <c r="J2" s="12" t="s">
        <v>147</v>
      </c>
      <c r="K2" s="12"/>
      <c r="L2" s="12" t="s">
        <v>148</v>
      </c>
      <c r="M2" s="12"/>
      <c r="N2" s="12" t="s">
        <v>14</v>
      </c>
      <c r="O2" s="12"/>
      <c r="P2" s="12" t="s">
        <v>149</v>
      </c>
      <c r="Q2" s="12"/>
      <c r="R2" s="12" t="s">
        <v>147</v>
      </c>
      <c r="S2" s="12"/>
      <c r="T2" s="12" t="s">
        <v>148</v>
      </c>
      <c r="U2" s="12"/>
      <c r="V2" s="12" t="s">
        <v>14</v>
      </c>
      <c r="W2" s="12"/>
      <c r="X2" s="12" t="s">
        <v>149</v>
      </c>
      <c r="Y2" s="12"/>
      <c r="Z2" s="12" t="s">
        <v>147</v>
      </c>
      <c r="AA2" s="12"/>
      <c r="AB2" s="12" t="s">
        <v>148</v>
      </c>
      <c r="AC2" s="12"/>
      <c r="AD2" s="12" t="s">
        <v>14</v>
      </c>
      <c r="AE2" s="12"/>
      <c r="AF2" s="12" t="s">
        <v>149</v>
      </c>
      <c r="AG2" s="12"/>
      <c r="AH2" s="12" t="s">
        <v>147</v>
      </c>
      <c r="AI2" s="12"/>
      <c r="AJ2" s="12" t="s">
        <v>148</v>
      </c>
      <c r="AK2" s="12"/>
      <c r="AL2" s="12" t="s">
        <v>14</v>
      </c>
      <c r="AM2" s="12"/>
      <c r="AN2" s="12" t="s">
        <v>149</v>
      </c>
      <c r="AO2" s="12"/>
    </row>
    <row r="3" spans="1:41" s="18" customFormat="1" x14ac:dyDescent="0.25">
      <c r="A3" s="14"/>
      <c r="B3" s="15" t="s">
        <v>150</v>
      </c>
      <c r="C3" s="16" t="s">
        <v>151</v>
      </c>
      <c r="D3" s="15" t="s">
        <v>150</v>
      </c>
      <c r="E3" s="16" t="s">
        <v>151</v>
      </c>
      <c r="F3" s="15" t="s">
        <v>150</v>
      </c>
      <c r="G3" s="16" t="s">
        <v>151</v>
      </c>
      <c r="H3" s="15" t="s">
        <v>150</v>
      </c>
      <c r="I3" s="17" t="s">
        <v>151</v>
      </c>
      <c r="J3" s="15" t="s">
        <v>150</v>
      </c>
      <c r="K3" s="16" t="s">
        <v>151</v>
      </c>
      <c r="L3" s="15" t="s">
        <v>150</v>
      </c>
      <c r="M3" s="16" t="s">
        <v>151</v>
      </c>
      <c r="N3" s="15" t="s">
        <v>150</v>
      </c>
      <c r="O3" s="16" t="s">
        <v>151</v>
      </c>
      <c r="P3" s="15" t="s">
        <v>150</v>
      </c>
      <c r="Q3" s="17" t="s">
        <v>151</v>
      </c>
      <c r="R3" s="15" t="s">
        <v>150</v>
      </c>
      <c r="S3" s="16" t="s">
        <v>151</v>
      </c>
      <c r="T3" s="16" t="s">
        <v>150</v>
      </c>
      <c r="U3" s="16" t="s">
        <v>151</v>
      </c>
      <c r="V3" s="15" t="s">
        <v>150</v>
      </c>
      <c r="W3" s="16" t="s">
        <v>151</v>
      </c>
      <c r="X3" s="15" t="s">
        <v>150</v>
      </c>
      <c r="Y3" s="17" t="s">
        <v>151</v>
      </c>
      <c r="Z3" s="15" t="s">
        <v>150</v>
      </c>
      <c r="AA3" s="16" t="s">
        <v>151</v>
      </c>
      <c r="AB3" s="15" t="s">
        <v>150</v>
      </c>
      <c r="AC3" s="16" t="s">
        <v>151</v>
      </c>
      <c r="AD3" s="15" t="s">
        <v>150</v>
      </c>
      <c r="AE3" s="16" t="s">
        <v>151</v>
      </c>
      <c r="AF3" s="15" t="s">
        <v>150</v>
      </c>
      <c r="AG3" s="17" t="s">
        <v>151</v>
      </c>
      <c r="AH3" s="16" t="s">
        <v>150</v>
      </c>
      <c r="AI3" s="16" t="s">
        <v>151</v>
      </c>
      <c r="AJ3" s="16" t="s">
        <v>150</v>
      </c>
      <c r="AK3" s="16" t="s">
        <v>151</v>
      </c>
      <c r="AL3" s="16" t="s">
        <v>150</v>
      </c>
      <c r="AM3" s="16" t="s">
        <v>151</v>
      </c>
      <c r="AN3" s="16" t="s">
        <v>150</v>
      </c>
      <c r="AO3" s="16" t="s">
        <v>151</v>
      </c>
    </row>
    <row r="4" spans="1:41" x14ac:dyDescent="0.25">
      <c r="A4" s="19" t="s">
        <v>152</v>
      </c>
      <c r="F4" s="21"/>
      <c r="J4" s="22">
        <v>0.12205567451820129</v>
      </c>
      <c r="K4" s="23" t="s">
        <v>153</v>
      </c>
      <c r="N4" s="21" t="s">
        <v>154</v>
      </c>
      <c r="O4" s="13" t="s">
        <v>6</v>
      </c>
      <c r="V4" s="24" t="s">
        <v>155</v>
      </c>
      <c r="W4" s="13" t="s">
        <v>156</v>
      </c>
      <c r="AD4" s="25">
        <v>0.63636363636363635</v>
      </c>
      <c r="AE4" s="13" t="s">
        <v>157</v>
      </c>
      <c r="AL4" s="26">
        <v>0.16666666666666666</v>
      </c>
      <c r="AM4" s="13" t="s">
        <v>157</v>
      </c>
    </row>
    <row r="5" spans="1:41" s="18" customFormat="1" x14ac:dyDescent="0.25">
      <c r="A5" s="27"/>
      <c r="B5" s="28"/>
      <c r="D5" s="28"/>
      <c r="F5" s="29"/>
      <c r="H5" s="28"/>
      <c r="I5" s="14"/>
      <c r="J5" s="30"/>
      <c r="L5" s="28"/>
      <c r="N5" s="29"/>
      <c r="P5" s="28"/>
      <c r="Q5" s="14"/>
      <c r="R5" s="28"/>
      <c r="V5" s="31">
        <v>0.33333333333333331</v>
      </c>
      <c r="W5" s="18" t="s">
        <v>6</v>
      </c>
      <c r="X5" s="28"/>
      <c r="Y5" s="14"/>
      <c r="Z5" s="28"/>
      <c r="AB5" s="28"/>
      <c r="AD5" s="28"/>
      <c r="AF5" s="28"/>
      <c r="AG5" s="14"/>
    </row>
    <row r="6" spans="1:41" x14ac:dyDescent="0.25">
      <c r="A6" s="32" t="s">
        <v>158</v>
      </c>
      <c r="F6" s="21" t="s">
        <v>159</v>
      </c>
      <c r="G6" s="13" t="s">
        <v>160</v>
      </c>
      <c r="H6" s="21" t="s">
        <v>161</v>
      </c>
      <c r="I6" s="11" t="s">
        <v>162</v>
      </c>
      <c r="J6" s="21"/>
      <c r="L6" s="21"/>
      <c r="N6" s="21" t="s">
        <v>163</v>
      </c>
      <c r="O6" s="13" t="s">
        <v>164</v>
      </c>
      <c r="V6" s="21" t="s">
        <v>165</v>
      </c>
      <c r="W6" s="13" t="s">
        <v>166</v>
      </c>
      <c r="X6" s="21" t="s">
        <v>167</v>
      </c>
      <c r="Y6" s="11" t="s">
        <v>168</v>
      </c>
    </row>
    <row r="7" spans="1:41" x14ac:dyDescent="0.25">
      <c r="A7" s="32"/>
      <c r="F7" s="21"/>
      <c r="H7" s="21" t="s">
        <v>169</v>
      </c>
      <c r="I7" s="11" t="s">
        <v>170</v>
      </c>
      <c r="J7" s="21"/>
      <c r="L7" s="21"/>
      <c r="V7" s="21" t="s">
        <v>171</v>
      </c>
      <c r="W7" s="13" t="s">
        <v>172</v>
      </c>
    </row>
    <row r="8" spans="1:41" x14ac:dyDescent="0.25">
      <c r="A8" s="32"/>
      <c r="F8" s="21"/>
      <c r="H8" s="21" t="s">
        <v>173</v>
      </c>
      <c r="I8" s="11" t="s">
        <v>174</v>
      </c>
      <c r="J8" s="21"/>
      <c r="L8" s="21"/>
      <c r="V8" s="21" t="s">
        <v>175</v>
      </c>
      <c r="W8" s="13" t="s">
        <v>176</v>
      </c>
    </row>
    <row r="9" spans="1:41" s="18" customFormat="1" x14ac:dyDescent="0.25">
      <c r="A9" s="33"/>
      <c r="B9" s="28"/>
      <c r="D9" s="28"/>
      <c r="F9" s="29"/>
      <c r="H9" s="34">
        <v>0.29032258064516131</v>
      </c>
      <c r="I9" s="14" t="s">
        <v>177</v>
      </c>
      <c r="J9" s="29"/>
      <c r="L9" s="29"/>
      <c r="N9" s="28"/>
      <c r="P9" s="28"/>
      <c r="Q9" s="14"/>
      <c r="R9" s="28"/>
      <c r="V9" s="29" t="s">
        <v>178</v>
      </c>
      <c r="W9" s="18" t="s">
        <v>179</v>
      </c>
      <c r="X9" s="28"/>
      <c r="Y9" s="14"/>
      <c r="Z9" s="28"/>
      <c r="AB9" s="28"/>
      <c r="AD9" s="28"/>
      <c r="AF9" s="28"/>
      <c r="AG9" s="14"/>
    </row>
    <row r="10" spans="1:41" x14ac:dyDescent="0.25">
      <c r="A10" s="35" t="s">
        <v>180</v>
      </c>
      <c r="F10" s="21" t="s">
        <v>12</v>
      </c>
      <c r="G10" s="13" t="s">
        <v>181</v>
      </c>
      <c r="H10" s="21"/>
      <c r="J10" s="21" t="s">
        <v>33</v>
      </c>
      <c r="K10" s="23" t="s">
        <v>182</v>
      </c>
      <c r="L10" s="21" t="s">
        <v>17</v>
      </c>
      <c r="M10" s="13" t="s">
        <v>183</v>
      </c>
      <c r="N10" s="36">
        <v>0.61904761904761907</v>
      </c>
      <c r="O10" s="13" t="s">
        <v>184</v>
      </c>
      <c r="V10" s="37">
        <v>0.2857142857142857</v>
      </c>
      <c r="W10" s="13" t="s">
        <v>185</v>
      </c>
    </row>
    <row r="11" spans="1:41" x14ac:dyDescent="0.25">
      <c r="A11" s="35"/>
      <c r="F11" s="21"/>
      <c r="H11" s="21"/>
      <c r="J11" s="21"/>
      <c r="L11" s="21"/>
      <c r="N11" s="36">
        <v>0.84615384615384615</v>
      </c>
      <c r="O11" s="13" t="s">
        <v>4</v>
      </c>
      <c r="V11" s="38">
        <v>0.33333333333333331</v>
      </c>
      <c r="W11" s="13" t="s">
        <v>54</v>
      </c>
    </row>
    <row r="12" spans="1:41" s="18" customFormat="1" x14ac:dyDescent="0.25">
      <c r="A12" s="39"/>
      <c r="B12" s="28"/>
      <c r="D12" s="28"/>
      <c r="F12" s="29"/>
      <c r="H12" s="29"/>
      <c r="I12" s="14"/>
      <c r="J12" s="29"/>
      <c r="L12" s="29"/>
      <c r="N12" s="40">
        <v>0.15384615384615385</v>
      </c>
      <c r="O12" s="18" t="s">
        <v>10</v>
      </c>
      <c r="P12" s="28"/>
      <c r="Q12" s="14"/>
      <c r="R12" s="28"/>
      <c r="V12" s="29"/>
      <c r="X12" s="28"/>
      <c r="Y12" s="14"/>
      <c r="Z12" s="28"/>
      <c r="AB12" s="28"/>
      <c r="AD12" s="28"/>
      <c r="AF12" s="28"/>
      <c r="AG12" s="14"/>
    </row>
    <row r="13" spans="1:41" x14ac:dyDescent="0.25">
      <c r="A13" s="35" t="s">
        <v>186</v>
      </c>
      <c r="F13" s="21" t="s">
        <v>16</v>
      </c>
      <c r="G13" s="13" t="s">
        <v>181</v>
      </c>
      <c r="H13" s="21"/>
      <c r="J13" s="21"/>
      <c r="L13" s="21" t="s">
        <v>20</v>
      </c>
      <c r="M13" s="13" t="s">
        <v>183</v>
      </c>
      <c r="N13" s="21"/>
      <c r="V13" s="21" t="s">
        <v>55</v>
      </c>
      <c r="W13" s="13" t="s">
        <v>51</v>
      </c>
    </row>
    <row r="14" spans="1:41" s="18" customFormat="1" x14ac:dyDescent="0.25">
      <c r="A14" s="39"/>
      <c r="B14" s="28"/>
      <c r="D14" s="28"/>
      <c r="F14" s="29"/>
      <c r="H14" s="29"/>
      <c r="I14" s="14"/>
      <c r="J14" s="29"/>
      <c r="L14" s="29"/>
      <c r="N14" s="29"/>
      <c r="P14" s="28"/>
      <c r="Q14" s="14"/>
      <c r="R14" s="28"/>
      <c r="V14" s="41">
        <v>0.26923076923076922</v>
      </c>
      <c r="W14" s="18" t="s">
        <v>54</v>
      </c>
      <c r="X14" s="28"/>
      <c r="Y14" s="14"/>
      <c r="Z14" s="28"/>
      <c r="AB14" s="28"/>
      <c r="AD14" s="28"/>
      <c r="AF14" s="28"/>
      <c r="AG14" s="14"/>
    </row>
    <row r="15" spans="1:41" x14ac:dyDescent="0.25">
      <c r="A15" s="32" t="s">
        <v>187</v>
      </c>
      <c r="F15" s="21" t="s">
        <v>188</v>
      </c>
      <c r="G15" s="13" t="s">
        <v>189</v>
      </c>
      <c r="H15" s="42">
        <v>0.125</v>
      </c>
      <c r="I15" s="11" t="s">
        <v>162</v>
      </c>
      <c r="J15" s="21"/>
      <c r="L15" s="21"/>
      <c r="N15" s="21" t="s">
        <v>190</v>
      </c>
      <c r="O15" s="13" t="s">
        <v>191</v>
      </c>
      <c r="V15" s="21" t="s">
        <v>192</v>
      </c>
      <c r="W15" s="13" t="s">
        <v>193</v>
      </c>
      <c r="X15" s="43"/>
    </row>
    <row r="16" spans="1:41" x14ac:dyDescent="0.25">
      <c r="A16" s="32"/>
      <c r="F16" s="21"/>
      <c r="H16" s="44">
        <v>0.3</v>
      </c>
      <c r="I16" s="11" t="s">
        <v>194</v>
      </c>
      <c r="J16" s="21"/>
      <c r="L16" s="21"/>
      <c r="N16" s="21"/>
      <c r="V16" s="21" t="s">
        <v>195</v>
      </c>
      <c r="W16" s="13" t="s">
        <v>196</v>
      </c>
    </row>
    <row r="17" spans="1:33" x14ac:dyDescent="0.25">
      <c r="A17" s="32"/>
      <c r="F17" s="21"/>
      <c r="H17" s="42"/>
      <c r="J17" s="21"/>
      <c r="L17" s="21"/>
      <c r="N17" s="21"/>
      <c r="V17" s="21" t="s">
        <v>197</v>
      </c>
      <c r="W17" s="13" t="s">
        <v>198</v>
      </c>
    </row>
    <row r="18" spans="1:33" x14ac:dyDescent="0.25">
      <c r="A18" s="32"/>
      <c r="F18" s="21"/>
      <c r="H18" s="42"/>
      <c r="I18" s="11" t="s">
        <v>61</v>
      </c>
      <c r="J18" s="21"/>
      <c r="L18" s="21"/>
      <c r="N18" s="21"/>
      <c r="V18" s="45">
        <v>0.23809523809523808</v>
      </c>
      <c r="W18" s="13" t="s">
        <v>199</v>
      </c>
    </row>
    <row r="19" spans="1:33" s="18" customFormat="1" x14ac:dyDescent="0.25">
      <c r="A19" s="33"/>
      <c r="B19" s="28"/>
      <c r="D19" s="28"/>
      <c r="F19" s="29"/>
      <c r="H19" s="46"/>
      <c r="I19" s="14"/>
      <c r="J19" s="29"/>
      <c r="L19" s="29"/>
      <c r="N19" s="29"/>
      <c r="P19" s="28"/>
      <c r="Q19" s="14"/>
      <c r="R19" s="28"/>
      <c r="V19" s="47"/>
      <c r="X19" s="28"/>
      <c r="Y19" s="14"/>
      <c r="Z19" s="28"/>
      <c r="AB19" s="28"/>
      <c r="AD19" s="28"/>
      <c r="AF19" s="28"/>
      <c r="AG19" s="14"/>
    </row>
    <row r="20" spans="1:33" x14ac:dyDescent="0.25">
      <c r="A20" s="35" t="s">
        <v>180</v>
      </c>
      <c r="F20" s="21" t="s">
        <v>66</v>
      </c>
      <c r="G20" s="13" t="s">
        <v>200</v>
      </c>
      <c r="H20" s="21"/>
      <c r="J20" s="21" t="s">
        <v>70</v>
      </c>
      <c r="K20" s="23" t="s">
        <v>201</v>
      </c>
      <c r="L20" s="21" t="s">
        <v>76</v>
      </c>
      <c r="M20" s="13" t="s">
        <v>202</v>
      </c>
      <c r="N20" s="36">
        <v>0.6428571428571429</v>
      </c>
      <c r="O20" s="13" t="s">
        <v>203</v>
      </c>
      <c r="V20" s="48">
        <v>0.21875</v>
      </c>
      <c r="W20" s="13" t="s">
        <v>51</v>
      </c>
    </row>
    <row r="21" spans="1:33" x14ac:dyDescent="0.25">
      <c r="A21" s="35"/>
      <c r="F21" s="21"/>
      <c r="J21" s="21"/>
      <c r="L21" s="21"/>
      <c r="N21" s="36">
        <v>0.77777777777777779</v>
      </c>
      <c r="O21" s="13" t="s">
        <v>4</v>
      </c>
      <c r="V21" s="21"/>
    </row>
    <row r="22" spans="1:33" s="18" customFormat="1" x14ac:dyDescent="0.25">
      <c r="A22" s="39"/>
      <c r="B22" s="28"/>
      <c r="D22" s="28"/>
      <c r="F22" s="29"/>
      <c r="H22" s="28"/>
      <c r="I22" s="14"/>
      <c r="J22" s="28"/>
      <c r="L22" s="29"/>
      <c r="N22" s="40">
        <v>0.22222222222222221</v>
      </c>
      <c r="O22" s="18" t="s">
        <v>10</v>
      </c>
      <c r="P22" s="28"/>
      <c r="Q22" s="14"/>
      <c r="R22" s="28"/>
      <c r="V22" s="29"/>
      <c r="X22" s="28"/>
      <c r="Y22" s="14"/>
      <c r="Z22" s="28"/>
      <c r="AB22" s="28"/>
      <c r="AD22" s="28"/>
      <c r="AF22" s="28"/>
      <c r="AG22" s="14"/>
    </row>
    <row r="23" spans="1:33" x14ac:dyDescent="0.25">
      <c r="A23" s="35" t="s">
        <v>186</v>
      </c>
      <c r="F23" s="38">
        <v>0.83333333333333337</v>
      </c>
      <c r="G23" s="13" t="s">
        <v>200</v>
      </c>
      <c r="L23" s="49">
        <v>0.5</v>
      </c>
      <c r="M23" s="13" t="s">
        <v>202</v>
      </c>
      <c r="N23" s="21"/>
      <c r="V23" s="50">
        <v>0.5</v>
      </c>
      <c r="W23" s="13" t="s">
        <v>51</v>
      </c>
    </row>
    <row r="24" spans="1:33" s="18" customFormat="1" x14ac:dyDescent="0.25">
      <c r="A24" s="14"/>
      <c r="B24" s="28"/>
      <c r="D24" s="28"/>
      <c r="F24" s="29"/>
      <c r="H24" s="28"/>
      <c r="I24" s="14"/>
      <c r="J24" s="28"/>
      <c r="L24" s="29"/>
      <c r="N24" s="29"/>
      <c r="P24" s="28"/>
      <c r="Q24" s="14"/>
      <c r="R24" s="28"/>
      <c r="V24" s="29"/>
      <c r="X24" s="28"/>
      <c r="Y24" s="14"/>
      <c r="Z24" s="28"/>
      <c r="AB24" s="28"/>
      <c r="AD24" s="28"/>
      <c r="AF24" s="28"/>
      <c r="AG24" s="14"/>
    </row>
    <row r="25" spans="1:33" x14ac:dyDescent="0.25">
      <c r="A25" s="19" t="s">
        <v>204</v>
      </c>
      <c r="F25" s="21"/>
      <c r="L25" s="21"/>
      <c r="N25" s="21"/>
      <c r="V25" s="21"/>
    </row>
    <row r="26" spans="1:33" x14ac:dyDescent="0.25">
      <c r="A26" s="32" t="s">
        <v>158</v>
      </c>
      <c r="F26" s="21">
        <f>18.1+22.4</f>
        <v>40.5</v>
      </c>
      <c r="G26" s="13" t="s">
        <v>205</v>
      </c>
      <c r="H26" s="21">
        <v>37</v>
      </c>
      <c r="I26" s="11" t="s">
        <v>9</v>
      </c>
      <c r="L26" s="21"/>
      <c r="N26" s="21" t="s">
        <v>206</v>
      </c>
      <c r="O26" s="13" t="s">
        <v>164</v>
      </c>
      <c r="V26" s="21" t="s">
        <v>207</v>
      </c>
      <c r="W26" s="13" t="s">
        <v>208</v>
      </c>
      <c r="X26" s="21">
        <v>21</v>
      </c>
      <c r="Y26" s="11" t="s">
        <v>168</v>
      </c>
    </row>
    <row r="27" spans="1:33" x14ac:dyDescent="0.25">
      <c r="A27" s="32"/>
      <c r="F27" s="21" t="s">
        <v>209</v>
      </c>
      <c r="G27" s="13" t="s">
        <v>210</v>
      </c>
      <c r="L27" s="21"/>
      <c r="V27" s="21" t="s">
        <v>211</v>
      </c>
      <c r="W27" s="13" t="s">
        <v>43</v>
      </c>
    </row>
    <row r="28" spans="1:33" x14ac:dyDescent="0.25">
      <c r="A28" s="32"/>
      <c r="F28" s="21" t="s">
        <v>212</v>
      </c>
      <c r="G28" s="13" t="s">
        <v>213</v>
      </c>
      <c r="L28" s="21"/>
      <c r="N28" s="21"/>
      <c r="V28" s="21" t="s">
        <v>214</v>
      </c>
      <c r="W28" s="13" t="s">
        <v>215</v>
      </c>
    </row>
    <row r="29" spans="1:33" s="18" customFormat="1" x14ac:dyDescent="0.25">
      <c r="A29" s="33"/>
      <c r="B29" s="28"/>
      <c r="D29" s="28"/>
      <c r="F29" s="29"/>
      <c r="H29" s="28"/>
      <c r="I29" s="14"/>
      <c r="J29" s="28"/>
      <c r="L29" s="29"/>
      <c r="N29" s="29"/>
      <c r="P29" s="28"/>
      <c r="Q29" s="14"/>
      <c r="R29" s="28"/>
      <c r="V29" s="29" t="s">
        <v>216</v>
      </c>
      <c r="W29" s="18" t="s">
        <v>49</v>
      </c>
      <c r="X29" s="28"/>
      <c r="Y29" s="14"/>
      <c r="Z29" s="28"/>
      <c r="AB29" s="28"/>
      <c r="AD29" s="28"/>
      <c r="AF29" s="28"/>
      <c r="AG29" s="14"/>
    </row>
    <row r="30" spans="1:33" x14ac:dyDescent="0.25">
      <c r="A30" s="35" t="s">
        <v>180</v>
      </c>
      <c r="F30" s="21"/>
      <c r="J30" s="21" t="s">
        <v>217</v>
      </c>
      <c r="K30" s="23" t="s">
        <v>218</v>
      </c>
      <c r="L30" s="21"/>
      <c r="N30" s="21" t="s">
        <v>219</v>
      </c>
      <c r="O30" s="13" t="s">
        <v>220</v>
      </c>
      <c r="V30" s="21"/>
    </row>
    <row r="31" spans="1:33" s="18" customFormat="1" x14ac:dyDescent="0.25">
      <c r="A31" s="39"/>
      <c r="B31" s="28"/>
      <c r="D31" s="28"/>
      <c r="F31" s="29"/>
      <c r="H31" s="28"/>
      <c r="I31" s="14"/>
      <c r="J31" s="28"/>
      <c r="L31" s="29"/>
      <c r="N31" s="29" t="s">
        <v>221</v>
      </c>
      <c r="O31" s="18" t="s">
        <v>10</v>
      </c>
      <c r="P31" s="28"/>
      <c r="Q31" s="14"/>
      <c r="R31" s="28"/>
      <c r="V31" s="29"/>
      <c r="X31" s="28"/>
      <c r="Y31" s="14"/>
      <c r="Z31" s="28"/>
      <c r="AB31" s="28"/>
      <c r="AD31" s="28"/>
      <c r="AF31" s="28"/>
      <c r="AG31" s="14"/>
    </row>
    <row r="32" spans="1:33" s="18" customFormat="1" x14ac:dyDescent="0.25">
      <c r="A32" s="39" t="s">
        <v>186</v>
      </c>
      <c r="B32" s="28"/>
      <c r="D32" s="28"/>
      <c r="F32" s="29"/>
      <c r="H32" s="28"/>
      <c r="I32" s="14"/>
      <c r="J32" s="28"/>
      <c r="L32" s="29"/>
      <c r="N32" s="29"/>
      <c r="P32" s="28"/>
      <c r="Q32" s="14"/>
      <c r="R32" s="28"/>
      <c r="V32" s="29"/>
      <c r="X32" s="28"/>
      <c r="Y32" s="14"/>
      <c r="Z32" s="28"/>
      <c r="AB32" s="28"/>
      <c r="AD32" s="28"/>
      <c r="AF32" s="28"/>
      <c r="AG32" s="14"/>
    </row>
    <row r="33" spans="1:33" x14ac:dyDescent="0.25">
      <c r="A33" s="32" t="s">
        <v>187</v>
      </c>
      <c r="F33" s="21">
        <f>15.7+16.5</f>
        <v>32.200000000000003</v>
      </c>
      <c r="G33" s="13" t="s">
        <v>222</v>
      </c>
      <c r="H33" s="21">
        <v>27.45</v>
      </c>
      <c r="I33" s="11" t="s">
        <v>9</v>
      </c>
      <c r="L33" s="21"/>
      <c r="N33" s="21" t="s">
        <v>223</v>
      </c>
      <c r="O33" s="13" t="s">
        <v>191</v>
      </c>
      <c r="V33" s="21" t="s">
        <v>224</v>
      </c>
      <c r="W33" s="13" t="s">
        <v>225</v>
      </c>
    </row>
    <row r="34" spans="1:33" x14ac:dyDescent="0.25">
      <c r="A34" s="32"/>
      <c r="F34" s="21" t="s">
        <v>226</v>
      </c>
      <c r="G34" s="13" t="s">
        <v>210</v>
      </c>
      <c r="L34" s="21"/>
      <c r="N34" s="21"/>
      <c r="V34" s="21" t="s">
        <v>227</v>
      </c>
      <c r="W34" s="13" t="s">
        <v>43</v>
      </c>
    </row>
    <row r="35" spans="1:33" x14ac:dyDescent="0.25">
      <c r="A35" s="32"/>
      <c r="F35" s="21" t="s">
        <v>228</v>
      </c>
      <c r="G35" s="13" t="s">
        <v>213</v>
      </c>
      <c r="L35" s="21"/>
      <c r="N35" s="21"/>
      <c r="V35" s="21" t="s">
        <v>229</v>
      </c>
      <c r="W35" s="13" t="s">
        <v>215</v>
      </c>
    </row>
    <row r="36" spans="1:33" s="18" customFormat="1" x14ac:dyDescent="0.25">
      <c r="A36" s="33"/>
      <c r="B36" s="28"/>
      <c r="D36" s="28"/>
      <c r="F36" s="29"/>
      <c r="H36" s="28"/>
      <c r="I36" s="14"/>
      <c r="J36" s="28"/>
      <c r="L36" s="29"/>
      <c r="N36" s="29"/>
      <c r="P36" s="28"/>
      <c r="Q36" s="14"/>
      <c r="R36" s="28"/>
      <c r="V36" s="29" t="s">
        <v>230</v>
      </c>
      <c r="W36" s="18" t="s">
        <v>49</v>
      </c>
      <c r="X36" s="28"/>
      <c r="Y36" s="14"/>
      <c r="Z36" s="28"/>
      <c r="AB36" s="28"/>
      <c r="AD36" s="28"/>
      <c r="AF36" s="28"/>
      <c r="AG36" s="14"/>
    </row>
    <row r="37" spans="1:33" x14ac:dyDescent="0.25">
      <c r="A37" s="35" t="s">
        <v>180</v>
      </c>
      <c r="F37" s="21"/>
      <c r="J37" s="21" t="s">
        <v>231</v>
      </c>
      <c r="K37" s="23" t="s">
        <v>232</v>
      </c>
      <c r="L37" s="21"/>
      <c r="N37" s="21" t="s">
        <v>233</v>
      </c>
      <c r="O37" s="13" t="s">
        <v>234</v>
      </c>
      <c r="V37" s="21"/>
    </row>
    <row r="38" spans="1:33" s="18" customFormat="1" x14ac:dyDescent="0.25">
      <c r="A38" s="39"/>
      <c r="B38" s="28"/>
      <c r="D38" s="28"/>
      <c r="F38" s="29"/>
      <c r="H38" s="28"/>
      <c r="I38" s="14"/>
      <c r="J38" s="28"/>
      <c r="L38" s="29"/>
      <c r="N38" s="29" t="s">
        <v>235</v>
      </c>
      <c r="O38" s="18" t="s">
        <v>10</v>
      </c>
      <c r="P38" s="28"/>
      <c r="Q38" s="14"/>
      <c r="R38" s="28"/>
      <c r="V38" s="29"/>
      <c r="X38" s="28"/>
      <c r="Y38" s="14"/>
      <c r="Z38" s="28"/>
      <c r="AB38" s="28"/>
      <c r="AD38" s="28"/>
      <c r="AF38" s="28"/>
      <c r="AG38" s="14"/>
    </row>
    <row r="39" spans="1:33" x14ac:dyDescent="0.25">
      <c r="A39" s="35" t="s">
        <v>186</v>
      </c>
      <c r="F39" s="21"/>
      <c r="L39" s="21"/>
      <c r="O39" s="51"/>
      <c r="V39" s="21"/>
    </row>
    <row r="40" spans="1:33" x14ac:dyDescent="0.25">
      <c r="F40" s="21"/>
      <c r="L40" s="21"/>
      <c r="V40" s="21"/>
    </row>
    <row r="41" spans="1:33" s="18" customFormat="1" x14ac:dyDescent="0.25">
      <c r="A41" s="14"/>
      <c r="B41" s="28"/>
      <c r="D41" s="28"/>
      <c r="F41" s="29"/>
      <c r="H41" s="28"/>
      <c r="I41" s="14"/>
      <c r="J41" s="28"/>
      <c r="L41" s="29"/>
      <c r="N41" s="28"/>
      <c r="P41" s="28"/>
      <c r="Q41" s="14"/>
      <c r="R41" s="28"/>
      <c r="V41" s="29"/>
      <c r="X41" s="28"/>
      <c r="Y41" s="14"/>
      <c r="Z41" s="28"/>
      <c r="AB41" s="28"/>
      <c r="AD41" s="28"/>
      <c r="AF41" s="28"/>
      <c r="AG41" s="14"/>
    </row>
    <row r="42" spans="1:33" x14ac:dyDescent="0.25">
      <c r="A42" s="19" t="s">
        <v>236</v>
      </c>
      <c r="F42" s="24" t="s">
        <v>237</v>
      </c>
      <c r="G42" s="13" t="s">
        <v>6</v>
      </c>
      <c r="H42" s="20" t="s">
        <v>238</v>
      </c>
      <c r="I42" s="11" t="s">
        <v>31</v>
      </c>
      <c r="L42" s="21"/>
      <c r="N42" s="20" t="s">
        <v>239</v>
      </c>
      <c r="O42" s="52" t="s">
        <v>240</v>
      </c>
      <c r="V42" s="24" t="s">
        <v>241</v>
      </c>
      <c r="W42" s="13" t="s">
        <v>49</v>
      </c>
    </row>
    <row r="43" spans="1:33" x14ac:dyDescent="0.25">
      <c r="F43" s="21"/>
      <c r="L43" s="21"/>
    </row>
    <row r="44" spans="1:33" x14ac:dyDescent="0.25">
      <c r="F44" s="21"/>
      <c r="V44" s="21"/>
    </row>
    <row r="45" spans="1:33" x14ac:dyDescent="0.25">
      <c r="F45" s="21"/>
      <c r="L45" s="21"/>
      <c r="V45" s="21"/>
    </row>
    <row r="46" spans="1:33" x14ac:dyDescent="0.25">
      <c r="L46" s="21"/>
    </row>
    <row r="47" spans="1:33" x14ac:dyDescent="0.25">
      <c r="K47" s="51"/>
    </row>
    <row r="48" spans="1:33" x14ac:dyDescent="0.25">
      <c r="O48" s="51"/>
    </row>
  </sheetData>
  <mergeCells count="25">
    <mergeCell ref="AJ2:AK2"/>
    <mergeCell ref="AL2:AM2"/>
    <mergeCell ref="AN2:AO2"/>
    <mergeCell ref="X2:Y2"/>
    <mergeCell ref="Z2:AA2"/>
    <mergeCell ref="AB2:AC2"/>
    <mergeCell ref="AD2:AE2"/>
    <mergeCell ref="AF2:AG2"/>
    <mergeCell ref="AH2:AI2"/>
    <mergeCell ref="L2:M2"/>
    <mergeCell ref="N2:O2"/>
    <mergeCell ref="P2:Q2"/>
    <mergeCell ref="R2:S2"/>
    <mergeCell ref="T2:U2"/>
    <mergeCell ref="V2:W2"/>
    <mergeCell ref="B1:I1"/>
    <mergeCell ref="J1:Q1"/>
    <mergeCell ref="R1:Y1"/>
    <mergeCell ref="Z1:AG1"/>
    <mergeCell ref="AH1:AO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2017-11-03T15:12:49Z</cp:lastPrinted>
  <dcterms:created xsi:type="dcterms:W3CDTF">2017-10-25T15:11:15Z</dcterms:created>
  <dcterms:modified xsi:type="dcterms:W3CDTF">2017-11-03T15:57:24Z</dcterms:modified>
</cp:coreProperties>
</file>