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mber\Documents\Yale\CIDMA\AMR\Carbapenem-Resistance\4-25 model\"/>
    </mc:Choice>
  </mc:AlternateContent>
  <xr:revisionPtr revIDLastSave="0" documentId="10_ncr:8100000_{C59788AA-F871-4B64-A4A9-3AA489F0628C}" xr6:coauthVersionLast="32" xr6:coauthVersionMax="32" xr10:uidLastSave="{00000000-0000-0000-0000-000000000000}"/>
  <bookViews>
    <workbookView xWindow="0" yWindow="0" windowWidth="9580" windowHeight="2180" firstSheet="3" activeTab="3" xr2:uid="{00000000-000D-0000-FFFF-FFFF00000000}"/>
  </bookViews>
  <sheets>
    <sheet name="Pneu_model" sheetId="13" r:id="rId1"/>
    <sheet name="Bacteremia_model" sheetId="14" r:id="rId2"/>
    <sheet name="UTI_model" sheetId="15" r:id="rId3"/>
    <sheet name="cIAI_model" sheetId="25" r:id="rId4"/>
    <sheet name="Sources" sheetId="24" r:id="rId5"/>
    <sheet name="Mortality" sheetId="20" r:id="rId6"/>
    <sheet name="LOS" sheetId="21" r:id="rId7"/>
    <sheet name="Resistance (CDDEP + Merck)" sheetId="18" r:id="rId8"/>
    <sheet name="R freq. (CDDEP + Merck)" sheetId="19" r:id="rId9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5" l="1"/>
  <c r="B38" i="25"/>
  <c r="C37" i="25"/>
  <c r="B37" i="25"/>
  <c r="B36" i="25"/>
  <c r="E35" i="25"/>
  <c r="B35" i="25"/>
  <c r="E36" i="15" l="1"/>
  <c r="E35" i="15"/>
  <c r="D35" i="15"/>
  <c r="B37" i="15"/>
  <c r="B36" i="15"/>
  <c r="B35" i="15"/>
  <c r="E36" i="14"/>
  <c r="E35" i="14"/>
  <c r="D35" i="14"/>
  <c r="B35" i="14"/>
  <c r="E35" i="13"/>
  <c r="C37" i="13"/>
  <c r="B38" i="13"/>
  <c r="B37" i="13"/>
  <c r="B36" i="13"/>
  <c r="B35" i="13"/>
  <c r="B20" i="18" l="1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B3" i="20" l="1"/>
  <c r="F12" i="20"/>
  <c r="G36" i="21" l="1"/>
  <c r="E36" i="21"/>
  <c r="I20" i="20"/>
  <c r="E23" i="20"/>
  <c r="E20" i="20"/>
  <c r="B7" i="20" l="1"/>
  <c r="E16" i="20"/>
  <c r="D16" i="20"/>
  <c r="B12" i="20"/>
  <c r="G16" i="20"/>
  <c r="H12" i="20" l="1"/>
  <c r="H16" i="21" l="1"/>
  <c r="G16" i="21"/>
  <c r="F16" i="21"/>
  <c r="F7" i="21"/>
  <c r="E7" i="21"/>
  <c r="E20" i="21" s="1"/>
  <c r="D53" i="21"/>
  <c r="C53" i="21"/>
  <c r="B53" i="21"/>
  <c r="F48" i="21"/>
  <c r="E44" i="21"/>
  <c r="D44" i="21"/>
  <c r="B44" i="21"/>
  <c r="C44" i="21" s="1"/>
  <c r="D37" i="21"/>
  <c r="C37" i="21"/>
  <c r="B37" i="21"/>
  <c r="F32" i="21"/>
  <c r="E28" i="21"/>
  <c r="D28" i="21"/>
  <c r="B28" i="21"/>
  <c r="D21" i="21"/>
  <c r="C21" i="21"/>
  <c r="B21" i="21"/>
  <c r="E12" i="21"/>
  <c r="D12" i="21"/>
  <c r="C12" i="21"/>
  <c r="B12" i="21"/>
  <c r="F3" i="21"/>
  <c r="G3" i="21" s="1"/>
  <c r="E3" i="21"/>
  <c r="C3" i="21"/>
  <c r="D3" i="21" s="1"/>
  <c r="B3" i="21"/>
  <c r="G12" i="21" l="1"/>
  <c r="I12" i="21" s="1"/>
  <c r="G44" i="21"/>
  <c r="I44" i="21" s="1"/>
  <c r="H48" i="21"/>
  <c r="I48" i="21" s="1"/>
  <c r="E55" i="21" s="1"/>
  <c r="H55" i="21" s="1"/>
  <c r="F28" i="21"/>
  <c r="H28" i="21" s="1"/>
  <c r="F12" i="21"/>
  <c r="I16" i="21"/>
  <c r="E23" i="21" s="1"/>
  <c r="H23" i="21" s="1"/>
  <c r="G48" i="21"/>
  <c r="E52" i="21" s="1"/>
  <c r="H52" i="21" s="1"/>
  <c r="C28" i="21"/>
  <c r="F44" i="21"/>
  <c r="H44" i="21" s="1"/>
  <c r="J48" i="21" l="1"/>
  <c r="I52" i="21" s="1"/>
  <c r="K52" i="21" s="1"/>
  <c r="H12" i="21"/>
  <c r="G32" i="21"/>
  <c r="G55" i="21"/>
  <c r="G52" i="21"/>
  <c r="G23" i="21"/>
  <c r="G28" i="21"/>
  <c r="J52" i="21" l="1"/>
  <c r="J32" i="21"/>
  <c r="I36" i="21" s="1"/>
  <c r="I28" i="21"/>
  <c r="H32" i="21" s="1"/>
  <c r="I32" i="21" s="1"/>
  <c r="E39" i="21" s="1"/>
  <c r="J16" i="21"/>
  <c r="I20" i="21" s="1"/>
  <c r="B5" i="19"/>
  <c r="H39" i="21" l="1"/>
  <c r="G39" i="21"/>
  <c r="K36" i="21"/>
  <c r="J36" i="21"/>
  <c r="K20" i="21"/>
  <c r="J20" i="21"/>
  <c r="H36" i="21"/>
  <c r="H20" i="21"/>
  <c r="G20" i="21"/>
  <c r="G34" i="19"/>
  <c r="D34" i="19"/>
  <c r="B34" i="19"/>
  <c r="B32" i="19"/>
  <c r="B31" i="19"/>
  <c r="B28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B23" i="19"/>
  <c r="P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B22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B20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B19" i="19"/>
  <c r="B16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B11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B10" i="19"/>
  <c r="C8" i="19"/>
  <c r="D8" i="19"/>
  <c r="E8" i="19"/>
  <c r="F8" i="19"/>
  <c r="G8" i="19"/>
  <c r="H8" i="19"/>
  <c r="I8" i="19"/>
  <c r="J8" i="19"/>
  <c r="K8" i="19"/>
  <c r="L8" i="19"/>
  <c r="M8" i="19"/>
  <c r="N8" i="19"/>
  <c r="B8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B7" i="19"/>
  <c r="B4" i="19"/>
  <c r="E48" i="20" l="1"/>
  <c r="D48" i="20"/>
  <c r="C48" i="20"/>
  <c r="B48" i="20"/>
  <c r="E44" i="20"/>
  <c r="D44" i="20"/>
  <c r="B44" i="20"/>
  <c r="C44" i="20" s="1"/>
  <c r="E32" i="20"/>
  <c r="D32" i="20"/>
  <c r="B32" i="20"/>
  <c r="C32" i="20"/>
  <c r="D28" i="20"/>
  <c r="E28" i="20"/>
  <c r="B28" i="20"/>
  <c r="C28" i="20" s="1"/>
  <c r="D53" i="20"/>
  <c r="C53" i="20"/>
  <c r="B53" i="20"/>
  <c r="D37" i="20"/>
  <c r="C37" i="20"/>
  <c r="B37" i="20"/>
  <c r="D7" i="20"/>
  <c r="C7" i="20"/>
  <c r="F7" i="20" s="1"/>
  <c r="D21" i="20"/>
  <c r="C21" i="20"/>
  <c r="B21" i="20"/>
  <c r="C16" i="20"/>
  <c r="B16" i="20"/>
  <c r="F3" i="20"/>
  <c r="E3" i="20"/>
  <c r="G3" i="20" s="1"/>
  <c r="C3" i="20"/>
  <c r="D3" i="20"/>
  <c r="E12" i="20"/>
  <c r="D12" i="20"/>
  <c r="C12" i="20"/>
  <c r="F32" i="20" l="1"/>
  <c r="F16" i="20"/>
  <c r="F28" i="20"/>
  <c r="G28" i="20" s="1"/>
  <c r="F48" i="20"/>
  <c r="F44" i="20"/>
  <c r="G44" i="20" s="1"/>
  <c r="I44" i="20" s="1"/>
  <c r="E7" i="20"/>
  <c r="F20" i="14"/>
  <c r="G20" i="14" s="1"/>
  <c r="H20" i="14" s="1"/>
  <c r="I20" i="14" s="1"/>
  <c r="J20" i="14" s="1"/>
  <c r="K20" i="14" s="1"/>
  <c r="L20" i="14" s="1"/>
  <c r="F19" i="14"/>
  <c r="G19" i="14" s="1"/>
  <c r="H19" i="14" s="1"/>
  <c r="I19" i="14" s="1"/>
  <c r="J19" i="14" s="1"/>
  <c r="K19" i="14" s="1"/>
  <c r="L19" i="14" s="1"/>
  <c r="F18" i="14"/>
  <c r="G18" i="14" s="1"/>
  <c r="H18" i="14" s="1"/>
  <c r="I18" i="14" s="1"/>
  <c r="J18" i="14" s="1"/>
  <c r="K18" i="14" s="1"/>
  <c r="L18" i="14" s="1"/>
  <c r="F20" i="15"/>
  <c r="G20" i="15" s="1"/>
  <c r="H20" i="15" s="1"/>
  <c r="I20" i="15" s="1"/>
  <c r="J20" i="15" s="1"/>
  <c r="K20" i="15" s="1"/>
  <c r="L20" i="15" s="1"/>
  <c r="F19" i="15"/>
  <c r="G19" i="15" s="1"/>
  <c r="H19" i="15" s="1"/>
  <c r="I19" i="15" s="1"/>
  <c r="J19" i="15" s="1"/>
  <c r="K19" i="15" s="1"/>
  <c r="L19" i="15" s="1"/>
  <c r="F18" i="15"/>
  <c r="G18" i="15" s="1"/>
  <c r="H18" i="15" s="1"/>
  <c r="I18" i="15" s="1"/>
  <c r="J18" i="15" s="1"/>
  <c r="K18" i="15" s="1"/>
  <c r="L18" i="15" s="1"/>
  <c r="J48" i="20" l="1"/>
  <c r="I52" i="20" s="1"/>
  <c r="K52" i="20" s="1"/>
  <c r="H48" i="20"/>
  <c r="I48" i="20" s="1"/>
  <c r="E55" i="20" s="1"/>
  <c r="H44" i="20"/>
  <c r="G48" i="20" s="1"/>
  <c r="H28" i="20"/>
  <c r="G20" i="20"/>
  <c r="I28" i="20"/>
  <c r="G12" i="20"/>
  <c r="C34" i="19"/>
  <c r="E34" i="19"/>
  <c r="F34" i="19"/>
  <c r="H34" i="19"/>
  <c r="I34" i="19"/>
  <c r="J34" i="19"/>
  <c r="K34" i="19"/>
  <c r="L34" i="19"/>
  <c r="M34" i="19"/>
  <c r="N34" i="19"/>
  <c r="O34" i="19"/>
  <c r="P34" i="19"/>
  <c r="C35" i="19"/>
  <c r="D35" i="19"/>
  <c r="D36" i="19" s="1"/>
  <c r="E35" i="19"/>
  <c r="F35" i="19"/>
  <c r="G35" i="19"/>
  <c r="H35" i="19"/>
  <c r="H36" i="19" s="1"/>
  <c r="I35" i="19"/>
  <c r="J35" i="19"/>
  <c r="K35" i="19"/>
  <c r="L35" i="19"/>
  <c r="L36" i="19" s="1"/>
  <c r="M35" i="19"/>
  <c r="N35" i="19"/>
  <c r="B35" i="19"/>
  <c r="C31" i="19"/>
  <c r="D31" i="19"/>
  <c r="E31" i="19"/>
  <c r="E33" i="19" s="1"/>
  <c r="F31" i="19"/>
  <c r="G31" i="19"/>
  <c r="H31" i="19"/>
  <c r="I31" i="19"/>
  <c r="I33" i="19" s="1"/>
  <c r="J31" i="19"/>
  <c r="K31" i="19"/>
  <c r="L31" i="19"/>
  <c r="M31" i="19"/>
  <c r="M33" i="19" s="1"/>
  <c r="N31" i="19"/>
  <c r="O31" i="19"/>
  <c r="P31" i="19"/>
  <c r="C32" i="19"/>
  <c r="D32" i="19"/>
  <c r="E32" i="19"/>
  <c r="F32" i="19"/>
  <c r="G32" i="19"/>
  <c r="G33" i="19" s="1"/>
  <c r="H32" i="19"/>
  <c r="I32" i="19"/>
  <c r="J32" i="19"/>
  <c r="K32" i="19"/>
  <c r="K33" i="19" s="1"/>
  <c r="L32" i="19"/>
  <c r="L33" i="19" s="1"/>
  <c r="M32" i="19"/>
  <c r="N32" i="19"/>
  <c r="C28" i="19"/>
  <c r="C30" i="19" s="1"/>
  <c r="D28" i="19"/>
  <c r="E28" i="19"/>
  <c r="F28" i="19"/>
  <c r="F30" i="19" s="1"/>
  <c r="G28" i="19"/>
  <c r="G30" i="19" s="1"/>
  <c r="H28" i="19"/>
  <c r="I28" i="19"/>
  <c r="J28" i="19"/>
  <c r="J30" i="19" s="1"/>
  <c r="K28" i="19"/>
  <c r="K30" i="19" s="1"/>
  <c r="L28" i="19"/>
  <c r="M28" i="19"/>
  <c r="N28" i="19"/>
  <c r="O28" i="19"/>
  <c r="P28" i="19"/>
  <c r="C29" i="19"/>
  <c r="D29" i="19"/>
  <c r="D30" i="19" s="1"/>
  <c r="E29" i="19"/>
  <c r="E30" i="19" s="1"/>
  <c r="F29" i="19"/>
  <c r="G29" i="19"/>
  <c r="H29" i="19"/>
  <c r="H30" i="19" s="1"/>
  <c r="I29" i="19"/>
  <c r="I30" i="19" s="1"/>
  <c r="J29" i="19"/>
  <c r="K29" i="19"/>
  <c r="L29" i="19"/>
  <c r="L30" i="19" s="1"/>
  <c r="M29" i="19"/>
  <c r="M30" i="19" s="1"/>
  <c r="N29" i="19"/>
  <c r="B29" i="19"/>
  <c r="N30" i="19"/>
  <c r="C33" i="19"/>
  <c r="H33" i="19"/>
  <c r="C21" i="19"/>
  <c r="C16" i="19"/>
  <c r="D16" i="19"/>
  <c r="E16" i="19"/>
  <c r="F16" i="19"/>
  <c r="F18" i="19" s="1"/>
  <c r="G16" i="19"/>
  <c r="H16" i="19"/>
  <c r="I16" i="19"/>
  <c r="J16" i="19"/>
  <c r="J18" i="19" s="1"/>
  <c r="K16" i="19"/>
  <c r="L16" i="19"/>
  <c r="M16" i="19"/>
  <c r="N16" i="19"/>
  <c r="N18" i="19" s="1"/>
  <c r="O16" i="19"/>
  <c r="P16" i="19"/>
  <c r="C17" i="19"/>
  <c r="D17" i="19"/>
  <c r="D18" i="19" s="1"/>
  <c r="E17" i="19"/>
  <c r="F17" i="19"/>
  <c r="G17" i="19"/>
  <c r="H17" i="19"/>
  <c r="H18" i="19" s="1"/>
  <c r="I17" i="19"/>
  <c r="J17" i="19"/>
  <c r="K17" i="19"/>
  <c r="L17" i="19"/>
  <c r="L18" i="19" s="1"/>
  <c r="M17" i="19"/>
  <c r="N17" i="19"/>
  <c r="O17" i="19"/>
  <c r="E21" i="19"/>
  <c r="F21" i="19"/>
  <c r="I21" i="19"/>
  <c r="J21" i="19"/>
  <c r="M21" i="19"/>
  <c r="N21" i="19"/>
  <c r="F24" i="19"/>
  <c r="N24" i="19"/>
  <c r="B17" i="19"/>
  <c r="B18" i="19" s="1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C5" i="19"/>
  <c r="C6" i="19" s="1"/>
  <c r="D5" i="19"/>
  <c r="E5" i="19"/>
  <c r="F5" i="19"/>
  <c r="G5" i="19"/>
  <c r="G6" i="19" s="1"/>
  <c r="H5" i="19"/>
  <c r="I5" i="19"/>
  <c r="J5" i="19"/>
  <c r="K5" i="19"/>
  <c r="K6" i="19" s="1"/>
  <c r="L5" i="19"/>
  <c r="M5" i="19"/>
  <c r="N5" i="19"/>
  <c r="P27" i="19"/>
  <c r="P32" i="19" s="1"/>
  <c r="O27" i="19"/>
  <c r="O35" i="19" s="1"/>
  <c r="O36" i="19" s="1"/>
  <c r="P15" i="19"/>
  <c r="O15" i="19"/>
  <c r="P3" i="19"/>
  <c r="O3" i="19"/>
  <c r="C41" i="18"/>
  <c r="C43" i="18" s="1"/>
  <c r="B41" i="18"/>
  <c r="B43" i="18" s="1"/>
  <c r="C39" i="18"/>
  <c r="B39" i="18"/>
  <c r="O5" i="19" l="1"/>
  <c r="O11" i="19"/>
  <c r="O8" i="19"/>
  <c r="P5" i="19"/>
  <c r="P11" i="19"/>
  <c r="P8" i="19"/>
  <c r="O32" i="19"/>
  <c r="O33" i="19" s="1"/>
  <c r="P35" i="19"/>
  <c r="P36" i="19" s="1"/>
  <c r="C36" i="19"/>
  <c r="B45" i="18"/>
  <c r="O20" i="19"/>
  <c r="O21" i="19" s="1"/>
  <c r="O23" i="19"/>
  <c r="O24" i="19" s="1"/>
  <c r="P29" i="19"/>
  <c r="P30" i="19" s="1"/>
  <c r="D33" i="19"/>
  <c r="C45" i="18"/>
  <c r="P17" i="19"/>
  <c r="P18" i="19" s="1"/>
  <c r="P20" i="19"/>
  <c r="P23" i="19"/>
  <c r="M18" i="19"/>
  <c r="I18" i="19"/>
  <c r="E18" i="19"/>
  <c r="K36" i="19"/>
  <c r="C24" i="19"/>
  <c r="J24" i="19"/>
  <c r="B47" i="18"/>
  <c r="B24" i="19"/>
  <c r="B21" i="19"/>
  <c r="K24" i="19"/>
  <c r="K21" i="19"/>
  <c r="G24" i="19"/>
  <c r="G21" i="19"/>
  <c r="L12" i="19"/>
  <c r="H12" i="19"/>
  <c r="D12" i="19"/>
  <c r="K12" i="19"/>
  <c r="C12" i="19"/>
  <c r="M24" i="19"/>
  <c r="I24" i="19"/>
  <c r="E24" i="19"/>
  <c r="C18" i="19"/>
  <c r="G18" i="19"/>
  <c r="K18" i="19"/>
  <c r="O18" i="19"/>
  <c r="N12" i="19"/>
  <c r="J12" i="19"/>
  <c r="F12" i="19"/>
  <c r="O29" i="19"/>
  <c r="O30" i="19" s="1"/>
  <c r="G36" i="19"/>
  <c r="J16" i="20"/>
  <c r="J52" i="20"/>
  <c r="H32" i="20"/>
  <c r="I32" i="20" s="1"/>
  <c r="E39" i="20" s="1"/>
  <c r="G12" i="19"/>
  <c r="M6" i="19"/>
  <c r="I6" i="19"/>
  <c r="E6" i="19"/>
  <c r="B30" i="19"/>
  <c r="N33" i="19"/>
  <c r="J33" i="19"/>
  <c r="F33" i="19"/>
  <c r="E52" i="20"/>
  <c r="G52" i="20" s="1"/>
  <c r="G32" i="20"/>
  <c r="G55" i="20"/>
  <c r="H55" i="20"/>
  <c r="H20" i="20"/>
  <c r="I12" i="20"/>
  <c r="H16" i="20" s="1"/>
  <c r="I16" i="20" s="1"/>
  <c r="N36" i="19"/>
  <c r="J36" i="19"/>
  <c r="F36" i="19"/>
  <c r="M36" i="19"/>
  <c r="I36" i="19"/>
  <c r="E36" i="19"/>
  <c r="P33" i="19"/>
  <c r="P6" i="19"/>
  <c r="I12" i="19"/>
  <c r="B12" i="19"/>
  <c r="M12" i="19"/>
  <c r="E12" i="19"/>
  <c r="N6" i="19"/>
  <c r="J6" i="19"/>
  <c r="F6" i="19"/>
  <c r="B9" i="19"/>
  <c r="F9" i="19"/>
  <c r="J9" i="19"/>
  <c r="N9" i="19"/>
  <c r="B6" i="19"/>
  <c r="C9" i="19"/>
  <c r="G9" i="19"/>
  <c r="K9" i="19"/>
  <c r="O9" i="19"/>
  <c r="L6" i="19"/>
  <c r="H6" i="19"/>
  <c r="D6" i="19"/>
  <c r="D9" i="19"/>
  <c r="H9" i="19"/>
  <c r="L9" i="19"/>
  <c r="O6" i="19"/>
  <c r="E9" i="19"/>
  <c r="I9" i="19"/>
  <c r="M9" i="19"/>
  <c r="J63" i="18"/>
  <c r="I64" i="18"/>
  <c r="F61" i="18"/>
  <c r="E62" i="18"/>
  <c r="C47" i="18"/>
  <c r="F22" i="18"/>
  <c r="J22" i="18"/>
  <c r="N22" i="18"/>
  <c r="C40" i="18"/>
  <c r="C42" i="18" s="1"/>
  <c r="D40" i="18"/>
  <c r="D42" i="18" s="1"/>
  <c r="E40" i="18"/>
  <c r="F40" i="18"/>
  <c r="F42" i="18" s="1"/>
  <c r="G40" i="18"/>
  <c r="G42" i="18" s="1"/>
  <c r="H40" i="18"/>
  <c r="I40" i="18"/>
  <c r="J40" i="18"/>
  <c r="J42" i="18" s="1"/>
  <c r="K40" i="18"/>
  <c r="K42" i="18" s="1"/>
  <c r="L40" i="18"/>
  <c r="L42" i="18" s="1"/>
  <c r="M40" i="18"/>
  <c r="N40" i="18"/>
  <c r="N42" i="18" s="1"/>
  <c r="O40" i="18"/>
  <c r="O42" i="18" s="1"/>
  <c r="P40" i="18"/>
  <c r="Q40" i="18"/>
  <c r="R40" i="18"/>
  <c r="R42" i="18" s="1"/>
  <c r="B40" i="18"/>
  <c r="D39" i="18"/>
  <c r="D41" i="18" s="1"/>
  <c r="E39" i="18"/>
  <c r="F39" i="18"/>
  <c r="G39" i="18"/>
  <c r="H39" i="18"/>
  <c r="H41" i="18" s="1"/>
  <c r="I39" i="18"/>
  <c r="I41" i="18" s="1"/>
  <c r="J39" i="18"/>
  <c r="K39" i="18"/>
  <c r="L39" i="18"/>
  <c r="L41" i="18" s="1"/>
  <c r="M39" i="18"/>
  <c r="N39" i="18"/>
  <c r="N41" i="18" s="1"/>
  <c r="O39" i="18"/>
  <c r="P39" i="18"/>
  <c r="P41" i="18" s="1"/>
  <c r="Q39" i="18"/>
  <c r="R39" i="18"/>
  <c r="R41" i="18" s="1"/>
  <c r="B57" i="18"/>
  <c r="R58" i="18"/>
  <c r="R60" i="18" s="1"/>
  <c r="R66" i="18" s="1"/>
  <c r="Q58" i="18"/>
  <c r="Q60" i="18" s="1"/>
  <c r="Q66" i="18" s="1"/>
  <c r="P58" i="18"/>
  <c r="P60" i="18" s="1"/>
  <c r="P64" i="18" s="1"/>
  <c r="O58" i="18"/>
  <c r="O60" i="18" s="1"/>
  <c r="O64" i="18" s="1"/>
  <c r="N58" i="18"/>
  <c r="N60" i="18" s="1"/>
  <c r="N66" i="18" s="1"/>
  <c r="M58" i="18"/>
  <c r="M60" i="18" s="1"/>
  <c r="M66" i="18" s="1"/>
  <c r="L58" i="18"/>
  <c r="L60" i="18" s="1"/>
  <c r="L64" i="18" s="1"/>
  <c r="K58" i="18"/>
  <c r="K60" i="18" s="1"/>
  <c r="K64" i="18" s="1"/>
  <c r="J58" i="18"/>
  <c r="J60" i="18" s="1"/>
  <c r="J66" i="18" s="1"/>
  <c r="I58" i="18"/>
  <c r="I60" i="18" s="1"/>
  <c r="I66" i="18" s="1"/>
  <c r="H58" i="18"/>
  <c r="H60" i="18" s="1"/>
  <c r="H64" i="18" s="1"/>
  <c r="G58" i="18"/>
  <c r="G60" i="18" s="1"/>
  <c r="G64" i="18" s="1"/>
  <c r="F58" i="18"/>
  <c r="F60" i="18" s="1"/>
  <c r="F66" i="18" s="1"/>
  <c r="E58" i="18"/>
  <c r="E60" i="18" s="1"/>
  <c r="E66" i="18" s="1"/>
  <c r="D58" i="18"/>
  <c r="D60" i="18" s="1"/>
  <c r="D64" i="18" s="1"/>
  <c r="C58" i="18"/>
  <c r="C60" i="18" s="1"/>
  <c r="C64" i="18" s="1"/>
  <c r="B58" i="18"/>
  <c r="B60" i="18" s="1"/>
  <c r="B66" i="18" s="1"/>
  <c r="R57" i="18"/>
  <c r="R59" i="18" s="1"/>
  <c r="R65" i="18" s="1"/>
  <c r="Q57" i="18"/>
  <c r="Q59" i="18" s="1"/>
  <c r="Q63" i="18" s="1"/>
  <c r="P57" i="18"/>
  <c r="P59" i="18" s="1"/>
  <c r="P63" i="18" s="1"/>
  <c r="O57" i="18"/>
  <c r="O59" i="18" s="1"/>
  <c r="O65" i="18" s="1"/>
  <c r="N57" i="18"/>
  <c r="N59" i="18" s="1"/>
  <c r="N65" i="18" s="1"/>
  <c r="M57" i="18"/>
  <c r="M59" i="18" s="1"/>
  <c r="M63" i="18" s="1"/>
  <c r="L57" i="18"/>
  <c r="L59" i="18" s="1"/>
  <c r="L63" i="18" s="1"/>
  <c r="K57" i="18"/>
  <c r="K59" i="18" s="1"/>
  <c r="K65" i="18" s="1"/>
  <c r="J57" i="18"/>
  <c r="J59" i="18" s="1"/>
  <c r="J65" i="18" s="1"/>
  <c r="I57" i="18"/>
  <c r="I59" i="18" s="1"/>
  <c r="I63" i="18" s="1"/>
  <c r="H57" i="18"/>
  <c r="H59" i="18" s="1"/>
  <c r="H63" i="18" s="1"/>
  <c r="G57" i="18"/>
  <c r="G59" i="18" s="1"/>
  <c r="G65" i="18" s="1"/>
  <c r="F57" i="18"/>
  <c r="F59" i="18" s="1"/>
  <c r="F65" i="18" s="1"/>
  <c r="E57" i="18"/>
  <c r="E59" i="18" s="1"/>
  <c r="E63" i="18" s="1"/>
  <c r="D57" i="18"/>
  <c r="D59" i="18" s="1"/>
  <c r="D63" i="18" s="1"/>
  <c r="C57" i="18"/>
  <c r="C59" i="18" s="1"/>
  <c r="C65" i="18" s="1"/>
  <c r="E23" i="18"/>
  <c r="F23" i="18"/>
  <c r="I23" i="18"/>
  <c r="J23" i="18"/>
  <c r="N23" i="18"/>
  <c r="Q23" i="18"/>
  <c r="R23" i="18"/>
  <c r="D22" i="18"/>
  <c r="I22" i="18"/>
  <c r="M22" i="18"/>
  <c r="P22" i="18"/>
  <c r="Q22" i="18"/>
  <c r="R22" i="18"/>
  <c r="P7" i="18"/>
  <c r="O7" i="18"/>
  <c r="P5" i="18"/>
  <c r="O5" i="18"/>
  <c r="P3" i="18"/>
  <c r="O3" i="18"/>
  <c r="E22" i="18" l="1"/>
  <c r="E28" i="18"/>
  <c r="F64" i="18"/>
  <c r="B28" i="18"/>
  <c r="R62" i="18"/>
  <c r="G63" i="18"/>
  <c r="B62" i="18"/>
  <c r="D66" i="18"/>
  <c r="H62" i="18"/>
  <c r="K48" i="18"/>
  <c r="C61" i="18"/>
  <c r="E65" i="18"/>
  <c r="I61" i="18"/>
  <c r="O12" i="19"/>
  <c r="D26" i="18"/>
  <c r="D24" i="18"/>
  <c r="I27" i="18"/>
  <c r="I25" i="18"/>
  <c r="H23" i="20"/>
  <c r="G23" i="20"/>
  <c r="G39" i="20"/>
  <c r="H39" i="20"/>
  <c r="P26" i="18"/>
  <c r="P24" i="18"/>
  <c r="Q27" i="18"/>
  <c r="Q25" i="18"/>
  <c r="E25" i="18"/>
  <c r="E27" i="18"/>
  <c r="Q26" i="18"/>
  <c r="Q24" i="18"/>
  <c r="M26" i="18"/>
  <c r="M24" i="18"/>
  <c r="I26" i="18"/>
  <c r="I24" i="18"/>
  <c r="E24" i="18"/>
  <c r="E26" i="18"/>
  <c r="H45" i="18"/>
  <c r="H43" i="18"/>
  <c r="P48" i="18"/>
  <c r="P42" i="18"/>
  <c r="H42" i="18"/>
  <c r="H48" i="18"/>
  <c r="N27" i="18"/>
  <c r="N25" i="18"/>
  <c r="F27" i="18"/>
  <c r="F25" i="18"/>
  <c r="N26" i="18"/>
  <c r="N24" i="18"/>
  <c r="G66" i="18"/>
  <c r="E36" i="20"/>
  <c r="J32" i="20"/>
  <c r="I36" i="20" s="1"/>
  <c r="B59" i="18"/>
  <c r="B65" i="18" s="1"/>
  <c r="O41" i="18"/>
  <c r="O47" i="18" s="1"/>
  <c r="K41" i="18"/>
  <c r="K47" i="18" s="1"/>
  <c r="G41" i="18"/>
  <c r="G47" i="18" s="1"/>
  <c r="B42" i="18"/>
  <c r="B48" i="18" s="1"/>
  <c r="O44" i="18"/>
  <c r="O46" i="18"/>
  <c r="K44" i="18"/>
  <c r="K46" i="18"/>
  <c r="G44" i="18"/>
  <c r="G46" i="18"/>
  <c r="C44" i="18"/>
  <c r="C46" i="18"/>
  <c r="M23" i="18"/>
  <c r="M29" i="18" s="1"/>
  <c r="D48" i="18"/>
  <c r="G48" i="18"/>
  <c r="H47" i="18"/>
  <c r="N62" i="18"/>
  <c r="O61" i="18"/>
  <c r="Q62" i="18"/>
  <c r="R61" i="18"/>
  <c r="P66" i="18"/>
  <c r="Q65" i="18"/>
  <c r="R64" i="18"/>
  <c r="B64" i="18"/>
  <c r="C63" i="18"/>
  <c r="D62" i="18"/>
  <c r="E61" i="18"/>
  <c r="C66" i="18"/>
  <c r="D65" i="18"/>
  <c r="E64" i="18"/>
  <c r="F63" i="18"/>
  <c r="C62" i="18"/>
  <c r="D61" i="18"/>
  <c r="K20" i="20"/>
  <c r="J20" i="20"/>
  <c r="Q29" i="18"/>
  <c r="L45" i="18"/>
  <c r="L43" i="18"/>
  <c r="L44" i="18"/>
  <c r="L46" i="18"/>
  <c r="R27" i="18"/>
  <c r="R25" i="18"/>
  <c r="R26" i="18"/>
  <c r="R24" i="18"/>
  <c r="J24" i="18"/>
  <c r="J26" i="18"/>
  <c r="L48" i="18"/>
  <c r="L47" i="18"/>
  <c r="G62" i="18"/>
  <c r="L24" i="19"/>
  <c r="L21" i="19"/>
  <c r="R28" i="18"/>
  <c r="N28" i="18"/>
  <c r="J28" i="18"/>
  <c r="F28" i="18"/>
  <c r="R47" i="18"/>
  <c r="R45" i="18"/>
  <c r="R43" i="18"/>
  <c r="N47" i="18"/>
  <c r="N43" i="18"/>
  <c r="N45" i="18"/>
  <c r="J41" i="18"/>
  <c r="J47" i="18" s="1"/>
  <c r="F47" i="18"/>
  <c r="F41" i="18"/>
  <c r="R48" i="18"/>
  <c r="R46" i="18"/>
  <c r="R44" i="18"/>
  <c r="N48" i="18"/>
  <c r="N44" i="18"/>
  <c r="N46" i="18"/>
  <c r="J48" i="18"/>
  <c r="J44" i="18"/>
  <c r="J46" i="18"/>
  <c r="F48" i="18"/>
  <c r="F46" i="18"/>
  <c r="F44" i="18"/>
  <c r="B22" i="18"/>
  <c r="B24" i="18" s="1"/>
  <c r="P23" i="18"/>
  <c r="L23" i="18"/>
  <c r="H23" i="18"/>
  <c r="H29" i="18" s="1"/>
  <c r="D23" i="18"/>
  <c r="D29" i="18" s="1"/>
  <c r="L22" i="18"/>
  <c r="H22" i="18"/>
  <c r="I47" i="18"/>
  <c r="C48" i="18"/>
  <c r="D47" i="18"/>
  <c r="J62" i="18"/>
  <c r="K61" i="18"/>
  <c r="M62" i="18"/>
  <c r="N61" i="18"/>
  <c r="L66" i="18"/>
  <c r="M65" i="18"/>
  <c r="N64" i="18"/>
  <c r="O63" i="18"/>
  <c r="P62" i="18"/>
  <c r="Q61" i="18"/>
  <c r="O66" i="18"/>
  <c r="P65" i="18"/>
  <c r="Q64" i="18"/>
  <c r="R63" i="18"/>
  <c r="O62" i="18"/>
  <c r="P61" i="18"/>
  <c r="H52" i="20"/>
  <c r="D24" i="19"/>
  <c r="D21" i="19"/>
  <c r="P24" i="19"/>
  <c r="P21" i="19"/>
  <c r="P28" i="18"/>
  <c r="D28" i="18"/>
  <c r="I29" i="18"/>
  <c r="E29" i="18"/>
  <c r="P45" i="18"/>
  <c r="P43" i="18"/>
  <c r="D43" i="18"/>
  <c r="D45" i="18"/>
  <c r="D44" i="18"/>
  <c r="D46" i="18"/>
  <c r="J25" i="18"/>
  <c r="J27" i="18"/>
  <c r="F26" i="18"/>
  <c r="F24" i="18"/>
  <c r="H65" i="18"/>
  <c r="H61" i="18"/>
  <c r="Q28" i="18"/>
  <c r="M28" i="18"/>
  <c r="I28" i="18"/>
  <c r="R29" i="18"/>
  <c r="N29" i="18"/>
  <c r="J29" i="18"/>
  <c r="F29" i="18"/>
  <c r="Q41" i="18"/>
  <c r="Q47" i="18" s="1"/>
  <c r="M41" i="18"/>
  <c r="M47" i="18"/>
  <c r="I45" i="18"/>
  <c r="I43" i="18"/>
  <c r="E41" i="18"/>
  <c r="E47" i="18"/>
  <c r="Q42" i="18"/>
  <c r="Q48" i="18" s="1"/>
  <c r="M42" i="18"/>
  <c r="M48" i="18" s="1"/>
  <c r="I42" i="18"/>
  <c r="I48" i="18" s="1"/>
  <c r="E42" i="18"/>
  <c r="E48" i="18" s="1"/>
  <c r="B23" i="18"/>
  <c r="O23" i="18"/>
  <c r="O29" i="18" s="1"/>
  <c r="K23" i="18"/>
  <c r="G23" i="18"/>
  <c r="C23" i="18"/>
  <c r="O22" i="18"/>
  <c r="K22" i="18"/>
  <c r="G22" i="18"/>
  <c r="G28" i="18" s="1"/>
  <c r="C22" i="18"/>
  <c r="C28" i="18" s="1"/>
  <c r="O48" i="18"/>
  <c r="P47" i="18"/>
  <c r="F62" i="18"/>
  <c r="G61" i="18"/>
  <c r="I62" i="18"/>
  <c r="J61" i="18"/>
  <c r="H66" i="18"/>
  <c r="I65" i="18"/>
  <c r="J64" i="18"/>
  <c r="K63" i="18"/>
  <c r="L62" i="18"/>
  <c r="M61" i="18"/>
  <c r="K66" i="18"/>
  <c r="L65" i="18"/>
  <c r="M64" i="18"/>
  <c r="N63" i="18"/>
  <c r="K62" i="18"/>
  <c r="L61" i="18"/>
  <c r="H24" i="19"/>
  <c r="H21" i="19"/>
  <c r="B36" i="19"/>
  <c r="B33" i="19"/>
  <c r="P12" i="19"/>
  <c r="P9" i="19"/>
  <c r="B17" i="14"/>
  <c r="C29" i="18" l="1"/>
  <c r="C27" i="18"/>
  <c r="B26" i="18"/>
  <c r="B29" i="18"/>
  <c r="B27" i="18"/>
  <c r="H26" i="18"/>
  <c r="H24" i="18"/>
  <c r="J36" i="20"/>
  <c r="K36" i="20"/>
  <c r="L27" i="18"/>
  <c r="L25" i="18"/>
  <c r="K24" i="18"/>
  <c r="K26" i="18"/>
  <c r="K25" i="18"/>
  <c r="K27" i="18"/>
  <c r="E46" i="18"/>
  <c r="E44" i="18"/>
  <c r="M46" i="18"/>
  <c r="M44" i="18"/>
  <c r="E45" i="18"/>
  <c r="E43" i="18"/>
  <c r="M45" i="18"/>
  <c r="M43" i="18"/>
  <c r="L26" i="18"/>
  <c r="L24" i="18"/>
  <c r="P27" i="18"/>
  <c r="P25" i="18"/>
  <c r="J43" i="18"/>
  <c r="J45" i="18"/>
  <c r="M27" i="18"/>
  <c r="M25" i="18"/>
  <c r="G43" i="18"/>
  <c r="G45" i="18"/>
  <c r="O43" i="18"/>
  <c r="O45" i="18"/>
  <c r="H36" i="20"/>
  <c r="G36" i="20"/>
  <c r="H28" i="18"/>
  <c r="G25" i="18"/>
  <c r="G27" i="18"/>
  <c r="O24" i="18"/>
  <c r="O26" i="18"/>
  <c r="O25" i="18"/>
  <c r="O27" i="18"/>
  <c r="D27" i="18"/>
  <c r="D25" i="18"/>
  <c r="G29" i="18"/>
  <c r="L28" i="18"/>
  <c r="B44" i="18"/>
  <c r="B46" i="18"/>
  <c r="K43" i="18"/>
  <c r="K45" i="18"/>
  <c r="B61" i="18"/>
  <c r="B63" i="18"/>
  <c r="L29" i="18"/>
  <c r="K28" i="18"/>
  <c r="H46" i="18"/>
  <c r="H44" i="18"/>
  <c r="G24" i="18"/>
  <c r="G26" i="18"/>
  <c r="C24" i="18"/>
  <c r="C26" i="18"/>
  <c r="C25" i="18"/>
  <c r="B25" i="18"/>
  <c r="I46" i="18"/>
  <c r="I44" i="18"/>
  <c r="Q46" i="18"/>
  <c r="Q44" i="18"/>
  <c r="Q45" i="18"/>
  <c r="Q43" i="18"/>
  <c r="H27" i="18"/>
  <c r="H25" i="18"/>
  <c r="F45" i="18"/>
  <c r="F43" i="18"/>
  <c r="K29" i="18"/>
  <c r="P29" i="18"/>
  <c r="O28" i="18"/>
  <c r="P46" i="18"/>
  <c r="P44" i="18"/>
  <c r="B17" i="15"/>
  <c r="B1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57F5C6A5-C25C-413F-B63C-3291BB016D70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A8" authorId="0" shapeId="0" xr:uid="{156A44B6-89C7-4F77-90F4-01C6A0E6F4C4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A10" authorId="0" shapeId="0" xr:uid="{A5ED7D0B-4F49-421D-868F-2965139C59B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Due to low # of isolates for AB, we assume that the # of resistant and isolate AB is the same as that of PA.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648579E4-8D4E-4D69-85D3-5E86DC8E2CF6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A8" authorId="0" shapeId="0" xr:uid="{D9D82648-C901-404C-8EFD-D63FCEC530E2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A10" authorId="0" shapeId="0" xr:uid="{97A59DF8-C645-4960-9DC2-AB72ACC1840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Due to low # of isolates for AB, we assume that the # of resistant and isolate AB is the same as that of PA.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771636E4-E306-4897-8702-AEDFD0B8AF69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A8" authorId="0" shapeId="0" xr:uid="{C54E25D3-FBD0-4036-B0BA-1C9931F64DA1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A10" authorId="0" shapeId="0" xr:uid="{BADB8EFC-676C-463F-9FF9-D6FE2C322056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Due to low # of isolates for AB, we assume that the # of resistant and isolate AB is the same as that of PA.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B9C8D5C4-3BFA-48A8-8E30-97E0478165A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A8" authorId="0" shapeId="0" xr:uid="{831F5802-55E1-42EA-BE00-9B653252EB7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A10" authorId="0" shapeId="0" xr:uid="{86FDCBE1-2FD0-408F-8CB4-338AC4142E1C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Due to low # of isolates for AB, we assume that the # of resistant and isolate AB is the same as that of PA. </t>
        </r>
      </text>
    </comment>
  </commentList>
</comments>
</file>

<file path=xl/sharedStrings.xml><?xml version="1.0" encoding="utf-8"?>
<sst xmlns="http://schemas.openxmlformats.org/spreadsheetml/2006/main" count="637" uniqueCount="210">
  <si>
    <t>Year</t>
  </si>
  <si>
    <t>Isolates_PA</t>
  </si>
  <si>
    <t>Resistance_PA</t>
  </si>
  <si>
    <t>Isolates_AB</t>
  </si>
  <si>
    <t>Resistance AB</t>
  </si>
  <si>
    <t>Isolates_KP</t>
  </si>
  <si>
    <t>Resistance_KP</t>
  </si>
  <si>
    <t>Consumption</t>
  </si>
  <si>
    <t>DDDs</t>
  </si>
  <si>
    <t>Pneumonia attributed to PA</t>
  </si>
  <si>
    <t>Pneumonia attributed to KP</t>
  </si>
  <si>
    <t>Pneumonia attributed to AB</t>
  </si>
  <si>
    <t># pathogens</t>
  </si>
  <si>
    <t>Pathogens</t>
  </si>
  <si>
    <t>PA</t>
  </si>
  <si>
    <t>AB</t>
  </si>
  <si>
    <t>KP</t>
  </si>
  <si>
    <t>Inappropriate prescription</t>
  </si>
  <si>
    <t>stewardship (decline in inappropriate prescription)</t>
  </si>
  <si>
    <t>Merck</t>
  </si>
  <si>
    <t>Pseudomonas_CarbpRes_Isolates</t>
  </si>
  <si>
    <t>Klebsiella_CarbpRes_Isolates</t>
  </si>
  <si>
    <t>Acinetobacter_CarbpRes_Isolates</t>
  </si>
  <si>
    <t>Pneu Pseudomonas_Total_Isolates</t>
  </si>
  <si>
    <t>Bact Pseudomonas_Total_Isolates</t>
  </si>
  <si>
    <t>Pneu Acinetobacter_Total_Isolates</t>
  </si>
  <si>
    <t>Pneu Klebsiella_Total_Isolates</t>
  </si>
  <si>
    <t>Bact Klebsiella_Total_Isolates</t>
  </si>
  <si>
    <t>Acinetobacter_Resistant_Isolates</t>
  </si>
  <si>
    <t>Bact Acinetobacter_Total_Isolates</t>
  </si>
  <si>
    <t>UTI Pseudomonas_Total_Isolates</t>
  </si>
  <si>
    <t>UTI Acinetobacter_Total_Isolates</t>
  </si>
  <si>
    <t>UTI Klebsiella_Total_Isolates</t>
  </si>
  <si>
    <t>cIAI Pseudomonas_Total_Isolates</t>
  </si>
  <si>
    <t>cIAI Acinetobacter_Total_Isolates</t>
  </si>
  <si>
    <t>cIAI Klebsiella_Total_Isolates</t>
  </si>
  <si>
    <t>Sepsis</t>
  </si>
  <si>
    <t>TOTAL</t>
  </si>
  <si>
    <t>Pneu</t>
  </si>
  <si>
    <t>UTI</t>
  </si>
  <si>
    <t>*using same proportions as those for PA due to limited daa for AB</t>
  </si>
  <si>
    <t xml:space="preserve"> </t>
  </si>
  <si>
    <t>CBP prescribed to pneumonia (Merck)</t>
  </si>
  <si>
    <t>UTI attributed to PA</t>
  </si>
  <si>
    <t>UTI attributed to AB</t>
  </si>
  <si>
    <t>UTI attributed to KP</t>
  </si>
  <si>
    <t>CBP prescribed to cUTIs (Merck)</t>
  </si>
  <si>
    <t>Bacteremia attributed to PA</t>
  </si>
  <si>
    <t>Bacteremia attributed to AB</t>
  </si>
  <si>
    <t>Bacteremia attributed to KP</t>
  </si>
  <si>
    <t>PNEUMONIA</t>
  </si>
  <si>
    <t>(Zilberberg, 2017)</t>
  </si>
  <si>
    <t>GENERAL</t>
  </si>
  <si>
    <t>A_R</t>
  </si>
  <si>
    <t>Appropriate (A)</t>
  </si>
  <si>
    <t>Inapprorpiate (I)</t>
  </si>
  <si>
    <t>Resistant (R )</t>
  </si>
  <si>
    <t>Susceptible (S)</t>
  </si>
  <si>
    <t>I_R</t>
  </si>
  <si>
    <t>A_S</t>
  </si>
  <si>
    <t>out of R, how many appropriate</t>
  </si>
  <si>
    <t>I_S</t>
  </si>
  <si>
    <r>
      <t>A_S=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*A_R</t>
    </r>
  </si>
  <si>
    <r>
      <t>I_R=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*I_S</t>
    </r>
  </si>
  <si>
    <r>
      <t>R*</t>
    </r>
    <r>
      <rPr>
        <b/>
        <i/>
        <sz val="11"/>
        <color theme="1"/>
        <rFont val="Calibri"/>
        <family val="2"/>
        <scheme val="minor"/>
      </rPr>
      <t xml:space="preserve">A_R </t>
    </r>
    <r>
      <rPr>
        <i/>
        <sz val="11"/>
        <color theme="1"/>
        <rFont val="Calibri"/>
        <family val="2"/>
        <scheme val="minor"/>
      </rPr>
      <t>+ S*(x*</t>
    </r>
    <r>
      <rPr>
        <b/>
        <i/>
        <sz val="11"/>
        <color theme="1"/>
        <rFont val="Calibri"/>
        <family val="2"/>
        <scheme val="minor"/>
      </rPr>
      <t>A_R</t>
    </r>
    <r>
      <rPr>
        <i/>
        <sz val="11"/>
        <color theme="1"/>
        <rFont val="Calibri"/>
        <family val="2"/>
        <scheme val="minor"/>
      </rPr>
      <t>)=A</t>
    </r>
  </si>
  <si>
    <r>
      <rPr>
        <b/>
        <i/>
        <sz val="11"/>
        <color theme="1"/>
        <rFont val="Calibri"/>
        <family val="2"/>
        <scheme val="minor"/>
      </rPr>
      <t>A_S</t>
    </r>
    <r>
      <rPr>
        <i/>
        <sz val="11"/>
        <color theme="1"/>
        <rFont val="Calibri"/>
        <family val="2"/>
        <scheme val="minor"/>
      </rPr>
      <t>=x*A_R</t>
    </r>
  </si>
  <si>
    <t>M_R</t>
  </si>
  <si>
    <t>M_S</t>
  </si>
  <si>
    <t>M_A</t>
  </si>
  <si>
    <t>M_I</t>
  </si>
  <si>
    <r>
      <t>M_A=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*M_I</t>
    </r>
  </si>
  <si>
    <r>
      <t>A_R*(x*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=M_R</t>
    </r>
  </si>
  <si>
    <t>mortality of resistant</t>
  </si>
  <si>
    <t>mortality of resistant + inappropriate (i.e. resistant bacteria given CBPs)</t>
  </si>
  <si>
    <r>
      <t>A_S*(x*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=M_S</t>
    </r>
  </si>
  <si>
    <r>
      <t>M_sA</t>
    </r>
    <r>
      <rPr>
        <i/>
        <sz val="11"/>
        <color theme="1"/>
        <rFont val="Calibri"/>
        <family val="2"/>
        <scheme val="minor"/>
      </rPr>
      <t>=x*M_sI</t>
    </r>
  </si>
  <si>
    <t>mortality of susceptible + appropriate (i.e. s and given CBPs)</t>
  </si>
  <si>
    <t>out of R, how many appropriate (pneumonia)</t>
  </si>
  <si>
    <t>prop of pneu patients getting appropriate treatment</t>
  </si>
  <si>
    <t>prop of pneumonia patients w/ R bacteria</t>
  </si>
  <si>
    <t>mortality with appropriate treatment</t>
  </si>
  <si>
    <t>Pneu_model (2014)</t>
  </si>
  <si>
    <t>Proportion of pneumonia patients with PA, AB, KP</t>
  </si>
  <si>
    <t>Normalized</t>
  </si>
  <si>
    <t>(Zavascki, 2006)</t>
  </si>
  <si>
    <t>M_PA</t>
  </si>
  <si>
    <t>M_AB</t>
  </si>
  <si>
    <t>(Ayedmir, 2011) 70% pneu</t>
  </si>
  <si>
    <t>M_KP</t>
  </si>
  <si>
    <t>(Tzouvelekis, 2014)</t>
  </si>
  <si>
    <r>
      <t>M_PA=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*M_KP</t>
    </r>
  </si>
  <si>
    <r>
      <t>M_AB=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*M_KP</t>
    </r>
  </si>
  <si>
    <r>
      <t>PA*(x*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</si>
  <si>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M_PA</t>
    </r>
    <r>
      <rPr>
        <i/>
        <sz val="11"/>
        <color theme="1"/>
        <rFont val="Calibri"/>
        <family val="2"/>
        <scheme val="minor"/>
      </rPr>
      <t>=x*M_KP</t>
    </r>
  </si>
  <si>
    <r>
      <rPr>
        <b/>
        <i/>
        <sz val="11"/>
        <color theme="1"/>
        <rFont val="Calibri"/>
        <family val="2"/>
        <scheme val="minor"/>
      </rPr>
      <t>M_AB</t>
    </r>
    <r>
      <rPr>
        <i/>
        <sz val="11"/>
        <color theme="1"/>
        <rFont val="Calibri"/>
        <family val="2"/>
        <scheme val="minor"/>
      </rPr>
      <t>=y*M_KP</t>
    </r>
  </si>
  <si>
    <t>Mortality for resistant pneumonia prescribed CBPs (inappropriate)</t>
  </si>
  <si>
    <t>out of R, how many appropriate (UTI)</t>
  </si>
  <si>
    <t>Proportion of UTI patients with PA, AB, KP</t>
  </si>
  <si>
    <r>
      <t>PA*(x*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</si>
  <si>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M_rPA</t>
    </r>
    <r>
      <rPr>
        <i/>
        <sz val="11"/>
        <color theme="1"/>
        <rFont val="Calibri"/>
        <family val="2"/>
        <scheme val="minor"/>
      </rPr>
      <t>=x*M_rKP</t>
    </r>
  </si>
  <si>
    <r>
      <rPr>
        <b/>
        <i/>
        <sz val="11"/>
        <color theme="1"/>
        <rFont val="Calibri"/>
        <family val="2"/>
        <scheme val="minor"/>
      </rPr>
      <t>M_rAB</t>
    </r>
    <r>
      <rPr>
        <i/>
        <sz val="11"/>
        <color theme="1"/>
        <rFont val="Calibri"/>
        <family val="2"/>
        <scheme val="minor"/>
      </rPr>
      <t>=y*M_rKP</t>
    </r>
  </si>
  <si>
    <r>
      <rPr>
        <b/>
        <i/>
        <sz val="11"/>
        <color theme="1"/>
        <rFont val="Calibri"/>
        <family val="2"/>
        <scheme val="minor"/>
      </rPr>
      <t>M_sPA</t>
    </r>
    <r>
      <rPr>
        <i/>
        <sz val="11"/>
        <color theme="1"/>
        <rFont val="Calibri"/>
        <family val="2"/>
        <scheme val="minor"/>
      </rPr>
      <t>=x*M_sKP</t>
    </r>
  </si>
  <si>
    <r>
      <rPr>
        <b/>
        <i/>
        <sz val="11"/>
        <color theme="1"/>
        <rFont val="Calibri"/>
        <family val="2"/>
        <scheme val="minor"/>
      </rPr>
      <t>M_sAB</t>
    </r>
    <r>
      <rPr>
        <i/>
        <sz val="11"/>
        <color theme="1"/>
        <rFont val="Calibri"/>
        <family val="2"/>
        <scheme val="minor"/>
      </rPr>
      <t>=y*M_sKP</t>
    </r>
  </si>
  <si>
    <r>
      <t>PA*(x*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=M_sA</t>
    </r>
  </si>
  <si>
    <t>Mortality for susceptible pneumonia prescribed CBPs (appropriate)</t>
  </si>
  <si>
    <t>prop of UTI patients getting appropriate treatment</t>
  </si>
  <si>
    <t>prop of UTI patients w/ R bacteria</t>
  </si>
  <si>
    <t>Mortality for resistant UTI prescribed CBPs (inappropriate)</t>
  </si>
  <si>
    <t>Mortality for susceptible UTI prescribed CBPs (appropriate)</t>
  </si>
  <si>
    <t>UTI_model (2014)</t>
  </si>
  <si>
    <t>w/ CBPS</t>
  </si>
  <si>
    <r>
      <rPr>
        <b/>
        <i/>
        <sz val="11"/>
        <color theme="1"/>
        <rFont val="Calibri"/>
        <family val="2"/>
        <scheme val="minor"/>
      </rPr>
      <t>M_rA</t>
    </r>
    <r>
      <rPr>
        <i/>
        <sz val="11"/>
        <color theme="1"/>
        <rFont val="Calibri"/>
        <family val="2"/>
        <scheme val="minor"/>
      </rPr>
      <t>=x*M_rI</t>
    </r>
  </si>
  <si>
    <t>Same as before but with M_rA</t>
  </si>
  <si>
    <t>mortality w/ CBPs, suscep</t>
  </si>
  <si>
    <t>Pseudomonas aeruginosa</t>
  </si>
  <si>
    <t>Acinetobacter baumannii</t>
  </si>
  <si>
    <t>Klebsiella pneumoniae</t>
  </si>
  <si>
    <t>prevalence</t>
  </si>
  <si>
    <t>L_R</t>
  </si>
  <si>
    <t>L_S</t>
  </si>
  <si>
    <t>L_A</t>
  </si>
  <si>
    <t>L_I</t>
  </si>
  <si>
    <t>L_PA</t>
  </si>
  <si>
    <t>L_AB</t>
  </si>
  <si>
    <t>L_KP</t>
  </si>
  <si>
    <r>
      <t>L_PA=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*L_KP</t>
    </r>
  </si>
  <si>
    <r>
      <t>L_AB=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*L_KP</t>
    </r>
  </si>
  <si>
    <r>
      <t>L_A=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*L_I</t>
    </r>
  </si>
  <si>
    <r>
      <t>A_R*(x*</t>
    </r>
    <r>
      <rPr>
        <b/>
        <i/>
        <sz val="11"/>
        <color theme="1"/>
        <rFont val="Calibri"/>
        <family val="2"/>
        <scheme val="minor"/>
      </rPr>
      <t>L_rI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L_rI</t>
    </r>
    <r>
      <rPr>
        <i/>
        <sz val="11"/>
        <color theme="1"/>
        <rFont val="Calibri"/>
        <family val="2"/>
        <scheme val="minor"/>
      </rPr>
      <t>=L_R</t>
    </r>
  </si>
  <si>
    <r>
      <t>A_S*(x*</t>
    </r>
    <r>
      <rPr>
        <b/>
        <i/>
        <sz val="11"/>
        <color theme="1"/>
        <rFont val="Calibri"/>
        <family val="2"/>
        <scheme val="minor"/>
      </rPr>
      <t>L_sI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L_sI</t>
    </r>
    <r>
      <rPr>
        <i/>
        <sz val="11"/>
        <color theme="1"/>
        <rFont val="Calibri"/>
        <family val="2"/>
        <scheme val="minor"/>
      </rPr>
      <t>=L_S</t>
    </r>
  </si>
  <si>
    <r>
      <t>L_sA</t>
    </r>
    <r>
      <rPr>
        <i/>
        <sz val="11"/>
        <color theme="1"/>
        <rFont val="Calibri"/>
        <family val="2"/>
        <scheme val="minor"/>
      </rPr>
      <t>=x*L_sI</t>
    </r>
  </si>
  <si>
    <r>
      <rPr>
        <b/>
        <i/>
        <sz val="11"/>
        <color theme="1"/>
        <rFont val="Calibri"/>
        <family val="2"/>
        <scheme val="minor"/>
      </rPr>
      <t>L_rA</t>
    </r>
    <r>
      <rPr>
        <i/>
        <sz val="11"/>
        <color theme="1"/>
        <rFont val="Calibri"/>
        <family val="2"/>
        <scheme val="minor"/>
      </rPr>
      <t>=x*L_rI</t>
    </r>
  </si>
  <si>
    <t>SD: 10.4</t>
  </si>
  <si>
    <t>SD: 13.0</t>
  </si>
  <si>
    <t>SD: 9.4</t>
  </si>
  <si>
    <t>SD: 15.9</t>
  </si>
  <si>
    <t>SD: 12.6</t>
  </si>
  <si>
    <t>SD: 20.8</t>
  </si>
  <si>
    <t>SD: 7.6</t>
  </si>
  <si>
    <t>SD: 17.6</t>
  </si>
  <si>
    <t>SD: 7.8</t>
  </si>
  <si>
    <t>SD: 17.1</t>
  </si>
  <si>
    <t>SD: 9.9</t>
  </si>
  <si>
    <t>SD: 23.3</t>
  </si>
  <si>
    <t>Pneumonia data (R, inapp)</t>
  </si>
  <si>
    <t>Bacteremia</t>
  </si>
  <si>
    <t>(Lautenbach, 2009)</t>
  </si>
  <si>
    <t>(Borer, 2009)</t>
  </si>
  <si>
    <t xml:space="preserve">(Patel, 2008) </t>
  </si>
  <si>
    <t>Median LOS before infection</t>
  </si>
  <si>
    <t>LOS w/ CBPs, resist</t>
  </si>
  <si>
    <t>LOS w/ CBPS, suscep</t>
  </si>
  <si>
    <t>SD</t>
  </si>
  <si>
    <t>mortality alt therapy</t>
  </si>
  <si>
    <t>LOS w/ alt therapy</t>
  </si>
  <si>
    <t>Resistant (R)</t>
  </si>
  <si>
    <t>CDDEP + Merck</t>
  </si>
  <si>
    <t>CDDEP</t>
  </si>
  <si>
    <t>N/A</t>
  </si>
  <si>
    <t>HCUP</t>
  </si>
  <si>
    <t>Bartsch, 2017</t>
  </si>
  <si>
    <t xml:space="preserve">Utility weight (Q) </t>
  </si>
  <si>
    <t>mortality w/ CBPs, resist</t>
  </si>
  <si>
    <t>Zilberberg, etc.</t>
  </si>
  <si>
    <t>Zilberberg</t>
  </si>
  <si>
    <t>Indication attributed to PA</t>
  </si>
  <si>
    <t>Indication attributed to AB</t>
  </si>
  <si>
    <t>Indication attributed to KP</t>
  </si>
  <si>
    <t>CBP prescribed to indication</t>
  </si>
  <si>
    <t>Gaynes, 2005; NHSN 2011-2014 data</t>
  </si>
  <si>
    <t>(Van Hollebeke, 2016)</t>
  </si>
  <si>
    <t>CDDEP Isolates_PA</t>
  </si>
  <si>
    <t>MERCK Isolates_PA</t>
  </si>
  <si>
    <t>Appropriate</t>
  </si>
  <si>
    <t>Resistant</t>
  </si>
  <si>
    <t>Appropriate_R</t>
  </si>
  <si>
    <t>Appropriate_S</t>
  </si>
  <si>
    <t>Mortality_R</t>
  </si>
  <si>
    <t>Mortality_S</t>
  </si>
  <si>
    <t>Mortality_A</t>
  </si>
  <si>
    <t>Mortality_I</t>
  </si>
  <si>
    <t>Mortality resistant, CBPs</t>
  </si>
  <si>
    <t>Mortality susceptible, CBPs</t>
  </si>
  <si>
    <t>Mortality alternatives</t>
  </si>
  <si>
    <t>Bacteremia_model (2014)</t>
  </si>
  <si>
    <t>prop of bacteremia patients getting appropriate treatment</t>
  </si>
  <si>
    <t>prop of bacteremia patients w/ R bacteria</t>
  </si>
  <si>
    <t>Mortality for resistant bacteremia prescribed CBPs (inappropriate)</t>
  </si>
  <si>
    <t>Proportion of bacteremia patients with PA, AB, KP</t>
  </si>
  <si>
    <t>Mortality for susceptible bacteremia prescribed CBPs (appropriate)</t>
  </si>
  <si>
    <t>bacteremia_model (2014)</t>
  </si>
  <si>
    <t>MERCK DATA</t>
  </si>
  <si>
    <t>CBPs, susceptible, lived</t>
  </si>
  <si>
    <t>CBPs, susceptible, died</t>
  </si>
  <si>
    <t>CBPs, resistance, died</t>
  </si>
  <si>
    <t>CBPs, resistant, lived</t>
  </si>
  <si>
    <t>alt, susceptible, lived</t>
  </si>
  <si>
    <t>alt, susceptible, died</t>
  </si>
  <si>
    <t>alt, resistant, lived</t>
  </si>
  <si>
    <t>alt, resistant, died</t>
  </si>
  <si>
    <t>Non-specific</t>
  </si>
  <si>
    <t>CBPs, resistant, died</t>
  </si>
  <si>
    <t>*using same data as for bacteremia</t>
  </si>
  <si>
    <t>CBP prescribed to cIAI (Merck)</t>
  </si>
  <si>
    <t>cIAI</t>
  </si>
  <si>
    <t>Lob, 2015</t>
  </si>
  <si>
    <t xml:space="preserve">CBP prescribed to Bacteremia (Merck) </t>
  </si>
  <si>
    <t>cIAI attributed to PA</t>
  </si>
  <si>
    <t>cIAI attributed to AB</t>
  </si>
  <si>
    <t>cIAI attributed to 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</si>
</sst>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name val="Calibri"/>
      <family val="2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3" fillId="0" borderId="0" xfId="0" applyFont="1" applyFill="1" applyBorder="1"/>
    <xf numFmtId="0" fontId="3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/>
    <xf numFmtId="0" fontId="0" fillId="0" borderId="0" xfId="0" applyFill="1" applyBorder="1"/>
    <xf numFmtId="0" fontId="1" fillId="0" borderId="0" xfId="0" applyFont="1"/>
    <xf numFmtId="0" fontId="3" fillId="0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0" fontId="5" fillId="0" borderId="0" xfId="0" applyFont="1" applyFill="1"/>
    <xf numFmtId="0" fontId="0" fillId="0" borderId="0" xfId="0" applyFill="1"/>
    <xf numFmtId="0" fontId="1" fillId="0" borderId="2" xfId="0" applyFont="1" applyFill="1" applyBorder="1"/>
    <xf numFmtId="0" fontId="2" fillId="0" borderId="2" xfId="0" applyFont="1" applyFill="1" applyBorder="1"/>
    <xf numFmtId="0" fontId="0" fillId="2" borderId="0" xfId="0" applyFill="1"/>
    <xf numFmtId="0" fontId="8" fillId="0" borderId="3" xfId="0" applyFont="1" applyBorder="1"/>
    <xf numFmtId="0" fontId="7" fillId="0" borderId="0" xfId="0" applyFont="1" applyFill="1" applyBorder="1"/>
    <xf numFmtId="0" fontId="10" fillId="0" borderId="0" xfId="0" applyFont="1"/>
    <xf numFmtId="0" fontId="0" fillId="0" borderId="0" xfId="0" applyNumberFormat="1"/>
    <xf numFmtId="0" fontId="8" fillId="0" borderId="0" xfId="0" applyFont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NumberFormat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8" fillId="0" borderId="0" xfId="0" applyFont="1" applyFill="1" applyBorder="1"/>
    <xf numFmtId="0" fontId="8" fillId="0" borderId="0" xfId="0" applyFont="1" applyBorder="1"/>
    <xf numFmtId="0" fontId="9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0" borderId="0" xfId="0" applyFont="1" applyBorder="1"/>
    <xf numFmtId="0" fontId="18" fillId="0" borderId="0" xfId="0" applyFont="1" applyFill="1" applyBorder="1"/>
    <xf numFmtId="0" fontId="14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8" fillId="0" borderId="0" xfId="0" applyNumberFormat="1" applyFont="1"/>
    <xf numFmtId="0" fontId="0" fillId="0" borderId="0" xfId="0" applyAlignment="1"/>
    <xf numFmtId="0" fontId="6" fillId="0" borderId="0" xfId="0" applyFont="1" applyBorder="1"/>
    <xf numFmtId="0" fontId="2" fillId="3" borderId="0" xfId="0" applyFont="1" applyFill="1" applyBorder="1"/>
    <xf numFmtId="0" fontId="1" fillId="0" borderId="11" xfId="0" applyFont="1" applyFill="1" applyBorder="1"/>
    <xf numFmtId="0" fontId="1" fillId="3" borderId="11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0" fillId="0" borderId="11" xfId="0" applyBorder="1"/>
    <xf numFmtId="0" fontId="6" fillId="0" borderId="11" xfId="0" applyFont="1" applyBorder="1" applyAlignment="1">
      <alignment horizontal="left" indent="1"/>
    </xf>
    <xf numFmtId="0" fontId="10" fillId="0" borderId="0" xfId="0" applyFont="1" applyAlignment="1">
      <alignment horizontal="right"/>
    </xf>
    <xf numFmtId="0" fontId="2" fillId="0" borderId="11" xfId="0" applyFont="1" applyBorder="1"/>
    <xf numFmtId="0" fontId="2" fillId="0" borderId="11" xfId="0" applyFont="1" applyFill="1" applyBorder="1" applyAlignment="1">
      <alignment horizontal="left"/>
    </xf>
    <xf numFmtId="0" fontId="11" fillId="0" borderId="11" xfId="0" applyFont="1" applyFill="1" applyBorder="1" applyAlignment="1">
      <alignment horizontal="left"/>
    </xf>
    <xf numFmtId="0" fontId="10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right"/>
    </xf>
    <xf numFmtId="0" fontId="6" fillId="3" borderId="11" xfId="0" applyFont="1" applyFill="1" applyBorder="1" applyAlignment="1">
      <alignment horizontal="left" indent="1"/>
    </xf>
    <xf numFmtId="0" fontId="10" fillId="0" borderId="0" xfId="0" applyNumberFormat="1" applyFont="1"/>
    <xf numFmtId="0" fontId="0" fillId="0" borderId="0" xfId="0" applyNumberFormat="1" applyFill="1" applyBorder="1"/>
    <xf numFmtId="0" fontId="10" fillId="0" borderId="0" xfId="0" applyNumberFormat="1" applyFont="1" applyFill="1" applyBorder="1"/>
    <xf numFmtId="0" fontId="14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4" borderId="0" xfId="0" applyFill="1"/>
    <xf numFmtId="0" fontId="1" fillId="4" borderId="11" xfId="0" applyFont="1" applyFill="1" applyBorder="1"/>
    <xf numFmtId="0" fontId="22" fillId="0" borderId="0" xfId="0" applyFont="1" applyFill="1" applyBorder="1"/>
    <xf numFmtId="0" fontId="8" fillId="0" borderId="0" xfId="0" applyFont="1" applyAlignment="1">
      <alignment horizontal="right"/>
    </xf>
    <xf numFmtId="0" fontId="8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zoomScale="70" zoomScaleNormal="70" workbookViewId="0">
      <selection activeCell="B16" sqref="B16"/>
    </sheetView>
  </sheetViews>
  <sheetFormatPr defaultRowHeight="14.5" x14ac:dyDescent="0.35"/>
  <cols>
    <col min="1" max="1" width="26.26953125" style="80" bestFit="1" customWidth="1"/>
  </cols>
  <sheetData>
    <row r="1" spans="1:19" x14ac:dyDescent="0.35">
      <c r="A1" s="76" t="s">
        <v>0</v>
      </c>
      <c r="B1" s="74">
        <v>2000</v>
      </c>
      <c r="C1" s="74">
        <v>2001</v>
      </c>
      <c r="D1" s="74">
        <v>2002</v>
      </c>
      <c r="E1" s="74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  <c r="Q1" s="2"/>
      <c r="R1" s="2"/>
    </row>
    <row r="2" spans="1:19" x14ac:dyDescent="0.35">
      <c r="A2" s="76" t="s">
        <v>171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</row>
    <row r="3" spans="1:19" x14ac:dyDescent="0.35">
      <c r="A3" s="76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</row>
    <row r="4" spans="1:19" x14ac:dyDescent="0.35">
      <c r="A4" s="76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</row>
    <row r="5" spans="1:19" x14ac:dyDescent="0.35">
      <c r="A5" s="76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</row>
    <row r="6" spans="1:19" x14ac:dyDescent="0.35">
      <c r="A6" s="76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</row>
    <row r="7" spans="1:19" x14ac:dyDescent="0.35">
      <c r="A7" s="76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</row>
    <row r="8" spans="1:19" s="37" customFormat="1" x14ac:dyDescent="0.35">
      <c r="A8" s="77" t="s">
        <v>172</v>
      </c>
      <c r="B8" s="75">
        <v>34</v>
      </c>
      <c r="C8" s="75">
        <v>187</v>
      </c>
      <c r="D8" s="75">
        <v>220</v>
      </c>
      <c r="E8" s="75">
        <v>63</v>
      </c>
      <c r="F8" s="75">
        <v>61</v>
      </c>
      <c r="G8" s="75">
        <v>319</v>
      </c>
      <c r="H8" s="75">
        <v>512</v>
      </c>
      <c r="I8" s="75">
        <v>587</v>
      </c>
      <c r="J8" s="75">
        <v>749</v>
      </c>
      <c r="K8" s="75">
        <v>730</v>
      </c>
      <c r="L8" s="75">
        <v>920</v>
      </c>
      <c r="M8" s="75">
        <v>975</v>
      </c>
      <c r="N8" s="75">
        <v>1215</v>
      </c>
      <c r="O8" s="75">
        <v>1784</v>
      </c>
      <c r="P8" s="75">
        <v>2053</v>
      </c>
    </row>
    <row r="9" spans="1:19" s="37" customFormat="1" x14ac:dyDescent="0.35">
      <c r="A9" s="77" t="s">
        <v>2</v>
      </c>
      <c r="B9" s="75">
        <v>5</v>
      </c>
      <c r="C9" s="75">
        <v>20</v>
      </c>
      <c r="D9" s="75">
        <v>12</v>
      </c>
      <c r="E9" s="75">
        <v>8</v>
      </c>
      <c r="F9" s="75">
        <v>9</v>
      </c>
      <c r="G9" s="75">
        <v>32</v>
      </c>
      <c r="H9" s="75">
        <v>46</v>
      </c>
      <c r="I9" s="75">
        <v>80</v>
      </c>
      <c r="J9" s="75">
        <v>122</v>
      </c>
      <c r="K9" s="75">
        <v>90</v>
      </c>
      <c r="L9" s="75">
        <v>130</v>
      </c>
      <c r="M9" s="75">
        <v>142</v>
      </c>
      <c r="N9" s="75">
        <v>187</v>
      </c>
      <c r="O9" s="75">
        <v>306</v>
      </c>
      <c r="P9" s="75">
        <v>362</v>
      </c>
    </row>
    <row r="10" spans="1:19" s="37" customFormat="1" x14ac:dyDescent="0.35">
      <c r="A10" s="77" t="s">
        <v>3</v>
      </c>
      <c r="B10" s="97">
        <v>0</v>
      </c>
      <c r="C10" s="97">
        <v>1</v>
      </c>
      <c r="D10" s="97">
        <v>4</v>
      </c>
      <c r="E10" s="97">
        <v>3</v>
      </c>
      <c r="F10" s="97">
        <v>2</v>
      </c>
      <c r="G10" s="97">
        <v>0</v>
      </c>
      <c r="H10" s="97">
        <v>2</v>
      </c>
      <c r="I10" s="97">
        <v>0</v>
      </c>
      <c r="J10" s="97">
        <v>0</v>
      </c>
      <c r="K10" s="97">
        <v>5</v>
      </c>
      <c r="L10" s="97">
        <v>4</v>
      </c>
      <c r="M10" s="97">
        <v>9</v>
      </c>
      <c r="N10" s="97">
        <v>3</v>
      </c>
      <c r="O10" s="97">
        <v>6</v>
      </c>
      <c r="P10" s="97">
        <v>8</v>
      </c>
      <c r="Q10" s="19"/>
      <c r="R10" s="19"/>
      <c r="S10" s="19"/>
    </row>
    <row r="11" spans="1:19" s="37" customFormat="1" x14ac:dyDescent="0.35">
      <c r="A11" s="77" t="s">
        <v>4</v>
      </c>
      <c r="B11" s="97">
        <v>0</v>
      </c>
      <c r="C11" s="97">
        <v>0</v>
      </c>
      <c r="D11" s="97">
        <v>0</v>
      </c>
      <c r="E11" s="97">
        <v>1</v>
      </c>
      <c r="F11" s="97">
        <v>2</v>
      </c>
      <c r="G11" s="97">
        <v>0</v>
      </c>
      <c r="H11" s="97">
        <v>1</v>
      </c>
      <c r="I11" s="97">
        <v>0</v>
      </c>
      <c r="J11" s="97">
        <v>0</v>
      </c>
      <c r="K11" s="97">
        <v>1</v>
      </c>
      <c r="L11" s="97">
        <v>0</v>
      </c>
      <c r="M11" s="97">
        <v>0</v>
      </c>
      <c r="N11" s="97">
        <v>1</v>
      </c>
      <c r="O11" s="97">
        <v>0</v>
      </c>
      <c r="P11" s="97">
        <v>0</v>
      </c>
      <c r="Q11" s="19"/>
      <c r="R11" s="19"/>
      <c r="S11" s="19"/>
    </row>
    <row r="12" spans="1:19" s="37" customFormat="1" x14ac:dyDescent="0.35">
      <c r="A12" s="77" t="s">
        <v>5</v>
      </c>
      <c r="B12" s="75">
        <v>13</v>
      </c>
      <c r="C12" s="75">
        <v>51</v>
      </c>
      <c r="D12" s="75">
        <v>67</v>
      </c>
      <c r="E12" s="75">
        <v>10</v>
      </c>
      <c r="F12" s="75">
        <v>25</v>
      </c>
      <c r="G12" s="75">
        <v>109</v>
      </c>
      <c r="H12" s="75">
        <v>193</v>
      </c>
      <c r="I12" s="75">
        <v>204</v>
      </c>
      <c r="J12" s="75">
        <v>261</v>
      </c>
      <c r="K12" s="75">
        <v>294</v>
      </c>
      <c r="L12" s="75">
        <v>327</v>
      </c>
      <c r="M12" s="75">
        <v>395</v>
      </c>
      <c r="N12" s="75">
        <v>573</v>
      </c>
      <c r="O12" s="75">
        <v>860</v>
      </c>
      <c r="P12" s="75">
        <v>1063</v>
      </c>
    </row>
    <row r="13" spans="1:19" s="37" customFormat="1" x14ac:dyDescent="0.35">
      <c r="A13" s="77" t="s">
        <v>6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2</v>
      </c>
      <c r="H13" s="75">
        <v>3</v>
      </c>
      <c r="I13" s="75">
        <v>2</v>
      </c>
      <c r="J13" s="75">
        <v>3</v>
      </c>
      <c r="K13" s="75">
        <v>6</v>
      </c>
      <c r="L13" s="75">
        <v>6</v>
      </c>
      <c r="M13" s="75">
        <v>16</v>
      </c>
      <c r="N13" s="75">
        <v>24</v>
      </c>
      <c r="O13" s="75">
        <v>21</v>
      </c>
      <c r="P13" s="75">
        <v>22</v>
      </c>
    </row>
    <row r="14" spans="1:19" x14ac:dyDescent="0.35">
      <c r="A14" s="76" t="s">
        <v>7</v>
      </c>
      <c r="B14">
        <v>28</v>
      </c>
      <c r="C14">
        <v>33</v>
      </c>
      <c r="D14">
        <v>40</v>
      </c>
      <c r="E14">
        <v>41</v>
      </c>
      <c r="F14">
        <v>44</v>
      </c>
      <c r="G14">
        <v>48</v>
      </c>
      <c r="H14">
        <v>53</v>
      </c>
      <c r="I14">
        <v>55</v>
      </c>
      <c r="J14">
        <v>59</v>
      </c>
      <c r="K14">
        <v>62</v>
      </c>
      <c r="L14">
        <v>63</v>
      </c>
      <c r="M14">
        <v>66</v>
      </c>
      <c r="N14">
        <v>67</v>
      </c>
      <c r="O14">
        <v>61</v>
      </c>
      <c r="P14">
        <v>64</v>
      </c>
      <c r="Q14" s="5"/>
      <c r="R14" s="5"/>
    </row>
    <row r="15" spans="1:19" x14ac:dyDescent="0.35">
      <c r="A15" s="76" t="s">
        <v>13</v>
      </c>
      <c r="B15" s="67" t="s">
        <v>114</v>
      </c>
      <c r="C15" s="67" t="s">
        <v>115</v>
      </c>
      <c r="D15" s="67" t="s">
        <v>116</v>
      </c>
      <c r="E15" s="3"/>
      <c r="J15" s="3"/>
      <c r="K15" s="3"/>
      <c r="L15" s="3"/>
      <c r="M15" s="3"/>
      <c r="N15" s="3"/>
      <c r="O15" s="3"/>
      <c r="P15" s="3"/>
      <c r="Q15" s="5"/>
    </row>
    <row r="16" spans="1:19" x14ac:dyDescent="0.35">
      <c r="A16" s="78" t="s">
        <v>42</v>
      </c>
      <c r="B16" s="26">
        <v>0.61842105263157898</v>
      </c>
      <c r="C16" s="26">
        <v>0.6384180790960452</v>
      </c>
      <c r="D16" s="26">
        <v>0.62135922330097082</v>
      </c>
      <c r="E16" s="26">
        <v>0.64827586206896548</v>
      </c>
      <c r="F16" s="26">
        <v>0.66355140186915884</v>
      </c>
      <c r="G16" s="26">
        <v>0.66184971098265899</v>
      </c>
      <c r="H16" s="26">
        <v>0.57981927710843373</v>
      </c>
      <c r="I16" s="26">
        <v>0.57129186602870818</v>
      </c>
      <c r="J16" s="26">
        <v>0.58126550868486349</v>
      </c>
      <c r="K16" s="26">
        <v>0.51847704367301228</v>
      </c>
      <c r="L16" s="26">
        <v>0.5813704496788008</v>
      </c>
      <c r="M16" s="26">
        <v>0.64168190127970748</v>
      </c>
      <c r="N16" s="26">
        <v>0.62005649717514122</v>
      </c>
      <c r="O16" s="26">
        <v>0.62598144182726623</v>
      </c>
      <c r="P16" s="26">
        <v>0.61816578483245155</v>
      </c>
      <c r="Q16" s="26"/>
      <c r="R16" s="5"/>
    </row>
    <row r="17" spans="1:18" x14ac:dyDescent="0.35">
      <c r="A17" s="78" t="s">
        <v>17</v>
      </c>
      <c r="B17" s="3">
        <f>995/4931</f>
        <v>0.20178462786453052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"/>
      <c r="O17" s="5"/>
      <c r="P17" s="5"/>
      <c r="Q17" s="5"/>
      <c r="R17" s="5"/>
    </row>
    <row r="18" spans="1:18" x14ac:dyDescent="0.35">
      <c r="A18" s="78" t="s">
        <v>9</v>
      </c>
      <c r="B18" s="5">
        <v>0.18099999999999999</v>
      </c>
      <c r="C18" s="5">
        <v>0.18099999999999999</v>
      </c>
      <c r="D18" s="5">
        <v>0.18099999999999999</v>
      </c>
      <c r="E18" s="3">
        <v>0.18099999999999999</v>
      </c>
      <c r="F18" s="5">
        <v>0.17899999999999999</v>
      </c>
      <c r="G18" s="5">
        <v>0.17699999999999999</v>
      </c>
      <c r="H18" s="5">
        <v>0.17499999999999999</v>
      </c>
      <c r="I18" s="5">
        <v>0.17299999999999999</v>
      </c>
      <c r="J18" s="5">
        <v>0.17099999999999999</v>
      </c>
      <c r="K18" s="5">
        <v>0.16899999999999998</v>
      </c>
      <c r="L18" s="5">
        <v>0.16699999999999998</v>
      </c>
      <c r="M18" s="3">
        <v>0.16500000000000001</v>
      </c>
      <c r="N18" s="3">
        <v>0.16500000000000001</v>
      </c>
      <c r="O18" s="5">
        <v>0.16500000000000001</v>
      </c>
      <c r="P18" s="5">
        <v>0.16500000000000001</v>
      </c>
      <c r="Q18" s="5"/>
      <c r="R18" s="5"/>
    </row>
    <row r="19" spans="1:18" x14ac:dyDescent="0.35">
      <c r="A19" s="78" t="s">
        <v>11</v>
      </c>
      <c r="B19" s="5">
        <v>6.9000000000000006E-2</v>
      </c>
      <c r="C19" s="5">
        <v>6.9000000000000006E-2</v>
      </c>
      <c r="D19" s="5">
        <v>6.9000000000000006E-2</v>
      </c>
      <c r="E19" s="3">
        <v>6.9000000000000006E-2</v>
      </c>
      <c r="F19" s="5">
        <v>6.8000000000000005E-2</v>
      </c>
      <c r="G19" s="5">
        <v>6.7000000000000004E-2</v>
      </c>
      <c r="H19" s="5">
        <v>6.6000000000000003E-2</v>
      </c>
      <c r="I19" s="5">
        <v>6.5000000000000002E-2</v>
      </c>
      <c r="J19" s="5">
        <v>6.4000000000000001E-2</v>
      </c>
      <c r="K19" s="5">
        <v>6.3E-2</v>
      </c>
      <c r="L19" s="5">
        <v>6.2E-2</v>
      </c>
      <c r="M19" s="3">
        <v>6.0999999999999999E-2</v>
      </c>
      <c r="N19" s="3">
        <v>6.0999999999999999E-2</v>
      </c>
      <c r="O19" s="5">
        <v>6.0999999999999999E-2</v>
      </c>
      <c r="P19" s="5">
        <v>6.0999999999999999E-2</v>
      </c>
      <c r="Q19" s="5"/>
      <c r="R19" s="5"/>
    </row>
    <row r="20" spans="1:18" x14ac:dyDescent="0.35">
      <c r="A20" s="78" t="s">
        <v>10</v>
      </c>
      <c r="B20" s="5">
        <v>7.1999999999999995E-2</v>
      </c>
      <c r="C20" s="5">
        <v>7.1999999999999995E-2</v>
      </c>
      <c r="D20" s="5">
        <v>7.1999999999999995E-2</v>
      </c>
      <c r="E20" s="3">
        <v>7.1999999999999995E-2</v>
      </c>
      <c r="F20" s="5">
        <v>7.5749999999999998E-2</v>
      </c>
      <c r="G20" s="5">
        <v>7.9500000000000001E-2</v>
      </c>
      <c r="H20" s="5">
        <v>8.3250000000000005E-2</v>
      </c>
      <c r="I20" s="5">
        <v>8.7000000000000008E-2</v>
      </c>
      <c r="J20" s="5">
        <v>9.0750000000000011E-2</v>
      </c>
      <c r="K20" s="5">
        <v>9.4500000000000015E-2</v>
      </c>
      <c r="L20" s="5">
        <v>9.8250000000000018E-2</v>
      </c>
      <c r="M20" s="3">
        <v>0.10199999999999999</v>
      </c>
      <c r="N20" s="3">
        <v>0.10199999999999999</v>
      </c>
      <c r="O20" s="5">
        <v>0.10199999999999999</v>
      </c>
      <c r="P20" s="5">
        <v>0.10199999999999999</v>
      </c>
      <c r="Q20" s="5"/>
      <c r="R20" s="5"/>
    </row>
    <row r="21" spans="1:18" s="13" customFormat="1" x14ac:dyDescent="0.35">
      <c r="A21" s="79" t="s">
        <v>18</v>
      </c>
      <c r="B21" s="12">
        <v>0.51700000000000002</v>
      </c>
    </row>
    <row r="22" spans="1:18" s="37" customFormat="1" x14ac:dyDescent="0.35">
      <c r="A22" s="81" t="s">
        <v>175</v>
      </c>
      <c r="B22" s="82">
        <v>513</v>
      </c>
      <c r="C22" s="25">
        <v>1161</v>
      </c>
      <c r="D22" s="27"/>
      <c r="E22" s="25"/>
      <c r="F22" s="25"/>
      <c r="G22" s="25"/>
      <c r="H22" s="25"/>
      <c r="I22" s="25"/>
    </row>
    <row r="23" spans="1:18" s="37" customFormat="1" x14ac:dyDescent="0.35">
      <c r="A23" s="81" t="s">
        <v>176</v>
      </c>
      <c r="B23" s="82">
        <v>32197</v>
      </c>
      <c r="C23" s="25">
        <v>36533</v>
      </c>
      <c r="D23" s="27"/>
      <c r="E23" s="25"/>
      <c r="F23" s="25"/>
      <c r="G23" s="25"/>
      <c r="H23" s="25"/>
      <c r="I23" s="25"/>
    </row>
    <row r="24" spans="1:18" s="37" customFormat="1" x14ac:dyDescent="0.35">
      <c r="A24" s="81" t="s">
        <v>173</v>
      </c>
      <c r="B24" s="82">
        <v>3936</v>
      </c>
      <c r="C24" s="25">
        <v>4931</v>
      </c>
      <c r="D24" s="27"/>
      <c r="E24" s="25"/>
      <c r="F24" s="25"/>
      <c r="G24" s="25"/>
      <c r="H24" s="25"/>
      <c r="I24" s="25"/>
    </row>
    <row r="25" spans="1:18" s="37" customFormat="1" x14ac:dyDescent="0.35">
      <c r="A25" s="81" t="s">
        <v>174</v>
      </c>
      <c r="B25" s="82">
        <v>187</v>
      </c>
      <c r="C25" s="25">
        <v>5247</v>
      </c>
      <c r="D25" s="27"/>
      <c r="E25" s="25"/>
      <c r="F25" s="25"/>
      <c r="G25" s="25"/>
      <c r="H25" s="25"/>
      <c r="I25" s="25"/>
    </row>
    <row r="26" spans="1:18" s="37" customFormat="1" x14ac:dyDescent="0.35">
      <c r="A26" s="81" t="s">
        <v>177</v>
      </c>
      <c r="B26" s="82">
        <v>19</v>
      </c>
      <c r="C26" s="25">
        <v>187</v>
      </c>
      <c r="D26" s="27"/>
      <c r="E26" s="25"/>
      <c r="F26" s="25"/>
      <c r="G26" s="25"/>
      <c r="H26" s="25"/>
      <c r="I26" s="25"/>
    </row>
    <row r="27" spans="1:18" s="37" customFormat="1" x14ac:dyDescent="0.35">
      <c r="A27" s="81" t="s">
        <v>178</v>
      </c>
      <c r="B27" s="82">
        <v>425</v>
      </c>
      <c r="C27" s="25">
        <v>5060</v>
      </c>
      <c r="D27" s="27"/>
      <c r="E27" s="25"/>
      <c r="F27" s="25"/>
      <c r="G27" s="25"/>
      <c r="H27" s="25"/>
      <c r="I27" s="25"/>
    </row>
    <row r="28" spans="1:18" s="37" customFormat="1" x14ac:dyDescent="0.35">
      <c r="A28" s="81" t="s">
        <v>179</v>
      </c>
      <c r="B28" s="82">
        <v>330</v>
      </c>
      <c r="C28" s="25">
        <v>3936</v>
      </c>
      <c r="D28" s="27"/>
      <c r="E28" s="25"/>
      <c r="F28" s="25"/>
      <c r="G28" s="25"/>
      <c r="H28" s="25"/>
      <c r="I28" s="25"/>
    </row>
    <row r="29" spans="1:18" s="37" customFormat="1" x14ac:dyDescent="0.35">
      <c r="A29" s="81" t="s">
        <v>180</v>
      </c>
      <c r="B29" s="82">
        <v>80</v>
      </c>
      <c r="C29" s="25">
        <v>995</v>
      </c>
      <c r="D29" s="27"/>
      <c r="E29" s="25"/>
      <c r="F29" s="25"/>
      <c r="G29" s="25"/>
      <c r="H29" s="25"/>
      <c r="I29" s="25"/>
    </row>
    <row r="30" spans="1:18" s="37" customFormat="1" x14ac:dyDescent="0.35">
      <c r="A30" s="81" t="s">
        <v>181</v>
      </c>
      <c r="B30" s="32">
        <v>9.9863703626802164E-2</v>
      </c>
      <c r="C30" s="25"/>
      <c r="D30" s="27"/>
      <c r="E30" s="25"/>
      <c r="F30" s="25"/>
      <c r="G30" s="25"/>
      <c r="H30" s="25"/>
      <c r="I30" s="25"/>
    </row>
    <row r="31" spans="1:18" s="37" customFormat="1" x14ac:dyDescent="0.35">
      <c r="A31" s="81" t="s">
        <v>182</v>
      </c>
      <c r="B31" s="32">
        <v>8.4642609125277199E-2</v>
      </c>
      <c r="C31" s="25"/>
      <c r="D31" s="27"/>
      <c r="E31" s="25"/>
      <c r="F31" s="25"/>
      <c r="G31" s="25"/>
      <c r="H31" s="25"/>
      <c r="I31" s="25"/>
    </row>
    <row r="32" spans="1:18" s="37" customFormat="1" x14ac:dyDescent="0.35">
      <c r="A32" s="81" t="s">
        <v>183</v>
      </c>
      <c r="B32" s="87"/>
      <c r="C32" s="25"/>
      <c r="D32" s="27"/>
      <c r="E32" s="25"/>
      <c r="F32" s="25"/>
      <c r="G32" s="25"/>
      <c r="H32" s="25"/>
      <c r="I32" s="25"/>
    </row>
    <row r="33" spans="1:16" x14ac:dyDescent="0.35">
      <c r="A33" s="76" t="s">
        <v>117</v>
      </c>
      <c r="B33">
        <v>1187533.2325218297</v>
      </c>
      <c r="C33">
        <v>1165571.2992361053</v>
      </c>
      <c r="D33">
        <v>1213310.2716565763</v>
      </c>
      <c r="E33">
        <v>1266539.9270492154</v>
      </c>
      <c r="F33">
        <v>1174899.8809542293</v>
      </c>
      <c r="G33">
        <v>1306375.6417693391</v>
      </c>
      <c r="H33">
        <v>1186995.2763655467</v>
      </c>
      <c r="I33">
        <v>1154220.9217416123</v>
      </c>
      <c r="J33">
        <v>1153613.3498561326</v>
      </c>
      <c r="K33">
        <v>1155370.2354570525</v>
      </c>
      <c r="L33">
        <v>1102902.8898890109</v>
      </c>
      <c r="M33">
        <v>1148831.6380473822</v>
      </c>
      <c r="N33">
        <v>1103820.3235851068</v>
      </c>
      <c r="O33">
        <v>1074443.7123530649</v>
      </c>
      <c r="P33">
        <v>1012690.3223150712</v>
      </c>
    </row>
    <row r="34" spans="1:16" x14ac:dyDescent="0.35">
      <c r="A34" s="77" t="s">
        <v>191</v>
      </c>
      <c r="B34" s="32" t="s">
        <v>14</v>
      </c>
      <c r="C34" s="32" t="s">
        <v>15</v>
      </c>
      <c r="D34" s="32" t="s">
        <v>16</v>
      </c>
      <c r="E34" s="90" t="s">
        <v>200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x14ac:dyDescent="0.35">
      <c r="A35" s="88" t="s">
        <v>192</v>
      </c>
      <c r="B35" s="89">
        <f>16+50</f>
        <v>66</v>
      </c>
      <c r="C35" s="89">
        <v>3</v>
      </c>
      <c r="D35" s="89">
        <v>22</v>
      </c>
      <c r="E35">
        <f>23+30</f>
        <v>53</v>
      </c>
      <c r="F35" s="32"/>
      <c r="G35" s="32"/>
      <c r="H35" s="32"/>
      <c r="J35" s="32"/>
      <c r="K35" s="32"/>
      <c r="L35" s="32"/>
      <c r="M35" s="32"/>
      <c r="N35" s="32"/>
      <c r="O35" s="32"/>
      <c r="P35" s="32"/>
    </row>
    <row r="36" spans="1:16" x14ac:dyDescent="0.35">
      <c r="A36" s="88" t="s">
        <v>193</v>
      </c>
      <c r="B36" s="89">
        <f>1+7</f>
        <v>8</v>
      </c>
      <c r="C36" s="89">
        <v>0</v>
      </c>
      <c r="D36" s="89">
        <v>4</v>
      </c>
      <c r="E36" s="32">
        <v>7</v>
      </c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35">
      <c r="A37" s="88" t="s">
        <v>195</v>
      </c>
      <c r="B37" s="82">
        <f>21+20</f>
        <v>41</v>
      </c>
      <c r="C37" s="89">
        <f>5+9</f>
        <v>14</v>
      </c>
      <c r="D37" s="89">
        <v>2</v>
      </c>
      <c r="E37" s="32">
        <v>4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35">
      <c r="A38" s="88" t="s">
        <v>201</v>
      </c>
      <c r="B38" s="82">
        <f>3+5</f>
        <v>8</v>
      </c>
      <c r="C38" s="89">
        <v>4</v>
      </c>
      <c r="D38" s="89">
        <v>0</v>
      </c>
      <c r="E38" s="32">
        <v>1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x14ac:dyDescent="0.35">
      <c r="A39" s="88" t="s">
        <v>196</v>
      </c>
      <c r="B39" s="89">
        <v>463</v>
      </c>
      <c r="C39" s="89">
        <v>16</v>
      </c>
      <c r="D39" s="89">
        <v>157</v>
      </c>
      <c r="E39" s="91">
        <v>340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35">
      <c r="A40" s="88" t="s">
        <v>197</v>
      </c>
      <c r="B40" s="89">
        <v>45</v>
      </c>
      <c r="C40" s="89">
        <v>4</v>
      </c>
      <c r="D40" s="89">
        <v>32</v>
      </c>
      <c r="E40" s="91">
        <v>54</v>
      </c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35">
      <c r="A41" s="88" t="s">
        <v>198</v>
      </c>
      <c r="B41" s="32">
        <v>96</v>
      </c>
      <c r="C41" s="89">
        <v>25</v>
      </c>
      <c r="D41" s="89">
        <v>1</v>
      </c>
      <c r="E41" s="32">
        <v>12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35">
      <c r="A42" s="88" t="s">
        <v>199</v>
      </c>
      <c r="B42" s="32">
        <v>18</v>
      </c>
      <c r="C42" s="89">
        <v>10</v>
      </c>
      <c r="D42" s="89">
        <v>1</v>
      </c>
      <c r="E42" s="32">
        <v>3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 x14ac:dyDescent="0.35"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35"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35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6" x14ac:dyDescent="0.35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6" x14ac:dyDescent="0.35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5"/>
  <sheetViews>
    <sheetView zoomScale="60" zoomScaleNormal="60" workbookViewId="0">
      <selection activeCell="G24" sqref="G24"/>
    </sheetView>
  </sheetViews>
  <sheetFormatPr defaultRowHeight="14.5" x14ac:dyDescent="0.35"/>
  <cols>
    <col min="1" max="1" width="15.08984375" style="80" customWidth="1"/>
  </cols>
  <sheetData>
    <row r="1" spans="1:17" x14ac:dyDescent="0.35">
      <c r="A1" s="76" t="s">
        <v>0</v>
      </c>
      <c r="B1" s="9">
        <v>2000</v>
      </c>
      <c r="C1" s="9">
        <v>2001</v>
      </c>
      <c r="D1" s="9">
        <v>2002</v>
      </c>
      <c r="E1" s="9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7" x14ac:dyDescent="0.35">
      <c r="A2" s="76" t="s">
        <v>171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  <c r="Q2" s="25"/>
    </row>
    <row r="3" spans="1:17" x14ac:dyDescent="0.35">
      <c r="A3" s="76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  <c r="Q3" s="25"/>
    </row>
    <row r="4" spans="1:17" x14ac:dyDescent="0.35">
      <c r="A4" s="76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  <c r="Q4" s="25"/>
    </row>
    <row r="5" spans="1:17" x14ac:dyDescent="0.35">
      <c r="A5" s="76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  <c r="Q5" s="25"/>
    </row>
    <row r="6" spans="1:17" x14ac:dyDescent="0.35">
      <c r="A6" s="76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  <c r="Q6" s="25"/>
    </row>
    <row r="7" spans="1:17" x14ac:dyDescent="0.35">
      <c r="A7" s="76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  <c r="Q7" s="25"/>
    </row>
    <row r="8" spans="1:17" s="37" customFormat="1" x14ac:dyDescent="0.35">
      <c r="A8" s="98" t="s">
        <v>172</v>
      </c>
      <c r="B8" s="97">
        <v>2</v>
      </c>
      <c r="C8" s="97">
        <v>13</v>
      </c>
      <c r="D8" s="97">
        <v>27</v>
      </c>
      <c r="E8" s="97">
        <v>5</v>
      </c>
      <c r="F8" s="97">
        <v>12</v>
      </c>
      <c r="G8" s="97">
        <v>42</v>
      </c>
      <c r="H8" s="97">
        <v>68</v>
      </c>
      <c r="I8" s="97">
        <v>85</v>
      </c>
      <c r="J8" s="97">
        <v>140</v>
      </c>
      <c r="K8" s="97">
        <v>87</v>
      </c>
      <c r="L8" s="97">
        <v>99</v>
      </c>
      <c r="M8" s="97">
        <v>116</v>
      </c>
      <c r="N8" s="97">
        <v>157</v>
      </c>
      <c r="O8" s="97">
        <v>264</v>
      </c>
      <c r="P8" s="97">
        <v>324</v>
      </c>
    </row>
    <row r="9" spans="1:17" s="37" customFormat="1" x14ac:dyDescent="0.35">
      <c r="A9" s="98" t="s">
        <v>2</v>
      </c>
      <c r="B9" s="97">
        <v>1</v>
      </c>
      <c r="C9" s="97">
        <v>1</v>
      </c>
      <c r="D9" s="97">
        <v>0</v>
      </c>
      <c r="E9" s="97">
        <v>1</v>
      </c>
      <c r="F9" s="97">
        <v>3</v>
      </c>
      <c r="G9" s="97">
        <v>2</v>
      </c>
      <c r="H9" s="97">
        <v>7</v>
      </c>
      <c r="I9" s="97">
        <v>14</v>
      </c>
      <c r="J9" s="97">
        <v>19</v>
      </c>
      <c r="K9" s="97">
        <v>9</v>
      </c>
      <c r="L9" s="97">
        <v>11</v>
      </c>
      <c r="M9" s="97">
        <v>15</v>
      </c>
      <c r="N9" s="97">
        <v>28</v>
      </c>
      <c r="O9" s="97">
        <v>44</v>
      </c>
      <c r="P9" s="97">
        <v>42</v>
      </c>
    </row>
    <row r="10" spans="1:17" s="37" customFormat="1" x14ac:dyDescent="0.35">
      <c r="A10" s="98" t="s">
        <v>3</v>
      </c>
      <c r="B10" s="97">
        <v>0</v>
      </c>
      <c r="C10" s="97">
        <v>0</v>
      </c>
      <c r="D10" s="97">
        <v>0</v>
      </c>
      <c r="E10" s="97">
        <v>0</v>
      </c>
      <c r="F10" s="97">
        <v>0</v>
      </c>
      <c r="G10" s="97">
        <v>2</v>
      </c>
      <c r="H10" s="97">
        <v>2</v>
      </c>
      <c r="I10" s="97">
        <v>1</v>
      </c>
      <c r="J10" s="97">
        <v>1</v>
      </c>
      <c r="K10" s="97">
        <v>2</v>
      </c>
      <c r="L10" s="97">
        <v>4</v>
      </c>
      <c r="M10" s="97">
        <v>5</v>
      </c>
      <c r="N10" s="97">
        <v>4</v>
      </c>
      <c r="O10" s="97">
        <v>3</v>
      </c>
      <c r="P10" s="97">
        <v>7</v>
      </c>
    </row>
    <row r="11" spans="1:17" s="37" customFormat="1" x14ac:dyDescent="0.35">
      <c r="A11" s="98" t="s">
        <v>4</v>
      </c>
      <c r="B11" s="97">
        <v>0</v>
      </c>
      <c r="C11" s="97">
        <v>0</v>
      </c>
      <c r="D11" s="97">
        <v>0</v>
      </c>
      <c r="E11" s="97">
        <v>0</v>
      </c>
      <c r="F11" s="97">
        <v>0</v>
      </c>
      <c r="G11" s="97">
        <v>1</v>
      </c>
      <c r="H11" s="97">
        <v>0</v>
      </c>
      <c r="I11" s="97">
        <v>0</v>
      </c>
      <c r="J11" s="97">
        <v>0</v>
      </c>
      <c r="K11" s="97">
        <v>0</v>
      </c>
      <c r="L11" s="97">
        <v>0</v>
      </c>
      <c r="M11" s="97">
        <v>1</v>
      </c>
      <c r="N11" s="97">
        <v>0</v>
      </c>
      <c r="O11" s="97">
        <v>0</v>
      </c>
      <c r="P11" s="97">
        <v>0</v>
      </c>
    </row>
    <row r="12" spans="1:17" s="37" customFormat="1" x14ac:dyDescent="0.35">
      <c r="A12" s="98" t="s">
        <v>5</v>
      </c>
      <c r="B12" s="97">
        <v>5</v>
      </c>
      <c r="C12" s="97">
        <v>29</v>
      </c>
      <c r="D12" s="97">
        <v>41</v>
      </c>
      <c r="E12" s="97">
        <v>6</v>
      </c>
      <c r="F12" s="97">
        <v>12</v>
      </c>
      <c r="G12" s="97">
        <v>43</v>
      </c>
      <c r="H12" s="97">
        <v>79</v>
      </c>
      <c r="I12" s="97">
        <v>111</v>
      </c>
      <c r="J12" s="97">
        <v>132</v>
      </c>
      <c r="K12" s="97">
        <v>104</v>
      </c>
      <c r="L12" s="97">
        <v>112</v>
      </c>
      <c r="M12" s="97">
        <v>118</v>
      </c>
      <c r="N12" s="97">
        <v>190</v>
      </c>
      <c r="O12" s="97">
        <v>319</v>
      </c>
      <c r="P12" s="97">
        <v>381</v>
      </c>
    </row>
    <row r="13" spans="1:17" s="37" customFormat="1" x14ac:dyDescent="0.35">
      <c r="A13" s="98" t="s">
        <v>6</v>
      </c>
      <c r="B13" s="97">
        <v>0</v>
      </c>
      <c r="C13" s="97">
        <v>0</v>
      </c>
      <c r="D13" s="97">
        <v>0</v>
      </c>
      <c r="E13" s="97">
        <v>0</v>
      </c>
      <c r="F13" s="97">
        <v>1</v>
      </c>
      <c r="G13" s="97">
        <v>1</v>
      </c>
      <c r="H13" s="97">
        <v>0</v>
      </c>
      <c r="I13" s="97">
        <v>1</v>
      </c>
      <c r="J13" s="97">
        <v>1</v>
      </c>
      <c r="K13" s="97">
        <v>0</v>
      </c>
      <c r="L13" s="97">
        <v>1</v>
      </c>
      <c r="M13" s="97">
        <v>0</v>
      </c>
      <c r="N13" s="97">
        <v>4</v>
      </c>
      <c r="O13" s="97">
        <v>6</v>
      </c>
      <c r="P13" s="97">
        <v>7</v>
      </c>
    </row>
    <row r="14" spans="1:17" x14ac:dyDescent="0.35">
      <c r="A14" s="76" t="s">
        <v>7</v>
      </c>
      <c r="B14" s="4">
        <v>28</v>
      </c>
      <c r="C14" s="4">
        <v>33</v>
      </c>
      <c r="D14" s="4">
        <v>40</v>
      </c>
      <c r="E14" s="4">
        <v>41</v>
      </c>
      <c r="F14" s="3">
        <v>44</v>
      </c>
      <c r="G14" s="3">
        <v>48</v>
      </c>
      <c r="H14" s="3">
        <v>53</v>
      </c>
      <c r="I14" s="3">
        <v>55</v>
      </c>
      <c r="J14" s="3">
        <v>59</v>
      </c>
      <c r="K14" s="3">
        <v>62</v>
      </c>
      <c r="L14" s="3">
        <v>63</v>
      </c>
      <c r="M14" s="3">
        <v>66</v>
      </c>
      <c r="N14" s="3">
        <v>67</v>
      </c>
      <c r="O14" s="3">
        <v>61</v>
      </c>
      <c r="P14" s="3">
        <v>64</v>
      </c>
    </row>
    <row r="15" spans="1:17" x14ac:dyDescent="0.35">
      <c r="A15" s="76" t="s">
        <v>13</v>
      </c>
      <c r="B15" s="67" t="s">
        <v>114</v>
      </c>
      <c r="C15" s="67" t="s">
        <v>115</v>
      </c>
      <c r="D15" s="67" t="s">
        <v>116</v>
      </c>
      <c r="E15" s="3"/>
      <c r="J15" s="3"/>
      <c r="K15" s="3"/>
      <c r="L15" s="3"/>
      <c r="M15" s="3"/>
      <c r="N15" s="3"/>
      <c r="O15" s="3"/>
      <c r="P15" s="3"/>
    </row>
    <row r="16" spans="1:17" x14ac:dyDescent="0.35">
      <c r="A16" s="83" t="s">
        <v>206</v>
      </c>
      <c r="B16" s="37">
        <v>0.11842105263157894</v>
      </c>
      <c r="C16" s="37">
        <v>9.6045197740112997E-2</v>
      </c>
      <c r="D16" s="37">
        <v>8.7378640776699032E-2</v>
      </c>
      <c r="E16" s="37">
        <v>8.9655172413793102E-2</v>
      </c>
      <c r="F16" s="37">
        <v>8.4112149532710276E-2</v>
      </c>
      <c r="G16" s="37">
        <v>7.2254335260115612E-2</v>
      </c>
      <c r="H16" s="37">
        <v>0.10692771084337349</v>
      </c>
      <c r="I16" s="37">
        <v>0.11770334928229666</v>
      </c>
      <c r="J16" s="37">
        <v>0.12779156327543426</v>
      </c>
      <c r="K16" s="37">
        <v>8.6226203807390822E-2</v>
      </c>
      <c r="L16" s="37">
        <v>5.460385438972163E-2</v>
      </c>
      <c r="M16" s="37">
        <v>8.7751371115173671E-2</v>
      </c>
      <c r="N16" s="37">
        <v>9.3220338983050849E-2</v>
      </c>
      <c r="O16" s="37">
        <v>9.5645967166309784E-2</v>
      </c>
      <c r="P16" s="37">
        <v>0.11022927689594356</v>
      </c>
    </row>
    <row r="17" spans="1:16" x14ac:dyDescent="0.35">
      <c r="A17" s="84" t="s">
        <v>17</v>
      </c>
      <c r="B17" s="3">
        <f>1468/10736</f>
        <v>0.13673621460506707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"/>
      <c r="O17" s="5"/>
      <c r="P17" s="5"/>
    </row>
    <row r="18" spans="1:16" x14ac:dyDescent="0.35">
      <c r="A18" s="83" t="s">
        <v>47</v>
      </c>
      <c r="B18" s="36">
        <v>3.4000000000000002E-2</v>
      </c>
      <c r="C18" s="36">
        <v>3.4000000000000002E-2</v>
      </c>
      <c r="D18" s="36">
        <v>3.4000000000000002E-2</v>
      </c>
      <c r="E18" s="33">
        <v>3.4000000000000002E-2</v>
      </c>
      <c r="F18" s="36">
        <f>E18+0.00075</f>
        <v>3.4750000000000003E-2</v>
      </c>
      <c r="G18" s="36">
        <f t="shared" ref="G18:L18" si="0">F18+0.00075</f>
        <v>3.5500000000000004E-2</v>
      </c>
      <c r="H18" s="36">
        <f t="shared" si="0"/>
        <v>3.6250000000000004E-2</v>
      </c>
      <c r="I18" s="36">
        <f t="shared" si="0"/>
        <v>3.7000000000000005E-2</v>
      </c>
      <c r="J18" s="36">
        <f t="shared" si="0"/>
        <v>3.7750000000000006E-2</v>
      </c>
      <c r="K18" s="36">
        <f t="shared" si="0"/>
        <v>3.8500000000000006E-2</v>
      </c>
      <c r="L18" s="36">
        <f t="shared" si="0"/>
        <v>3.9250000000000007E-2</v>
      </c>
      <c r="M18" s="33">
        <v>0.04</v>
      </c>
      <c r="N18" s="33">
        <v>0.04</v>
      </c>
      <c r="O18" s="33">
        <v>0.04</v>
      </c>
      <c r="P18" s="33">
        <v>0.04</v>
      </c>
    </row>
    <row r="19" spans="1:16" x14ac:dyDescent="0.35">
      <c r="A19" s="83" t="s">
        <v>48</v>
      </c>
      <c r="B19" s="36">
        <v>2.4E-2</v>
      </c>
      <c r="C19" s="36">
        <v>2.4E-2</v>
      </c>
      <c r="D19" s="36">
        <v>2.4E-2</v>
      </c>
      <c r="E19" s="35">
        <v>2.4E-2</v>
      </c>
      <c r="F19" s="36">
        <f>E19-0.00025</f>
        <v>2.375E-2</v>
      </c>
      <c r="G19" s="36">
        <f t="shared" ref="G19:L19" si="1">F19-0.00025</f>
        <v>2.35E-2</v>
      </c>
      <c r="H19" s="36">
        <f t="shared" si="1"/>
        <v>2.325E-2</v>
      </c>
      <c r="I19" s="36">
        <f t="shared" si="1"/>
        <v>2.3E-2</v>
      </c>
      <c r="J19" s="36">
        <f t="shared" si="1"/>
        <v>2.2749999999999999E-2</v>
      </c>
      <c r="K19" s="36">
        <f t="shared" si="1"/>
        <v>2.2499999999999999E-2</v>
      </c>
      <c r="L19" s="36">
        <f t="shared" si="1"/>
        <v>2.2249999999999999E-2</v>
      </c>
      <c r="M19" s="35">
        <v>2.1999999999999999E-2</v>
      </c>
      <c r="N19" s="35">
        <v>2.1999999999999999E-2</v>
      </c>
      <c r="O19" s="35">
        <v>2.1999999999999999E-2</v>
      </c>
      <c r="P19" s="35">
        <v>2.1999999999999999E-2</v>
      </c>
    </row>
    <row r="20" spans="1:16" x14ac:dyDescent="0.35">
      <c r="A20" s="83" t="s">
        <v>49</v>
      </c>
      <c r="B20" s="36">
        <v>4.2000000000000003E-2</v>
      </c>
      <c r="C20" s="36">
        <v>4.2000000000000003E-2</v>
      </c>
      <c r="D20" s="36">
        <v>4.2000000000000003E-2</v>
      </c>
      <c r="E20" s="34">
        <v>4.2000000000000003E-2</v>
      </c>
      <c r="F20" s="36">
        <f>E20+0.00525</f>
        <v>4.725E-2</v>
      </c>
      <c r="G20" s="36">
        <f t="shared" ref="G20:L20" si="2">F20+0.00525</f>
        <v>5.2499999999999998E-2</v>
      </c>
      <c r="H20" s="36">
        <f t="shared" si="2"/>
        <v>5.7749999999999996E-2</v>
      </c>
      <c r="I20" s="36">
        <f t="shared" si="2"/>
        <v>6.3E-2</v>
      </c>
      <c r="J20" s="36">
        <f t="shared" si="2"/>
        <v>6.8250000000000005E-2</v>
      </c>
      <c r="K20" s="36">
        <f t="shared" si="2"/>
        <v>7.350000000000001E-2</v>
      </c>
      <c r="L20" s="36">
        <f t="shared" si="2"/>
        <v>7.8750000000000014E-2</v>
      </c>
      <c r="M20" s="34">
        <v>8.4000000000000005E-2</v>
      </c>
      <c r="N20" s="34">
        <v>8.4000000000000005E-2</v>
      </c>
      <c r="O20" s="34">
        <v>8.4000000000000005E-2</v>
      </c>
      <c r="P20" s="34">
        <v>8.4000000000000005E-2</v>
      </c>
    </row>
    <row r="21" spans="1:16" s="13" customFormat="1" x14ac:dyDescent="0.35">
      <c r="A21" s="79" t="s">
        <v>18</v>
      </c>
      <c r="B21" s="12">
        <v>0.51700000000000002</v>
      </c>
    </row>
    <row r="22" spans="1:16" s="37" customFormat="1" x14ac:dyDescent="0.35">
      <c r="A22" s="81" t="s">
        <v>175</v>
      </c>
      <c r="B22" s="82">
        <v>513</v>
      </c>
      <c r="C22" s="25">
        <v>1161</v>
      </c>
      <c r="D22" s="27"/>
      <c r="E22" s="25"/>
      <c r="F22" s="25"/>
      <c r="G22" s="25"/>
      <c r="H22" s="25"/>
      <c r="I22" s="25"/>
    </row>
    <row r="23" spans="1:16" s="37" customFormat="1" x14ac:dyDescent="0.35">
      <c r="A23" s="81" t="s">
        <v>176</v>
      </c>
      <c r="B23" s="82">
        <v>32197</v>
      </c>
      <c r="C23" s="25">
        <v>36533</v>
      </c>
      <c r="D23" s="27"/>
      <c r="E23" s="25"/>
      <c r="F23" s="25"/>
      <c r="G23" s="25"/>
      <c r="H23" s="25"/>
      <c r="I23" s="25"/>
    </row>
    <row r="24" spans="1:16" s="37" customFormat="1" x14ac:dyDescent="0.35">
      <c r="A24" s="81" t="s">
        <v>173</v>
      </c>
      <c r="B24" s="82">
        <v>10736</v>
      </c>
      <c r="C24" s="25">
        <v>12204</v>
      </c>
      <c r="D24" s="27"/>
      <c r="E24" s="25"/>
      <c r="F24" s="25"/>
      <c r="G24" s="25"/>
      <c r="H24" s="25"/>
      <c r="I24" s="25"/>
    </row>
    <row r="25" spans="1:16" s="37" customFormat="1" x14ac:dyDescent="0.35">
      <c r="A25" s="81" t="s">
        <v>174</v>
      </c>
      <c r="B25" s="82">
        <v>409</v>
      </c>
      <c r="C25" s="25">
        <v>13135</v>
      </c>
      <c r="D25" s="27"/>
      <c r="E25" s="25"/>
      <c r="F25" s="25"/>
      <c r="G25" s="25"/>
      <c r="H25" s="25"/>
      <c r="I25" s="25"/>
    </row>
    <row r="26" spans="1:16" s="37" customFormat="1" x14ac:dyDescent="0.35">
      <c r="A26" s="81" t="s">
        <v>177</v>
      </c>
      <c r="B26" s="82">
        <v>81</v>
      </c>
      <c r="C26" s="25">
        <v>409</v>
      </c>
      <c r="D26" s="27"/>
      <c r="E26" s="25"/>
      <c r="F26" s="25"/>
      <c r="G26" s="25"/>
      <c r="H26" s="25"/>
      <c r="I26" s="25"/>
    </row>
    <row r="27" spans="1:16" s="37" customFormat="1" x14ac:dyDescent="0.35">
      <c r="A27" s="81" t="s">
        <v>178</v>
      </c>
      <c r="B27" s="82">
        <v>1660</v>
      </c>
      <c r="C27" s="25">
        <v>12726</v>
      </c>
      <c r="D27" s="27"/>
      <c r="E27" s="25"/>
      <c r="F27" s="25"/>
      <c r="G27" s="25"/>
      <c r="H27" s="25"/>
      <c r="I27" s="25"/>
    </row>
    <row r="28" spans="1:16" s="37" customFormat="1" x14ac:dyDescent="0.35">
      <c r="A28" s="81" t="s">
        <v>179</v>
      </c>
      <c r="B28" s="82">
        <v>1356</v>
      </c>
      <c r="C28" s="25">
        <v>10736</v>
      </c>
      <c r="D28" s="27"/>
      <c r="E28" s="25"/>
      <c r="F28" s="25"/>
      <c r="G28" s="25"/>
      <c r="H28" s="25"/>
      <c r="I28" s="25"/>
    </row>
    <row r="29" spans="1:16" s="37" customFormat="1" x14ac:dyDescent="0.35">
      <c r="A29" s="81" t="s">
        <v>180</v>
      </c>
      <c r="B29" s="82">
        <v>260</v>
      </c>
      <c r="C29" s="25">
        <v>1468</v>
      </c>
      <c r="D29" s="27"/>
      <c r="E29" s="25"/>
      <c r="F29" s="25"/>
      <c r="G29" s="25"/>
      <c r="H29" s="25"/>
      <c r="I29" s="25"/>
    </row>
    <row r="30" spans="1:16" s="37" customFormat="1" x14ac:dyDescent="0.35">
      <c r="A30" s="81" t="s">
        <v>181</v>
      </c>
      <c r="B30" s="32">
        <v>0.22717798111907303</v>
      </c>
      <c r="C30" s="25"/>
      <c r="D30" s="27"/>
      <c r="E30" s="25"/>
      <c r="F30" s="25"/>
      <c r="G30" s="25"/>
      <c r="H30" s="25"/>
      <c r="I30" s="25"/>
    </row>
    <row r="31" spans="1:16" s="37" customFormat="1" x14ac:dyDescent="0.35">
      <c r="A31" s="81" t="s">
        <v>182</v>
      </c>
      <c r="B31" s="32">
        <v>0.12499388892480533</v>
      </c>
      <c r="C31" s="25"/>
      <c r="D31" s="27"/>
      <c r="E31" s="25"/>
      <c r="F31" s="25"/>
      <c r="G31" s="25"/>
      <c r="H31" s="25"/>
      <c r="I31" s="25"/>
    </row>
    <row r="32" spans="1:16" s="37" customFormat="1" x14ac:dyDescent="0.35">
      <c r="A32" s="81" t="s">
        <v>183</v>
      </c>
      <c r="B32" s="86">
        <v>0.16200787667641425</v>
      </c>
      <c r="C32" s="25"/>
      <c r="D32" s="27"/>
      <c r="E32" s="25"/>
      <c r="F32" s="25"/>
      <c r="G32" s="25"/>
      <c r="H32" s="25"/>
      <c r="I32" s="25"/>
    </row>
    <row r="33" spans="1:16" x14ac:dyDescent="0.35">
      <c r="A33" s="76" t="s">
        <v>117</v>
      </c>
      <c r="B33">
        <v>325524.60730293131</v>
      </c>
      <c r="C33">
        <v>331435.71233135043</v>
      </c>
      <c r="D33">
        <v>336875.92968692537</v>
      </c>
      <c r="E33">
        <v>381414.7714077534</v>
      </c>
      <c r="F33">
        <v>442632.10346907139</v>
      </c>
      <c r="G33">
        <v>520163.32446229458</v>
      </c>
      <c r="H33">
        <v>588934.96447570284</v>
      </c>
      <c r="I33">
        <v>654783.89945073694</v>
      </c>
      <c r="J33">
        <v>759644.18485417089</v>
      </c>
      <c r="K33">
        <v>789290.82153466763</v>
      </c>
      <c r="L33">
        <v>883982.42245341849</v>
      </c>
      <c r="M33">
        <v>1041671.2225985825</v>
      </c>
      <c r="N33">
        <v>1127505.2613275275</v>
      </c>
      <c r="O33">
        <v>1290639.5121164261</v>
      </c>
      <c r="P33">
        <v>1507485.4424593372</v>
      </c>
    </row>
    <row r="34" spans="1:16" x14ac:dyDescent="0.35">
      <c r="A34" s="77" t="s">
        <v>191</v>
      </c>
      <c r="B34" s="32" t="s">
        <v>14</v>
      </c>
      <c r="C34" s="32" t="s">
        <v>15</v>
      </c>
      <c r="D34" s="32" t="s">
        <v>16</v>
      </c>
      <c r="E34" s="90" t="s">
        <v>200</v>
      </c>
    </row>
    <row r="35" spans="1:16" x14ac:dyDescent="0.35">
      <c r="A35" s="88" t="s">
        <v>192</v>
      </c>
      <c r="B35" s="89">
        <f>15+16</f>
        <v>31</v>
      </c>
      <c r="C35" s="89">
        <v>4</v>
      </c>
      <c r="D35" s="89">
        <f>45+27</f>
        <v>72</v>
      </c>
      <c r="E35" s="37">
        <f>221+209</f>
        <v>430</v>
      </c>
    </row>
    <row r="36" spans="1:16" x14ac:dyDescent="0.35">
      <c r="A36" s="88" t="s">
        <v>193</v>
      </c>
      <c r="B36" s="89">
        <v>3</v>
      </c>
      <c r="C36" s="89">
        <v>1</v>
      </c>
      <c r="D36" s="89">
        <v>10</v>
      </c>
      <c r="E36" s="32">
        <f>12+9</f>
        <v>21</v>
      </c>
    </row>
    <row r="37" spans="1:16" x14ac:dyDescent="0.35">
      <c r="A37" s="88" t="s">
        <v>195</v>
      </c>
      <c r="B37" s="82">
        <v>5</v>
      </c>
      <c r="C37" s="89">
        <v>4</v>
      </c>
      <c r="D37" s="89">
        <v>3</v>
      </c>
      <c r="E37" s="32">
        <v>2</v>
      </c>
    </row>
    <row r="38" spans="1:16" x14ac:dyDescent="0.35">
      <c r="A38" s="88" t="s">
        <v>194</v>
      </c>
      <c r="B38" s="82">
        <v>2</v>
      </c>
      <c r="C38" s="89">
        <v>0</v>
      </c>
      <c r="D38" s="89">
        <v>1</v>
      </c>
      <c r="E38" s="32">
        <v>1</v>
      </c>
    </row>
    <row r="39" spans="1:16" x14ac:dyDescent="0.35">
      <c r="A39" s="88" t="s">
        <v>196</v>
      </c>
      <c r="B39" s="89">
        <v>125</v>
      </c>
      <c r="C39" s="89">
        <v>7</v>
      </c>
      <c r="D39" s="89">
        <v>338</v>
      </c>
      <c r="E39" s="91">
        <v>1709</v>
      </c>
    </row>
    <row r="40" spans="1:16" x14ac:dyDescent="0.35">
      <c r="A40" s="88" t="s">
        <v>197</v>
      </c>
      <c r="B40" s="89">
        <v>15</v>
      </c>
      <c r="C40" s="89">
        <v>2</v>
      </c>
      <c r="D40" s="89">
        <v>28</v>
      </c>
      <c r="E40" s="91">
        <v>85</v>
      </c>
    </row>
    <row r="41" spans="1:16" x14ac:dyDescent="0.35">
      <c r="A41" s="88" t="s">
        <v>198</v>
      </c>
      <c r="B41" s="32">
        <v>10</v>
      </c>
      <c r="C41" s="89">
        <v>4</v>
      </c>
      <c r="D41" s="89">
        <v>5</v>
      </c>
      <c r="E41" s="32">
        <v>3</v>
      </c>
    </row>
    <row r="42" spans="1:16" x14ac:dyDescent="0.35">
      <c r="A42" s="88" t="s">
        <v>199</v>
      </c>
      <c r="B42" s="32">
        <v>4</v>
      </c>
      <c r="C42" s="89">
        <v>3</v>
      </c>
      <c r="D42" s="89">
        <v>1</v>
      </c>
      <c r="E42" s="32">
        <v>0</v>
      </c>
    </row>
    <row r="44" spans="1:16" x14ac:dyDescent="0.3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5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4"/>
  <sheetViews>
    <sheetView zoomScale="60" zoomScaleNormal="60" workbookViewId="0">
      <selection activeCell="R22" sqref="R22"/>
    </sheetView>
  </sheetViews>
  <sheetFormatPr defaultRowHeight="14.5" x14ac:dyDescent="0.35"/>
  <cols>
    <col min="1" max="1" width="22.26953125" style="80" customWidth="1"/>
    <col min="2" max="2" width="9.1796875" customWidth="1"/>
    <col min="3" max="3" width="8.7265625" customWidth="1"/>
    <col min="4" max="4" width="7.7265625" customWidth="1"/>
    <col min="5" max="5" width="8.1796875" customWidth="1"/>
  </cols>
  <sheetData>
    <row r="1" spans="1:16" x14ac:dyDescent="0.35">
      <c r="A1" s="76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76" t="s">
        <v>171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</row>
    <row r="3" spans="1:16" x14ac:dyDescent="0.35">
      <c r="A3" s="76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</row>
    <row r="4" spans="1:16" x14ac:dyDescent="0.35">
      <c r="A4" s="76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</row>
    <row r="5" spans="1:16" x14ac:dyDescent="0.35">
      <c r="A5" s="76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</row>
    <row r="6" spans="1:16" x14ac:dyDescent="0.35">
      <c r="A6" s="76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</row>
    <row r="7" spans="1:16" x14ac:dyDescent="0.35">
      <c r="A7" s="76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</row>
    <row r="8" spans="1:16" s="37" customFormat="1" x14ac:dyDescent="0.35">
      <c r="A8" s="77" t="s">
        <v>172</v>
      </c>
      <c r="B8" s="75">
        <v>17</v>
      </c>
      <c r="C8" s="75">
        <v>54</v>
      </c>
      <c r="D8" s="75">
        <v>67</v>
      </c>
      <c r="E8" s="75">
        <v>19</v>
      </c>
      <c r="F8" s="75">
        <v>21</v>
      </c>
      <c r="G8" s="75">
        <v>95</v>
      </c>
      <c r="H8" s="75">
        <v>158</v>
      </c>
      <c r="I8" s="75">
        <v>177</v>
      </c>
      <c r="J8" s="75">
        <v>236</v>
      </c>
      <c r="K8" s="75">
        <v>293</v>
      </c>
      <c r="L8" s="75">
        <v>307</v>
      </c>
      <c r="M8" s="75">
        <v>352</v>
      </c>
      <c r="N8" s="75">
        <v>492</v>
      </c>
      <c r="O8" s="75">
        <v>687</v>
      </c>
      <c r="P8" s="75">
        <v>903</v>
      </c>
    </row>
    <row r="9" spans="1:16" s="37" customFormat="1" x14ac:dyDescent="0.35">
      <c r="A9" s="77" t="s">
        <v>2</v>
      </c>
      <c r="B9" s="75">
        <v>0</v>
      </c>
      <c r="C9" s="75">
        <v>7</v>
      </c>
      <c r="D9" s="75">
        <v>6</v>
      </c>
      <c r="E9" s="75">
        <v>1</v>
      </c>
      <c r="F9" s="75">
        <v>5</v>
      </c>
      <c r="G9" s="75">
        <v>4</v>
      </c>
      <c r="H9" s="75">
        <v>18</v>
      </c>
      <c r="I9" s="75">
        <v>14</v>
      </c>
      <c r="J9" s="75">
        <v>21</v>
      </c>
      <c r="K9" s="75">
        <v>19</v>
      </c>
      <c r="L9" s="75">
        <v>48</v>
      </c>
      <c r="M9" s="75">
        <v>34</v>
      </c>
      <c r="N9" s="75">
        <v>67</v>
      </c>
      <c r="O9" s="75">
        <v>65</v>
      </c>
      <c r="P9" s="75">
        <v>115</v>
      </c>
    </row>
    <row r="10" spans="1:16" s="37" customFormat="1" x14ac:dyDescent="0.35">
      <c r="A10" s="77" t="s">
        <v>3</v>
      </c>
      <c r="B10" s="97">
        <v>0</v>
      </c>
      <c r="C10" s="97">
        <v>2</v>
      </c>
      <c r="D10" s="97">
        <v>0</v>
      </c>
      <c r="E10" s="97">
        <v>0</v>
      </c>
      <c r="F10" s="97">
        <v>0</v>
      </c>
      <c r="G10" s="97">
        <v>1</v>
      </c>
      <c r="H10" s="97">
        <v>1</v>
      </c>
      <c r="I10" s="97">
        <v>1</v>
      </c>
      <c r="J10" s="97">
        <v>1</v>
      </c>
      <c r="K10" s="97">
        <v>1</v>
      </c>
      <c r="L10" s="97">
        <v>1</v>
      </c>
      <c r="M10" s="97">
        <v>3</v>
      </c>
      <c r="N10" s="97">
        <v>2</v>
      </c>
      <c r="O10" s="97">
        <v>7</v>
      </c>
      <c r="P10" s="97">
        <v>6</v>
      </c>
    </row>
    <row r="11" spans="1:16" s="37" customFormat="1" x14ac:dyDescent="0.35">
      <c r="A11" s="77" t="s">
        <v>4</v>
      </c>
      <c r="B11" s="97">
        <v>0</v>
      </c>
      <c r="C11" s="97">
        <v>0</v>
      </c>
      <c r="D11" s="97">
        <v>0</v>
      </c>
      <c r="E11" s="97">
        <v>0</v>
      </c>
      <c r="F11" s="97">
        <v>0</v>
      </c>
      <c r="G11" s="97">
        <v>0</v>
      </c>
      <c r="H11" s="97">
        <v>0</v>
      </c>
      <c r="I11" s="97">
        <v>0</v>
      </c>
      <c r="J11" s="97">
        <v>0</v>
      </c>
      <c r="K11" s="97">
        <v>0</v>
      </c>
      <c r="L11" s="97">
        <v>0</v>
      </c>
      <c r="M11" s="97">
        <v>0</v>
      </c>
      <c r="N11" s="97">
        <v>0</v>
      </c>
      <c r="O11" s="97">
        <v>0</v>
      </c>
      <c r="P11" s="97">
        <v>1</v>
      </c>
    </row>
    <row r="12" spans="1:16" s="37" customFormat="1" x14ac:dyDescent="0.35">
      <c r="A12" s="77" t="s">
        <v>5</v>
      </c>
      <c r="B12" s="75">
        <v>20</v>
      </c>
      <c r="C12" s="75">
        <v>47</v>
      </c>
      <c r="D12" s="75">
        <v>45</v>
      </c>
      <c r="E12" s="75">
        <v>9</v>
      </c>
      <c r="F12" s="75">
        <v>20</v>
      </c>
      <c r="G12" s="75">
        <v>60</v>
      </c>
      <c r="H12" s="75">
        <v>110</v>
      </c>
      <c r="I12" s="75">
        <v>154</v>
      </c>
      <c r="J12" s="75">
        <v>184</v>
      </c>
      <c r="K12" s="75">
        <v>237</v>
      </c>
      <c r="L12" s="75">
        <v>260</v>
      </c>
      <c r="M12" s="75">
        <v>317</v>
      </c>
      <c r="N12" s="75">
        <v>408</v>
      </c>
      <c r="O12" s="75">
        <v>643</v>
      </c>
      <c r="P12" s="75">
        <v>805</v>
      </c>
    </row>
    <row r="13" spans="1:16" s="37" customFormat="1" x14ac:dyDescent="0.35">
      <c r="A13" s="77" t="s">
        <v>6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1</v>
      </c>
      <c r="J13" s="75">
        <v>0</v>
      </c>
      <c r="K13" s="75">
        <v>3</v>
      </c>
      <c r="L13" s="75">
        <v>4</v>
      </c>
      <c r="M13" s="75">
        <v>8</v>
      </c>
      <c r="N13" s="75">
        <v>11</v>
      </c>
      <c r="O13" s="75">
        <v>19</v>
      </c>
      <c r="P13" s="75">
        <v>16</v>
      </c>
    </row>
    <row r="14" spans="1:16" x14ac:dyDescent="0.35">
      <c r="A14" s="76" t="s">
        <v>7</v>
      </c>
      <c r="B14" s="4">
        <v>28</v>
      </c>
      <c r="C14" s="4">
        <v>33</v>
      </c>
      <c r="D14" s="4">
        <v>40</v>
      </c>
      <c r="E14" s="4">
        <v>41</v>
      </c>
      <c r="F14" s="3">
        <v>44</v>
      </c>
      <c r="G14" s="3">
        <v>48</v>
      </c>
      <c r="H14" s="3">
        <v>53</v>
      </c>
      <c r="I14" s="3">
        <v>55</v>
      </c>
      <c r="J14" s="3">
        <v>59</v>
      </c>
      <c r="K14" s="3">
        <v>62</v>
      </c>
      <c r="L14" s="3">
        <v>63</v>
      </c>
      <c r="M14" s="3">
        <v>66</v>
      </c>
      <c r="N14" s="3">
        <v>67</v>
      </c>
      <c r="O14" s="3">
        <v>61</v>
      </c>
      <c r="P14" s="3">
        <v>64</v>
      </c>
    </row>
    <row r="15" spans="1:16" x14ac:dyDescent="0.35">
      <c r="A15" s="76" t="s">
        <v>13</v>
      </c>
      <c r="B15" s="67" t="s">
        <v>114</v>
      </c>
      <c r="C15" s="67" t="s">
        <v>115</v>
      </c>
      <c r="D15" s="67" t="s">
        <v>116</v>
      </c>
      <c r="E15" s="2"/>
      <c r="I15" s="3"/>
      <c r="J15" s="3"/>
      <c r="K15" s="3"/>
      <c r="L15" s="3"/>
      <c r="M15" s="3"/>
      <c r="N15" s="3"/>
      <c r="O15" s="3"/>
      <c r="P15" s="3"/>
    </row>
    <row r="16" spans="1:16" x14ac:dyDescent="0.35">
      <c r="A16" s="85" t="s">
        <v>46</v>
      </c>
      <c r="B16" s="32">
        <v>0.15789473684210525</v>
      </c>
      <c r="C16" s="32">
        <v>9.6045197740112997E-2</v>
      </c>
      <c r="D16" s="32">
        <v>0.10194174757281553</v>
      </c>
      <c r="E16" s="32">
        <v>6.2068965517241378E-2</v>
      </c>
      <c r="F16" s="32">
        <v>8.4112149532710276E-2</v>
      </c>
      <c r="G16" s="32">
        <v>8.6705202312138727E-2</v>
      </c>
      <c r="H16" s="32">
        <v>9.7891566265060237E-2</v>
      </c>
      <c r="I16" s="32">
        <v>9.186602870813397E-2</v>
      </c>
      <c r="J16" s="32">
        <v>0.10918114143920596</v>
      </c>
      <c r="K16" s="32">
        <v>0.16685330347144456</v>
      </c>
      <c r="L16" s="32">
        <v>0.15845824411134904</v>
      </c>
      <c r="M16" s="32">
        <v>0.13162705667276051</v>
      </c>
      <c r="N16" s="32">
        <v>0.153954802259887</v>
      </c>
      <c r="O16" s="32">
        <v>0.14489650249821556</v>
      </c>
      <c r="P16" s="32">
        <v>0.13447971781305115</v>
      </c>
    </row>
    <row r="17" spans="1:16" x14ac:dyDescent="0.35">
      <c r="A17" s="85" t="s">
        <v>17</v>
      </c>
      <c r="B17" s="3">
        <f>2521/20559</f>
        <v>0.12262269565640352</v>
      </c>
      <c r="C17" s="5"/>
      <c r="D17" s="5"/>
      <c r="E17" s="5"/>
      <c r="F17" s="7"/>
      <c r="G17" s="7"/>
      <c r="H17" s="7"/>
      <c r="I17" s="7"/>
      <c r="J17" s="7"/>
      <c r="K17" s="7"/>
      <c r="L17" s="7"/>
      <c r="M17" s="7"/>
      <c r="N17" s="8"/>
      <c r="O17" s="7"/>
      <c r="P17" s="7"/>
    </row>
    <row r="18" spans="1:16" x14ac:dyDescent="0.35">
      <c r="A18" s="85" t="s">
        <v>43</v>
      </c>
      <c r="B18" s="31">
        <v>0.16300000000000001</v>
      </c>
      <c r="C18" s="31">
        <v>0.16300000000000001</v>
      </c>
      <c r="D18" s="31">
        <v>0.16300000000000001</v>
      </c>
      <c r="E18" s="28">
        <v>0.16300000000000001</v>
      </c>
      <c r="F18" s="27">
        <f>E18-0.0075</f>
        <v>0.1555</v>
      </c>
      <c r="G18" s="27">
        <f t="shared" ref="G18:L18" si="0">F18-0.0075</f>
        <v>0.14799999999999999</v>
      </c>
      <c r="H18" s="27">
        <f t="shared" si="0"/>
        <v>0.14049999999999999</v>
      </c>
      <c r="I18" s="27">
        <f t="shared" si="0"/>
        <v>0.13299999999999998</v>
      </c>
      <c r="J18" s="27">
        <f t="shared" si="0"/>
        <v>0.12549999999999997</v>
      </c>
      <c r="K18" s="27">
        <f t="shared" si="0"/>
        <v>0.11799999999999997</v>
      </c>
      <c r="L18" s="27">
        <f t="shared" si="0"/>
        <v>0.11049999999999996</v>
      </c>
      <c r="M18" s="28">
        <v>0.10299999999999999</v>
      </c>
      <c r="N18" s="28">
        <v>0.10299999999999999</v>
      </c>
      <c r="O18" s="28">
        <v>0.10299999999999999</v>
      </c>
      <c r="P18" s="28">
        <v>0.10299999999999999</v>
      </c>
    </row>
    <row r="19" spans="1:16" x14ac:dyDescent="0.35">
      <c r="A19" s="85" t="s">
        <v>44</v>
      </c>
      <c r="B19" s="31">
        <v>1.6E-2</v>
      </c>
      <c r="C19" s="31">
        <v>1.6E-2</v>
      </c>
      <c r="D19" s="31">
        <v>1.6E-2</v>
      </c>
      <c r="E19" s="30">
        <v>1.6E-2</v>
      </c>
      <c r="F19" s="27">
        <f>E19-0.0011</f>
        <v>1.49E-2</v>
      </c>
      <c r="G19" s="27">
        <f t="shared" ref="G19:L19" si="1">F19-0.0011</f>
        <v>1.38E-2</v>
      </c>
      <c r="H19" s="27">
        <f t="shared" si="1"/>
        <v>1.2699999999999999E-2</v>
      </c>
      <c r="I19" s="27">
        <f t="shared" si="1"/>
        <v>1.1599999999999999E-2</v>
      </c>
      <c r="J19" s="27">
        <f t="shared" si="1"/>
        <v>1.0499999999999999E-2</v>
      </c>
      <c r="K19" s="27">
        <f t="shared" si="1"/>
        <v>9.3999999999999986E-3</v>
      </c>
      <c r="L19" s="27">
        <f t="shared" si="1"/>
        <v>8.2999999999999984E-3</v>
      </c>
      <c r="M19" s="30">
        <v>7.0000000000000001E-3</v>
      </c>
      <c r="N19" s="30">
        <v>7.0000000000000001E-3</v>
      </c>
      <c r="O19" s="30">
        <v>7.0000000000000001E-3</v>
      </c>
      <c r="P19" s="30">
        <v>7.0000000000000001E-3</v>
      </c>
    </row>
    <row r="20" spans="1:16" x14ac:dyDescent="0.35">
      <c r="A20" s="85" t="s">
        <v>45</v>
      </c>
      <c r="B20" s="31">
        <v>9.8000000000000004E-2</v>
      </c>
      <c r="C20" s="31">
        <v>9.8000000000000004E-2</v>
      </c>
      <c r="D20" s="31">
        <v>9.8000000000000004E-2</v>
      </c>
      <c r="E20" s="29">
        <v>9.8000000000000004E-2</v>
      </c>
      <c r="F20" s="27">
        <f>E20+0.00038</f>
        <v>9.8380000000000009E-2</v>
      </c>
      <c r="G20" s="27">
        <f t="shared" ref="G20:L20" si="2">F20+0.00038</f>
        <v>9.8760000000000014E-2</v>
      </c>
      <c r="H20" s="27">
        <f t="shared" si="2"/>
        <v>9.914000000000002E-2</v>
      </c>
      <c r="I20" s="27">
        <f t="shared" si="2"/>
        <v>9.9520000000000025E-2</v>
      </c>
      <c r="J20" s="27">
        <f t="shared" si="2"/>
        <v>9.990000000000003E-2</v>
      </c>
      <c r="K20" s="27">
        <f t="shared" si="2"/>
        <v>0.10028000000000004</v>
      </c>
      <c r="L20" s="27">
        <f t="shared" si="2"/>
        <v>0.10066000000000004</v>
      </c>
      <c r="M20" s="29">
        <v>0.10100000000000001</v>
      </c>
      <c r="N20" s="29">
        <v>0.10100000000000001</v>
      </c>
      <c r="O20" s="29">
        <v>0.10100000000000001</v>
      </c>
      <c r="P20" s="29">
        <v>0.10100000000000001</v>
      </c>
    </row>
    <row r="21" spans="1:16" s="13" customFormat="1" x14ac:dyDescent="0.35">
      <c r="A21" s="79" t="s">
        <v>18</v>
      </c>
      <c r="B21" s="12">
        <v>0.51700000000000002</v>
      </c>
    </row>
    <row r="22" spans="1:16" x14ac:dyDescent="0.35">
      <c r="A22" s="81" t="s">
        <v>175</v>
      </c>
      <c r="B22" s="82">
        <v>513</v>
      </c>
      <c r="C22" s="25">
        <v>1161</v>
      </c>
      <c r="D22" s="66"/>
    </row>
    <row r="23" spans="1:16" x14ac:dyDescent="0.35">
      <c r="A23" s="81" t="s">
        <v>176</v>
      </c>
      <c r="B23" s="82">
        <v>32197</v>
      </c>
      <c r="C23" s="25">
        <v>36533</v>
      </c>
      <c r="D23" s="66"/>
    </row>
    <row r="24" spans="1:16" x14ac:dyDescent="0.35">
      <c r="A24" s="81" t="s">
        <v>173</v>
      </c>
      <c r="B24" s="82">
        <v>18038</v>
      </c>
      <c r="C24" s="25">
        <v>20559</v>
      </c>
      <c r="D24" s="25"/>
    </row>
    <row r="25" spans="1:16" s="37" customFormat="1" x14ac:dyDescent="0.35">
      <c r="A25" s="81" t="s">
        <v>174</v>
      </c>
      <c r="B25" s="82">
        <v>631</v>
      </c>
      <c r="C25" s="25">
        <v>21755</v>
      </c>
      <c r="D25" s="27"/>
      <c r="E25" s="25"/>
      <c r="F25" s="25"/>
      <c r="G25" s="25"/>
      <c r="H25" s="25"/>
      <c r="I25" s="25"/>
    </row>
    <row r="26" spans="1:16" s="37" customFormat="1" x14ac:dyDescent="0.35">
      <c r="A26" s="81" t="s">
        <v>177</v>
      </c>
      <c r="B26" s="82">
        <v>78</v>
      </c>
      <c r="C26" s="25">
        <v>631</v>
      </c>
      <c r="D26" s="27"/>
      <c r="E26" s="25"/>
      <c r="F26" s="25"/>
      <c r="G26" s="25"/>
      <c r="H26" s="25"/>
      <c r="I26" s="25"/>
    </row>
    <row r="27" spans="1:16" s="37" customFormat="1" x14ac:dyDescent="0.35">
      <c r="A27" s="81" t="s">
        <v>178</v>
      </c>
      <c r="B27" s="82">
        <v>1873</v>
      </c>
      <c r="C27" s="25">
        <v>21124</v>
      </c>
      <c r="D27" s="27"/>
      <c r="E27" s="25"/>
      <c r="F27" s="25"/>
      <c r="G27" s="25"/>
      <c r="H27" s="25"/>
      <c r="I27" s="25"/>
    </row>
    <row r="28" spans="1:16" s="37" customFormat="1" x14ac:dyDescent="0.35">
      <c r="A28" s="81" t="s">
        <v>179</v>
      </c>
      <c r="B28" s="82">
        <v>1548</v>
      </c>
      <c r="C28" s="25">
        <v>18038</v>
      </c>
      <c r="D28" s="27"/>
      <c r="E28" s="25"/>
      <c r="F28" s="25"/>
      <c r="G28" s="25"/>
      <c r="H28" s="25"/>
      <c r="I28" s="25"/>
    </row>
    <row r="29" spans="1:16" s="37" customFormat="1" x14ac:dyDescent="0.35">
      <c r="A29" s="81" t="s">
        <v>180</v>
      </c>
      <c r="B29" s="82">
        <v>267</v>
      </c>
      <c r="C29" s="25">
        <v>2521</v>
      </c>
      <c r="D29" s="27"/>
      <c r="E29" s="25"/>
      <c r="F29" s="25"/>
      <c r="G29" s="25"/>
      <c r="H29" s="25"/>
      <c r="I29" s="25"/>
    </row>
    <row r="30" spans="1:16" s="37" customFormat="1" x14ac:dyDescent="0.35">
      <c r="A30" s="81" t="s">
        <v>181</v>
      </c>
      <c r="B30" s="32">
        <v>0.13504819556454245</v>
      </c>
      <c r="C30" s="25"/>
      <c r="D30" s="27"/>
      <c r="E30" s="25"/>
      <c r="F30" s="25"/>
      <c r="G30" s="25"/>
      <c r="H30" s="25"/>
      <c r="I30" s="25"/>
    </row>
    <row r="31" spans="1:16" s="37" customFormat="1" x14ac:dyDescent="0.35">
      <c r="A31" s="81" t="s">
        <v>182</v>
      </c>
      <c r="B31" s="32">
        <v>8.6445821528426642E-2</v>
      </c>
      <c r="C31" s="25"/>
      <c r="D31" s="27"/>
      <c r="E31" s="25"/>
      <c r="F31" s="25"/>
      <c r="G31" s="25"/>
      <c r="H31" s="25"/>
      <c r="I31" s="25"/>
    </row>
    <row r="32" spans="1:16" s="37" customFormat="1" x14ac:dyDescent="0.35">
      <c r="A32" s="81" t="s">
        <v>183</v>
      </c>
      <c r="B32" s="86">
        <v>0.10942912934454051</v>
      </c>
      <c r="C32" s="25"/>
      <c r="D32" s="27"/>
      <c r="E32" s="25"/>
      <c r="F32" s="25"/>
      <c r="G32" s="25"/>
      <c r="H32" s="25"/>
      <c r="I32" s="25"/>
    </row>
    <row r="33" spans="1:16" x14ac:dyDescent="0.35">
      <c r="A33" s="76" t="s">
        <v>117</v>
      </c>
      <c r="B33">
        <v>460604.88532644062</v>
      </c>
      <c r="C33">
        <v>470353.66705525119</v>
      </c>
      <c r="D33">
        <v>480091.785597938</v>
      </c>
      <c r="E33">
        <v>515773.3256752353</v>
      </c>
      <c r="F33">
        <v>532338.08048506302</v>
      </c>
      <c r="G33">
        <v>554359.31211622362</v>
      </c>
      <c r="H33">
        <v>559406.16486117139</v>
      </c>
      <c r="I33">
        <v>566653.80459928559</v>
      </c>
      <c r="J33">
        <v>612010.42755695095</v>
      </c>
      <c r="K33">
        <v>627589.42316018871</v>
      </c>
      <c r="L33">
        <v>658776.53509281971</v>
      </c>
      <c r="M33">
        <v>659194.42940306244</v>
      </c>
      <c r="N33">
        <v>642170.25127604161</v>
      </c>
      <c r="O33">
        <v>605424.38323379483</v>
      </c>
      <c r="P33">
        <v>601125.34271259001</v>
      </c>
    </row>
    <row r="34" spans="1:16" x14ac:dyDescent="0.35">
      <c r="A34" s="77" t="s">
        <v>191</v>
      </c>
      <c r="B34" s="32" t="s">
        <v>14</v>
      </c>
      <c r="C34" s="32" t="s">
        <v>15</v>
      </c>
      <c r="D34" s="32" t="s">
        <v>16</v>
      </c>
      <c r="E34" s="90" t="s">
        <v>200</v>
      </c>
    </row>
    <row r="35" spans="1:16" x14ac:dyDescent="0.35">
      <c r="A35" s="88" t="s">
        <v>192</v>
      </c>
      <c r="B35" s="89">
        <f>71+54</f>
        <v>125</v>
      </c>
      <c r="C35" s="89">
        <v>3</v>
      </c>
      <c r="D35" s="89">
        <f>145+66</f>
        <v>211</v>
      </c>
      <c r="E35" s="37">
        <f>636+300</f>
        <v>936</v>
      </c>
    </row>
    <row r="36" spans="1:16" x14ac:dyDescent="0.35">
      <c r="A36" s="88" t="s">
        <v>193</v>
      </c>
      <c r="B36" s="89">
        <f>2+3</f>
        <v>5</v>
      </c>
      <c r="C36" s="89">
        <v>0</v>
      </c>
      <c r="D36" s="89">
        <v>10</v>
      </c>
      <c r="E36" s="32">
        <f>22+11</f>
        <v>33</v>
      </c>
    </row>
    <row r="37" spans="1:16" x14ac:dyDescent="0.35">
      <c r="A37" s="88" t="s">
        <v>195</v>
      </c>
      <c r="B37" s="82">
        <f>19+9</f>
        <v>28</v>
      </c>
      <c r="C37" s="89">
        <v>2</v>
      </c>
      <c r="D37" s="89">
        <v>10</v>
      </c>
      <c r="E37" s="32">
        <v>9</v>
      </c>
    </row>
    <row r="38" spans="1:16" x14ac:dyDescent="0.35">
      <c r="A38" s="88" t="s">
        <v>194</v>
      </c>
      <c r="B38" s="82">
        <v>2</v>
      </c>
      <c r="C38" s="89">
        <v>0</v>
      </c>
      <c r="D38" s="89">
        <v>0</v>
      </c>
      <c r="E38" s="32">
        <v>0</v>
      </c>
    </row>
    <row r="39" spans="1:16" x14ac:dyDescent="0.35">
      <c r="A39" s="88" t="s">
        <v>196</v>
      </c>
      <c r="B39" s="89">
        <v>909</v>
      </c>
      <c r="C39" s="89">
        <v>24</v>
      </c>
      <c r="D39" s="89">
        <v>2299</v>
      </c>
      <c r="E39" s="91">
        <v>10499</v>
      </c>
    </row>
    <row r="40" spans="1:16" x14ac:dyDescent="0.35">
      <c r="A40" s="88" t="s">
        <v>197</v>
      </c>
      <c r="B40" s="89">
        <v>34</v>
      </c>
      <c r="C40" s="89">
        <v>3</v>
      </c>
      <c r="D40" s="89">
        <v>77</v>
      </c>
      <c r="E40" s="91">
        <v>260</v>
      </c>
    </row>
    <row r="41" spans="1:16" x14ac:dyDescent="0.35">
      <c r="A41" s="88" t="s">
        <v>198</v>
      </c>
      <c r="B41" s="32">
        <v>124</v>
      </c>
      <c r="C41" s="89">
        <v>12</v>
      </c>
      <c r="D41" s="89">
        <v>29</v>
      </c>
      <c r="E41" s="32">
        <v>60</v>
      </c>
    </row>
    <row r="42" spans="1:16" x14ac:dyDescent="0.35">
      <c r="A42" s="88" t="s">
        <v>199</v>
      </c>
      <c r="B42" s="32">
        <v>8</v>
      </c>
      <c r="C42" s="89">
        <v>0</v>
      </c>
      <c r="D42" s="89">
        <v>3</v>
      </c>
      <c r="E42" s="32">
        <v>4</v>
      </c>
    </row>
    <row r="43" spans="1:16" x14ac:dyDescent="0.3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4F6E-ADED-482F-8CE6-830729D726B5}">
  <dimension ref="A1:AN42"/>
  <sheetViews>
    <sheetView tabSelected="1" topLeftCell="A4" zoomScale="55" zoomScaleNormal="55" workbookViewId="0">
      <selection activeCell="I38" sqref="I38"/>
    </sheetView>
  </sheetViews>
  <sheetFormatPr defaultRowHeight="14.5" x14ac:dyDescent="0.35"/>
  <cols>
    <col min="1" max="1" width="44" bestFit="1" customWidth="1"/>
  </cols>
  <sheetData>
    <row r="1" spans="1:40" s="37" customFormat="1" x14ac:dyDescent="0.35">
      <c r="A1" s="76" t="s">
        <v>0</v>
      </c>
      <c r="B1" s="74">
        <v>2000</v>
      </c>
      <c r="C1" s="74">
        <v>2001</v>
      </c>
      <c r="D1" s="74">
        <v>2002</v>
      </c>
      <c r="E1" s="74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</row>
    <row r="2" spans="1:40" x14ac:dyDescent="0.35">
      <c r="A2" s="76" t="s">
        <v>171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</row>
    <row r="3" spans="1:40" x14ac:dyDescent="0.35">
      <c r="A3" s="76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  <c r="Q3" s="37"/>
      <c r="R3" s="37"/>
    </row>
    <row r="4" spans="1:40" x14ac:dyDescent="0.35">
      <c r="A4" s="76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  <c r="Q4" s="37"/>
      <c r="R4" s="37"/>
    </row>
    <row r="5" spans="1:40" x14ac:dyDescent="0.35">
      <c r="A5" s="76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</row>
    <row r="6" spans="1:40" x14ac:dyDescent="0.35">
      <c r="A6" s="76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</row>
    <row r="7" spans="1:40" x14ac:dyDescent="0.35">
      <c r="A7" s="76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</row>
    <row r="8" spans="1:40" x14ac:dyDescent="0.35">
      <c r="A8" s="77" t="s">
        <v>172</v>
      </c>
      <c r="B8" s="97">
        <v>3</v>
      </c>
      <c r="C8" s="97">
        <v>21</v>
      </c>
      <c r="D8" s="97">
        <v>30</v>
      </c>
      <c r="E8" s="97">
        <v>9</v>
      </c>
      <c r="F8" s="97">
        <v>8</v>
      </c>
      <c r="G8" s="97">
        <v>42</v>
      </c>
      <c r="H8" s="97">
        <v>106</v>
      </c>
      <c r="I8" s="97">
        <v>90</v>
      </c>
      <c r="J8" s="97">
        <v>133</v>
      </c>
      <c r="K8" s="97">
        <v>126</v>
      </c>
      <c r="L8" s="97">
        <v>125</v>
      </c>
      <c r="M8" s="97">
        <v>147</v>
      </c>
      <c r="N8" s="97">
        <v>165</v>
      </c>
      <c r="O8" s="97">
        <v>248</v>
      </c>
      <c r="P8" s="97">
        <v>314</v>
      </c>
      <c r="Q8" s="37"/>
      <c r="R8" s="37"/>
    </row>
    <row r="9" spans="1:40" x14ac:dyDescent="0.35">
      <c r="A9" s="77" t="s">
        <v>2</v>
      </c>
      <c r="B9" s="97">
        <v>1</v>
      </c>
      <c r="C9" s="97">
        <v>1</v>
      </c>
      <c r="D9" s="97">
        <v>0</v>
      </c>
      <c r="E9" s="97">
        <v>1</v>
      </c>
      <c r="F9" s="97">
        <v>0</v>
      </c>
      <c r="G9" s="97">
        <v>1</v>
      </c>
      <c r="H9" s="97">
        <v>8</v>
      </c>
      <c r="I9" s="97">
        <v>18</v>
      </c>
      <c r="J9" s="97">
        <v>14</v>
      </c>
      <c r="K9" s="97">
        <v>8</v>
      </c>
      <c r="L9" s="97">
        <v>14</v>
      </c>
      <c r="M9" s="97">
        <v>15</v>
      </c>
      <c r="N9" s="97">
        <v>13</v>
      </c>
      <c r="O9" s="97">
        <v>22</v>
      </c>
      <c r="P9" s="97">
        <v>31</v>
      </c>
      <c r="Q9" s="37"/>
      <c r="R9" s="37"/>
    </row>
    <row r="10" spans="1:40" x14ac:dyDescent="0.35">
      <c r="A10" s="77" t="s">
        <v>3</v>
      </c>
      <c r="B10" s="97">
        <v>0</v>
      </c>
      <c r="C10" s="97">
        <v>0</v>
      </c>
      <c r="D10" s="97">
        <v>0</v>
      </c>
      <c r="E10" s="97">
        <v>0</v>
      </c>
      <c r="F10" s="97">
        <v>0</v>
      </c>
      <c r="G10" s="97">
        <v>0</v>
      </c>
      <c r="H10" s="97">
        <v>2</v>
      </c>
      <c r="I10" s="97">
        <v>0</v>
      </c>
      <c r="J10" s="97">
        <v>0</v>
      </c>
      <c r="K10" s="97">
        <v>0</v>
      </c>
      <c r="L10" s="97">
        <v>0</v>
      </c>
      <c r="M10" s="97">
        <v>1</v>
      </c>
      <c r="N10" s="97">
        <v>0</v>
      </c>
      <c r="O10" s="97">
        <v>1</v>
      </c>
      <c r="P10" s="97">
        <v>2</v>
      </c>
      <c r="Q10" s="37"/>
      <c r="R10" s="37"/>
    </row>
    <row r="11" spans="1:40" x14ac:dyDescent="0.35">
      <c r="A11" s="77" t="s">
        <v>4</v>
      </c>
      <c r="B11" s="97">
        <v>0</v>
      </c>
      <c r="C11" s="97">
        <v>0</v>
      </c>
      <c r="D11" s="97">
        <v>0</v>
      </c>
      <c r="E11" s="97">
        <v>0</v>
      </c>
      <c r="F11" s="97">
        <v>0</v>
      </c>
      <c r="G11" s="97">
        <v>0</v>
      </c>
      <c r="H11" s="97">
        <v>0</v>
      </c>
      <c r="I11" s="97">
        <v>0</v>
      </c>
      <c r="J11" s="97">
        <v>0</v>
      </c>
      <c r="K11" s="97">
        <v>0</v>
      </c>
      <c r="L11" s="97">
        <v>0</v>
      </c>
      <c r="M11" s="97">
        <v>0</v>
      </c>
      <c r="N11" s="97">
        <v>0</v>
      </c>
      <c r="O11" s="97">
        <v>0</v>
      </c>
      <c r="P11" s="97">
        <v>0</v>
      </c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</row>
    <row r="12" spans="1:40" x14ac:dyDescent="0.35">
      <c r="A12" s="77" t="s">
        <v>5</v>
      </c>
      <c r="B12" s="97">
        <v>7</v>
      </c>
      <c r="C12" s="97">
        <v>24</v>
      </c>
      <c r="D12" s="97">
        <v>42</v>
      </c>
      <c r="E12" s="97">
        <v>10</v>
      </c>
      <c r="F12" s="97">
        <v>8</v>
      </c>
      <c r="G12" s="97">
        <v>46</v>
      </c>
      <c r="H12" s="97">
        <v>103</v>
      </c>
      <c r="I12" s="97">
        <v>137</v>
      </c>
      <c r="J12" s="97">
        <v>168</v>
      </c>
      <c r="K12" s="97">
        <v>169</v>
      </c>
      <c r="L12" s="97">
        <v>208</v>
      </c>
      <c r="M12" s="97">
        <v>184</v>
      </c>
      <c r="N12" s="97">
        <v>213</v>
      </c>
      <c r="O12" s="97">
        <v>400</v>
      </c>
      <c r="P12" s="97">
        <v>459</v>
      </c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</row>
    <row r="13" spans="1:40" x14ac:dyDescent="0.35">
      <c r="A13" s="77" t="s">
        <v>6</v>
      </c>
      <c r="B13" s="97">
        <v>0</v>
      </c>
      <c r="C13" s="97">
        <v>0</v>
      </c>
      <c r="D13" s="97">
        <v>0</v>
      </c>
      <c r="E13" s="97">
        <v>0</v>
      </c>
      <c r="F13" s="97">
        <v>0</v>
      </c>
      <c r="G13" s="97">
        <v>0</v>
      </c>
      <c r="H13" s="97">
        <v>0</v>
      </c>
      <c r="I13" s="97">
        <v>1</v>
      </c>
      <c r="J13" s="97">
        <v>1</v>
      </c>
      <c r="K13" s="97">
        <v>0</v>
      </c>
      <c r="L13" s="97">
        <v>1</v>
      </c>
      <c r="M13" s="97">
        <v>1</v>
      </c>
      <c r="N13" s="97">
        <v>2</v>
      </c>
      <c r="O13" s="97">
        <v>6</v>
      </c>
      <c r="P13" s="97">
        <v>6</v>
      </c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</row>
    <row r="14" spans="1:40" x14ac:dyDescent="0.35">
      <c r="A14" s="76" t="s">
        <v>7</v>
      </c>
      <c r="B14" s="37">
        <v>28</v>
      </c>
      <c r="C14" s="37">
        <v>33</v>
      </c>
      <c r="D14" s="37">
        <v>40</v>
      </c>
      <c r="E14" s="37">
        <v>41</v>
      </c>
      <c r="F14" s="37">
        <v>44</v>
      </c>
      <c r="G14" s="37">
        <v>48</v>
      </c>
      <c r="H14" s="37">
        <v>53</v>
      </c>
      <c r="I14" s="37">
        <v>55</v>
      </c>
      <c r="J14" s="37">
        <v>59</v>
      </c>
      <c r="K14" s="37">
        <v>62</v>
      </c>
      <c r="L14" s="37">
        <v>63</v>
      </c>
      <c r="M14" s="37">
        <v>66</v>
      </c>
      <c r="N14" s="37">
        <v>67</v>
      </c>
      <c r="O14" s="37">
        <v>61</v>
      </c>
      <c r="P14" s="37">
        <v>64</v>
      </c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</row>
    <row r="15" spans="1:40" x14ac:dyDescent="0.35">
      <c r="A15" s="76" t="s">
        <v>13</v>
      </c>
      <c r="B15" s="67" t="s">
        <v>114</v>
      </c>
      <c r="C15" s="67" t="s">
        <v>115</v>
      </c>
      <c r="D15" s="67" t="s">
        <v>116</v>
      </c>
      <c r="E15" s="38"/>
      <c r="F15" s="37"/>
      <c r="G15" s="37"/>
      <c r="H15" s="37"/>
      <c r="I15" s="37"/>
      <c r="J15" s="38"/>
      <c r="K15" s="38"/>
      <c r="L15" s="38"/>
      <c r="M15" s="38"/>
      <c r="N15" s="38"/>
      <c r="O15" s="38"/>
      <c r="P15" s="38"/>
    </row>
    <row r="16" spans="1:40" x14ac:dyDescent="0.35">
      <c r="A16" s="78" t="s">
        <v>203</v>
      </c>
      <c r="B16" s="32">
        <v>0.10526315789473684</v>
      </c>
      <c r="C16" s="32">
        <v>0.16949152542372881</v>
      </c>
      <c r="D16" s="32">
        <v>0.18932038834951456</v>
      </c>
      <c r="E16" s="32">
        <v>0.2</v>
      </c>
      <c r="F16" s="32">
        <v>0.16822429906542055</v>
      </c>
      <c r="G16" s="32">
        <v>0.1791907514450867</v>
      </c>
      <c r="H16" s="32">
        <v>0.21536144578313254</v>
      </c>
      <c r="I16" s="32">
        <v>0.21913875598086124</v>
      </c>
      <c r="J16" s="32">
        <v>0.18176178660049627</v>
      </c>
      <c r="K16" s="32">
        <v>0.22844344904815231</v>
      </c>
      <c r="L16" s="32">
        <v>0.20556745182012848</v>
      </c>
      <c r="M16" s="32">
        <v>0.13893967093235832</v>
      </c>
      <c r="N16" s="32">
        <v>0.1327683615819209</v>
      </c>
      <c r="O16" s="32">
        <v>0.13347608850820841</v>
      </c>
      <c r="P16" s="32">
        <v>0.1371252204585538</v>
      </c>
    </row>
    <row r="17" spans="1:16" x14ac:dyDescent="0.35">
      <c r="A17" s="78" t="s">
        <v>17</v>
      </c>
      <c r="B17" s="36">
        <f>1468/10736</f>
        <v>0.13673621460506707</v>
      </c>
      <c r="C17" s="99" t="s">
        <v>202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8"/>
      <c r="O17" s="36"/>
      <c r="P17" s="36"/>
    </row>
    <row r="18" spans="1:16" x14ac:dyDescent="0.35">
      <c r="A18" s="78" t="s">
        <v>207</v>
      </c>
      <c r="B18" s="36">
        <v>0.106</v>
      </c>
      <c r="C18" s="36">
        <v>0.106</v>
      </c>
      <c r="D18" s="36">
        <v>0.106</v>
      </c>
      <c r="E18" s="36">
        <v>0.106</v>
      </c>
      <c r="F18" s="36">
        <v>0.106</v>
      </c>
      <c r="G18" s="36">
        <v>0.106</v>
      </c>
      <c r="H18" s="36">
        <v>0.106</v>
      </c>
      <c r="I18" s="36">
        <v>0.106</v>
      </c>
      <c r="J18" s="36">
        <v>0.106</v>
      </c>
      <c r="K18" s="36">
        <v>0.106</v>
      </c>
      <c r="L18" s="36">
        <v>0.106</v>
      </c>
      <c r="M18" s="36">
        <v>0.106</v>
      </c>
      <c r="N18" s="36">
        <v>0.106</v>
      </c>
      <c r="O18" s="36">
        <v>0.106</v>
      </c>
      <c r="P18" s="38">
        <v>0.106</v>
      </c>
    </row>
    <row r="19" spans="1:16" x14ac:dyDescent="0.35">
      <c r="A19" s="78" t="s">
        <v>208</v>
      </c>
      <c r="B19" s="36">
        <v>6.6000000000000003E-2</v>
      </c>
      <c r="C19" s="36">
        <v>6.6000000000000003E-2</v>
      </c>
      <c r="D19" s="36">
        <v>6.6000000000000003E-2</v>
      </c>
      <c r="E19" s="36">
        <v>6.6000000000000003E-2</v>
      </c>
      <c r="F19" s="36">
        <v>6.6000000000000003E-2</v>
      </c>
      <c r="G19" s="36">
        <v>6.6000000000000003E-2</v>
      </c>
      <c r="H19" s="36">
        <v>6.6000000000000003E-2</v>
      </c>
      <c r="I19" s="36">
        <v>6.6000000000000003E-2</v>
      </c>
      <c r="J19" s="36">
        <v>6.6000000000000003E-2</v>
      </c>
      <c r="K19" s="36">
        <v>6.6000000000000003E-2</v>
      </c>
      <c r="L19" s="36">
        <v>6.6000000000000003E-2</v>
      </c>
      <c r="M19" s="36">
        <v>6.6000000000000003E-2</v>
      </c>
      <c r="N19" s="36">
        <v>6.6000000000000003E-2</v>
      </c>
      <c r="O19" s="36">
        <v>6.6000000000000003E-2</v>
      </c>
      <c r="P19" s="38">
        <v>6.6000000000000003E-2</v>
      </c>
    </row>
    <row r="20" spans="1:16" x14ac:dyDescent="0.35">
      <c r="A20" s="78" t="s">
        <v>209</v>
      </c>
      <c r="B20" s="36">
        <v>8.0000000000000002E-3</v>
      </c>
      <c r="C20" s="36">
        <v>8.0000000000000002E-3</v>
      </c>
      <c r="D20" s="36">
        <v>8.0000000000000002E-3</v>
      </c>
      <c r="E20" s="36">
        <v>8.0000000000000002E-3</v>
      </c>
      <c r="F20" s="36">
        <v>8.0000000000000002E-3</v>
      </c>
      <c r="G20" s="36">
        <v>8.0000000000000002E-3</v>
      </c>
      <c r="H20" s="36">
        <v>8.0000000000000002E-3</v>
      </c>
      <c r="I20" s="36">
        <v>8.0000000000000002E-3</v>
      </c>
      <c r="J20" s="36">
        <v>8.0000000000000002E-3</v>
      </c>
      <c r="K20" s="36">
        <v>8.0000000000000002E-3</v>
      </c>
      <c r="L20" s="36">
        <v>8.0000000000000002E-3</v>
      </c>
      <c r="M20" s="36">
        <v>8.0000000000000002E-3</v>
      </c>
      <c r="N20" s="36">
        <v>8.0000000000000002E-3</v>
      </c>
      <c r="O20" s="36">
        <v>8.0000000000000002E-3</v>
      </c>
      <c r="P20" s="38">
        <v>8.0000000000000002E-3</v>
      </c>
    </row>
    <row r="21" spans="1:16" x14ac:dyDescent="0.35">
      <c r="A21" s="79" t="s">
        <v>18</v>
      </c>
      <c r="B21" s="12">
        <v>0.51700000000000002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x14ac:dyDescent="0.35">
      <c r="A22" s="81" t="s">
        <v>175</v>
      </c>
      <c r="B22" s="82"/>
      <c r="C22" s="25"/>
      <c r="D22" s="27"/>
      <c r="E22" s="25"/>
      <c r="F22" s="25"/>
      <c r="G22" s="25"/>
      <c r="H22" s="25"/>
      <c r="I22" s="25"/>
      <c r="J22" s="37"/>
      <c r="K22" s="37"/>
      <c r="L22" s="37"/>
      <c r="M22" s="37"/>
      <c r="N22" s="37"/>
      <c r="O22" s="37"/>
      <c r="P22" s="37"/>
    </row>
    <row r="23" spans="1:16" x14ac:dyDescent="0.35">
      <c r="A23" s="81" t="s">
        <v>176</v>
      </c>
      <c r="B23" s="82"/>
      <c r="C23" s="25"/>
      <c r="D23" s="27"/>
      <c r="E23" s="25"/>
      <c r="F23" s="25"/>
      <c r="G23" s="25"/>
      <c r="H23" s="25"/>
      <c r="I23" s="25"/>
      <c r="J23" s="37"/>
      <c r="K23" s="37"/>
      <c r="L23" s="37"/>
      <c r="M23" s="37"/>
      <c r="N23" s="37"/>
      <c r="O23" s="37"/>
      <c r="P23" s="37"/>
    </row>
    <row r="24" spans="1:16" x14ac:dyDescent="0.35">
      <c r="A24" s="81" t="s">
        <v>173</v>
      </c>
      <c r="B24" s="82"/>
      <c r="C24" s="25"/>
      <c r="D24" s="27"/>
      <c r="E24" s="25"/>
      <c r="F24" s="25"/>
      <c r="G24" s="25"/>
      <c r="H24" s="25"/>
      <c r="I24" s="25"/>
      <c r="J24" s="37"/>
      <c r="K24" s="37"/>
      <c r="L24" s="37"/>
      <c r="M24" s="37"/>
      <c r="N24" s="37"/>
      <c r="O24" s="37"/>
      <c r="P24" s="37"/>
    </row>
    <row r="25" spans="1:16" x14ac:dyDescent="0.35">
      <c r="A25" s="81" t="s">
        <v>174</v>
      </c>
      <c r="B25" s="82"/>
      <c r="C25" s="25"/>
      <c r="D25" s="27"/>
      <c r="E25" s="25"/>
      <c r="F25" s="25"/>
      <c r="G25" s="25"/>
      <c r="H25" s="25"/>
      <c r="I25" s="25"/>
      <c r="J25" s="37"/>
      <c r="K25" s="37"/>
      <c r="L25" s="37"/>
      <c r="M25" s="37"/>
      <c r="N25" s="37"/>
      <c r="O25" s="37"/>
      <c r="P25" s="37"/>
    </row>
    <row r="26" spans="1:16" x14ac:dyDescent="0.35">
      <c r="A26" s="81" t="s">
        <v>177</v>
      </c>
      <c r="B26" s="82"/>
      <c r="C26" s="25"/>
      <c r="D26" s="27"/>
      <c r="E26" s="25"/>
      <c r="F26" s="25"/>
      <c r="G26" s="25"/>
      <c r="H26" s="25"/>
      <c r="I26" s="25"/>
      <c r="J26" s="37"/>
      <c r="K26" s="37"/>
      <c r="L26" s="37"/>
      <c r="M26" s="37"/>
      <c r="N26" s="37"/>
      <c r="O26" s="37"/>
      <c r="P26" s="37"/>
    </row>
    <row r="27" spans="1:16" x14ac:dyDescent="0.35">
      <c r="A27" s="81" t="s">
        <v>178</v>
      </c>
      <c r="B27" s="82"/>
      <c r="C27" s="25"/>
      <c r="D27" s="27"/>
      <c r="E27" s="25"/>
      <c r="F27" s="25"/>
      <c r="G27" s="25"/>
      <c r="H27" s="25"/>
      <c r="I27" s="25"/>
      <c r="J27" s="37"/>
      <c r="K27" s="37"/>
      <c r="L27" s="37"/>
      <c r="M27" s="37"/>
      <c r="N27" s="37"/>
      <c r="O27" s="37"/>
      <c r="P27" s="37"/>
    </row>
    <row r="28" spans="1:16" x14ac:dyDescent="0.35">
      <c r="A28" s="81" t="s">
        <v>179</v>
      </c>
      <c r="B28" s="82"/>
      <c r="C28" s="25"/>
      <c r="D28" s="27"/>
      <c r="E28" s="25"/>
      <c r="F28" s="25"/>
      <c r="G28" s="25"/>
      <c r="H28" s="25"/>
      <c r="I28" s="25"/>
      <c r="J28" s="37"/>
      <c r="K28" s="37"/>
      <c r="L28" s="37"/>
      <c r="M28" s="37"/>
      <c r="N28" s="37"/>
      <c r="O28" s="37"/>
      <c r="P28" s="37"/>
    </row>
    <row r="29" spans="1:16" x14ac:dyDescent="0.35">
      <c r="A29" s="81" t="s">
        <v>180</v>
      </c>
      <c r="B29" s="82"/>
      <c r="C29" s="25"/>
      <c r="D29" s="27"/>
      <c r="E29" s="25"/>
      <c r="F29" s="25"/>
      <c r="G29" s="25"/>
      <c r="H29" s="25"/>
      <c r="I29" s="25"/>
      <c r="J29" s="37"/>
      <c r="K29" s="37"/>
      <c r="L29" s="37"/>
      <c r="M29" s="37"/>
      <c r="N29" s="37"/>
      <c r="O29" s="37"/>
      <c r="P29" s="37"/>
    </row>
    <row r="30" spans="1:16" x14ac:dyDescent="0.35">
      <c r="A30" s="81" t="s">
        <v>181</v>
      </c>
      <c r="B30" s="32"/>
      <c r="C30" s="25"/>
      <c r="D30" s="27"/>
      <c r="E30" s="25"/>
      <c r="F30" s="25"/>
      <c r="G30" s="25"/>
      <c r="H30" s="25"/>
      <c r="I30" s="25"/>
      <c r="J30" s="37"/>
      <c r="K30" s="37"/>
      <c r="L30" s="37"/>
      <c r="M30" s="37"/>
      <c r="N30" s="37"/>
      <c r="O30" s="37"/>
      <c r="P30" s="37"/>
    </row>
    <row r="31" spans="1:16" x14ac:dyDescent="0.35">
      <c r="A31" s="81" t="s">
        <v>182</v>
      </c>
      <c r="B31" s="32"/>
      <c r="C31" s="25"/>
      <c r="D31" s="27"/>
      <c r="E31" s="25"/>
      <c r="F31" s="25"/>
      <c r="G31" s="25"/>
      <c r="H31" s="25"/>
      <c r="I31" s="25"/>
      <c r="J31" s="37"/>
      <c r="K31" s="37"/>
      <c r="L31" s="37"/>
      <c r="M31" s="37"/>
      <c r="N31" s="37"/>
      <c r="O31" s="37"/>
      <c r="P31" s="37"/>
    </row>
    <row r="32" spans="1:16" x14ac:dyDescent="0.35">
      <c r="A32" s="81" t="s">
        <v>183</v>
      </c>
      <c r="B32" s="87"/>
      <c r="C32" s="25"/>
      <c r="D32" s="27"/>
      <c r="E32" s="25"/>
      <c r="F32" s="25"/>
      <c r="G32" s="25"/>
      <c r="H32" s="25"/>
      <c r="I32" s="25"/>
      <c r="J32" s="37"/>
      <c r="K32" s="37"/>
      <c r="L32" s="37"/>
      <c r="M32" s="37"/>
      <c r="N32" s="37"/>
      <c r="O32" s="37"/>
      <c r="P32" s="37"/>
    </row>
    <row r="33" spans="1:16" x14ac:dyDescent="0.35">
      <c r="A33" s="76" t="s">
        <v>117</v>
      </c>
      <c r="B33" s="37"/>
      <c r="C33" s="37"/>
      <c r="D33" s="37"/>
      <c r="E33" s="37"/>
      <c r="F33" s="37"/>
      <c r="G33" s="37"/>
      <c r="H33" s="32">
        <v>15557.3475697269</v>
      </c>
      <c r="I33" s="32">
        <v>18639.074122518301</v>
      </c>
      <c r="J33" s="32">
        <v>19680.573278818702</v>
      </c>
      <c r="K33" s="32">
        <v>21540.0273274465</v>
      </c>
      <c r="L33" s="32">
        <v>22096.1006694725</v>
      </c>
      <c r="M33" s="32">
        <v>22750.9749060184</v>
      </c>
      <c r="N33" s="32">
        <v>22415.007358796898</v>
      </c>
      <c r="O33" s="32">
        <v>23154.9797730926</v>
      </c>
      <c r="P33" s="32">
        <v>22305.005214438199</v>
      </c>
    </row>
    <row r="34" spans="1:16" x14ac:dyDescent="0.35">
      <c r="A34" s="77" t="s">
        <v>191</v>
      </c>
      <c r="B34" s="32" t="s">
        <v>14</v>
      </c>
      <c r="C34" s="32" t="s">
        <v>15</v>
      </c>
      <c r="D34" s="32" t="s">
        <v>16</v>
      </c>
      <c r="E34" s="90" t="s">
        <v>200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x14ac:dyDescent="0.35">
      <c r="A35" s="88" t="s">
        <v>192</v>
      </c>
      <c r="B35" s="72">
        <f>16+50</f>
        <v>66</v>
      </c>
      <c r="C35" s="72">
        <v>3</v>
      </c>
      <c r="D35" s="72">
        <v>22</v>
      </c>
      <c r="E35" s="27">
        <f>23+30</f>
        <v>53</v>
      </c>
      <c r="F35" s="32"/>
      <c r="G35" s="32"/>
      <c r="H35" s="32"/>
      <c r="I35" s="37"/>
      <c r="J35" s="32"/>
      <c r="K35" s="32"/>
      <c r="L35" s="32"/>
      <c r="M35" s="32"/>
      <c r="N35" s="32"/>
      <c r="O35" s="32"/>
      <c r="P35" s="32"/>
    </row>
    <row r="36" spans="1:16" x14ac:dyDescent="0.35">
      <c r="A36" s="88" t="s">
        <v>193</v>
      </c>
      <c r="B36" s="72">
        <f>1+7</f>
        <v>8</v>
      </c>
      <c r="C36" s="72">
        <v>0</v>
      </c>
      <c r="D36" s="72">
        <v>4</v>
      </c>
      <c r="E36" s="72">
        <v>7</v>
      </c>
      <c r="F36" s="37"/>
      <c r="G36" s="37"/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35">
      <c r="A37" s="88" t="s">
        <v>195</v>
      </c>
      <c r="B37" s="100">
        <f>21+20</f>
        <v>41</v>
      </c>
      <c r="C37" s="72">
        <f>5+9</f>
        <v>14</v>
      </c>
      <c r="D37" s="72">
        <v>2</v>
      </c>
      <c r="E37" s="72">
        <v>4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35">
      <c r="A38" s="88" t="s">
        <v>201</v>
      </c>
      <c r="B38" s="100">
        <f>3+5</f>
        <v>8</v>
      </c>
      <c r="C38" s="72">
        <v>4</v>
      </c>
      <c r="D38" s="72">
        <v>0</v>
      </c>
      <c r="E38" s="72">
        <v>1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x14ac:dyDescent="0.35">
      <c r="A39" s="88" t="s">
        <v>196</v>
      </c>
      <c r="B39" s="72">
        <v>463</v>
      </c>
      <c r="C39" s="72">
        <v>16</v>
      </c>
      <c r="D39" s="72">
        <v>157</v>
      </c>
      <c r="E39" s="101">
        <v>340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35">
      <c r="A40" s="88" t="s">
        <v>197</v>
      </c>
      <c r="B40" s="72">
        <v>45</v>
      </c>
      <c r="C40" s="72">
        <v>4</v>
      </c>
      <c r="D40" s="72">
        <v>32</v>
      </c>
      <c r="E40" s="101">
        <v>54</v>
      </c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35">
      <c r="A41" s="88" t="s">
        <v>198</v>
      </c>
      <c r="B41" s="72">
        <v>96</v>
      </c>
      <c r="C41" s="72">
        <v>25</v>
      </c>
      <c r="D41" s="72">
        <v>1</v>
      </c>
      <c r="E41" s="72">
        <v>12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35">
      <c r="A42" s="88" t="s">
        <v>199</v>
      </c>
      <c r="B42" s="72">
        <v>18</v>
      </c>
      <c r="C42" s="72">
        <v>10</v>
      </c>
      <c r="D42" s="72">
        <v>1</v>
      </c>
      <c r="E42" s="72">
        <v>3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92BF-FD62-4896-B0D4-509004DB7F1D}">
  <dimension ref="A1:R35"/>
  <sheetViews>
    <sheetView zoomScale="80" zoomScaleNormal="80" workbookViewId="0">
      <selection activeCell="A28" sqref="A28"/>
    </sheetView>
  </sheetViews>
  <sheetFormatPr defaultRowHeight="14.5" x14ac:dyDescent="0.35"/>
  <cols>
    <col min="1" max="1" width="26.26953125" style="37" bestFit="1" customWidth="1"/>
    <col min="2" max="16384" width="8.7265625" style="37"/>
  </cols>
  <sheetData>
    <row r="1" spans="1:18" x14ac:dyDescent="0.35">
      <c r="A1" s="39" t="s">
        <v>0</v>
      </c>
      <c r="B1" s="9" t="s">
        <v>38</v>
      </c>
      <c r="C1" s="9" t="s">
        <v>36</v>
      </c>
      <c r="D1" s="9" t="s">
        <v>39</v>
      </c>
      <c r="E1" s="9" t="s">
        <v>204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18" x14ac:dyDescent="0.35">
      <c r="A2" s="39" t="s">
        <v>1</v>
      </c>
      <c r="B2" s="38" t="s">
        <v>156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8" x14ac:dyDescent="0.35">
      <c r="A3" s="39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8" x14ac:dyDescent="0.35">
      <c r="A4" s="39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8" x14ac:dyDescent="0.35">
      <c r="A5" s="39" t="s">
        <v>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8" x14ac:dyDescent="0.35">
      <c r="A6" s="39" t="s">
        <v>5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8" x14ac:dyDescent="0.35">
      <c r="A7" s="39" t="s">
        <v>6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8" x14ac:dyDescent="0.35">
      <c r="A8" s="39" t="s">
        <v>7</v>
      </c>
      <c r="B8" s="37" t="s">
        <v>157</v>
      </c>
      <c r="Q8" s="36"/>
      <c r="R8" s="36"/>
    </row>
    <row r="9" spans="1:18" x14ac:dyDescent="0.35">
      <c r="A9" s="39" t="s">
        <v>13</v>
      </c>
      <c r="B9" s="38" t="s">
        <v>158</v>
      </c>
      <c r="C9" s="67"/>
      <c r="D9" s="67"/>
      <c r="E9" s="38"/>
      <c r="J9" s="38"/>
      <c r="K9" s="38"/>
      <c r="L9" s="38"/>
      <c r="M9" s="38"/>
      <c r="N9" s="38"/>
      <c r="O9" s="38"/>
      <c r="P9" s="38"/>
      <c r="Q9" s="36"/>
    </row>
    <row r="10" spans="1:18" x14ac:dyDescent="0.35">
      <c r="A10" s="11" t="s">
        <v>8</v>
      </c>
      <c r="B10" s="37" t="s">
        <v>158</v>
      </c>
      <c r="Q10" s="6"/>
      <c r="R10" s="6"/>
    </row>
    <row r="11" spans="1:18" x14ac:dyDescent="0.35">
      <c r="A11" s="11" t="s">
        <v>168</v>
      </c>
      <c r="B11" s="32" t="s">
        <v>19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6"/>
    </row>
    <row r="12" spans="1:18" x14ac:dyDescent="0.35">
      <c r="A12" s="11" t="s">
        <v>17</v>
      </c>
      <c r="B12" s="38" t="s">
        <v>164</v>
      </c>
      <c r="C12" s="38"/>
      <c r="D12" s="38"/>
      <c r="E12" s="36"/>
      <c r="F12" s="36"/>
      <c r="G12" s="36"/>
      <c r="H12" s="36"/>
      <c r="I12" s="36"/>
      <c r="J12" s="36"/>
      <c r="K12" s="36"/>
      <c r="L12" s="36"/>
      <c r="M12" s="36"/>
      <c r="N12" s="38"/>
      <c r="O12" s="36"/>
      <c r="P12" s="36"/>
      <c r="Q12" s="36"/>
      <c r="R12" s="36"/>
    </row>
    <row r="13" spans="1:18" x14ac:dyDescent="0.35">
      <c r="A13" s="11" t="s">
        <v>165</v>
      </c>
      <c r="B13" s="73" t="s">
        <v>169</v>
      </c>
      <c r="C13" s="73" t="s">
        <v>169</v>
      </c>
      <c r="D13" s="73" t="s">
        <v>169</v>
      </c>
      <c r="E13" s="38" t="s">
        <v>205</v>
      </c>
      <c r="F13" s="36"/>
      <c r="G13" s="36"/>
      <c r="H13" s="36"/>
      <c r="I13" s="36"/>
      <c r="J13" s="36"/>
      <c r="K13" s="36"/>
      <c r="L13" s="36"/>
      <c r="M13" s="38"/>
      <c r="N13" s="38"/>
      <c r="O13" s="36"/>
      <c r="P13" s="36"/>
      <c r="Q13" s="36"/>
      <c r="R13" s="36"/>
    </row>
    <row r="14" spans="1:18" x14ac:dyDescent="0.35">
      <c r="A14" s="11" t="s">
        <v>166</v>
      </c>
      <c r="B14" s="73" t="s">
        <v>169</v>
      </c>
      <c r="C14" s="73" t="s">
        <v>169</v>
      </c>
      <c r="D14" s="73" t="s">
        <v>169</v>
      </c>
      <c r="E14" s="38" t="s">
        <v>205</v>
      </c>
      <c r="F14" s="36"/>
      <c r="G14" s="36"/>
      <c r="H14" s="36"/>
      <c r="I14" s="36"/>
      <c r="J14" s="36"/>
      <c r="K14" s="36"/>
      <c r="L14" s="36"/>
      <c r="M14" s="38"/>
      <c r="N14" s="38"/>
      <c r="O14" s="36"/>
      <c r="P14" s="36"/>
      <c r="Q14" s="36"/>
      <c r="R14" s="36"/>
    </row>
    <row r="15" spans="1:18" x14ac:dyDescent="0.35">
      <c r="A15" s="11" t="s">
        <v>167</v>
      </c>
      <c r="B15" s="73" t="s">
        <v>169</v>
      </c>
      <c r="C15" s="73" t="s">
        <v>169</v>
      </c>
      <c r="D15" s="73" t="s">
        <v>169</v>
      </c>
      <c r="E15" s="38" t="s">
        <v>205</v>
      </c>
      <c r="F15" s="36"/>
      <c r="G15" s="36"/>
      <c r="H15" s="36"/>
      <c r="I15" s="36"/>
      <c r="J15" s="36"/>
      <c r="K15" s="36"/>
      <c r="L15" s="36"/>
      <c r="M15" s="38"/>
      <c r="N15" s="38"/>
      <c r="O15" s="36"/>
      <c r="P15" s="36"/>
      <c r="Q15" s="36"/>
      <c r="R15" s="36"/>
    </row>
    <row r="16" spans="1:18" s="1" customFormat="1" x14ac:dyDescent="0.35">
      <c r="A16" s="40" t="s">
        <v>12</v>
      </c>
      <c r="B16" s="73" t="s">
        <v>158</v>
      </c>
    </row>
    <row r="17" spans="1:16" s="13" customFormat="1" x14ac:dyDescent="0.35">
      <c r="A17" s="14" t="s">
        <v>18</v>
      </c>
      <c r="B17" s="17" t="s">
        <v>170</v>
      </c>
    </row>
    <row r="18" spans="1:16" s="1" customFormat="1" x14ac:dyDescent="0.35">
      <c r="A18" s="40" t="s">
        <v>162</v>
      </c>
      <c r="B18" s="38" t="s">
        <v>163</v>
      </c>
      <c r="C18" s="38"/>
      <c r="D18" s="66"/>
      <c r="E18" s="66"/>
      <c r="F18" s="66"/>
      <c r="G18" s="66"/>
      <c r="H18" s="66"/>
      <c r="I18" s="66"/>
    </row>
    <row r="19" spans="1:16" s="1" customFormat="1" x14ac:dyDescent="0.35">
      <c r="A19" s="40" t="s">
        <v>113</v>
      </c>
      <c r="B19" s="38"/>
      <c r="C19" s="66"/>
      <c r="D19" s="66"/>
      <c r="E19" s="66"/>
      <c r="F19" s="66"/>
      <c r="G19" s="66"/>
      <c r="H19" s="66"/>
      <c r="I19" s="66"/>
    </row>
    <row r="20" spans="1:16" x14ac:dyDescent="0.35">
      <c r="A20" s="9" t="s">
        <v>153</v>
      </c>
      <c r="B20" s="27"/>
      <c r="C20" s="27"/>
      <c r="D20" s="27"/>
      <c r="E20" s="25"/>
      <c r="F20" s="25"/>
      <c r="G20" s="25"/>
      <c r="H20" s="25"/>
      <c r="I20" s="25"/>
    </row>
    <row r="21" spans="1:16" x14ac:dyDescent="0.35">
      <c r="A21" s="39" t="s">
        <v>117</v>
      </c>
      <c r="B21" s="37" t="s">
        <v>159</v>
      </c>
    </row>
    <row r="22" spans="1:16" x14ac:dyDescent="0.35">
      <c r="A22" s="39" t="s">
        <v>150</v>
      </c>
      <c r="B22" s="32" t="s">
        <v>163</v>
      </c>
      <c r="C22" s="32"/>
      <c r="D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16" x14ac:dyDescent="0.35">
      <c r="A23" s="39" t="s">
        <v>151</v>
      </c>
      <c r="B23" s="32"/>
      <c r="C23" s="32"/>
      <c r="D23" s="32"/>
      <c r="F23" s="32"/>
      <c r="G23" s="32"/>
      <c r="H23" s="32"/>
      <c r="J23" s="32"/>
      <c r="K23" s="32"/>
      <c r="L23" s="32"/>
      <c r="M23" s="32"/>
      <c r="N23" s="32"/>
      <c r="O23" s="32"/>
      <c r="P23" s="32"/>
    </row>
    <row r="24" spans="1:16" x14ac:dyDescent="0.35">
      <c r="A24" s="39" t="s">
        <v>154</v>
      </c>
      <c r="B24" s="72"/>
      <c r="C24" s="72"/>
      <c r="D24" s="7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16" x14ac:dyDescent="0.35">
      <c r="A25" s="39" t="s">
        <v>161</v>
      </c>
      <c r="B25" s="45" t="s">
        <v>160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16" x14ac:dyDescent="0.35">
      <c r="A26" s="9" t="s">
        <v>152</v>
      </c>
      <c r="B26" s="45" t="s">
        <v>160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16" x14ac:dyDescent="0.3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16" x14ac:dyDescent="0.3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16" x14ac:dyDescent="0.3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16" x14ac:dyDescent="0.3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16" x14ac:dyDescent="0.3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16" x14ac:dyDescent="0.3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2:16" x14ac:dyDescent="0.3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2:16" x14ac:dyDescent="0.35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2:16" x14ac:dyDescent="0.35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"/>
  <sheetViews>
    <sheetView topLeftCell="A31" zoomScale="70" zoomScaleNormal="70" workbookViewId="0">
      <selection activeCell="E56" sqref="E56:H56"/>
    </sheetView>
  </sheetViews>
  <sheetFormatPr defaultColWidth="9.1796875" defaultRowHeight="14.5" x14ac:dyDescent="0.35"/>
  <cols>
    <col min="1" max="1" width="19.7265625" style="62" customWidth="1"/>
    <col min="2" max="2" width="15.453125" style="44" bestFit="1" customWidth="1"/>
    <col min="3" max="3" width="24.453125" style="44" bestFit="1" customWidth="1"/>
    <col min="4" max="4" width="19" style="44" customWidth="1"/>
    <col min="5" max="5" width="19.7265625" style="44" customWidth="1"/>
    <col min="6" max="6" width="25.81640625" style="44" customWidth="1"/>
    <col min="7" max="7" width="28" style="44" bestFit="1" customWidth="1"/>
    <col min="8" max="8" width="29.1796875" style="44" bestFit="1" customWidth="1"/>
    <col min="9" max="9" width="14.26953125" style="44" bestFit="1" customWidth="1"/>
    <col min="10" max="10" width="14.54296875" style="44" bestFit="1" customWidth="1"/>
    <col min="11" max="16384" width="9.1796875" style="44"/>
  </cols>
  <sheetData>
    <row r="1" spans="1:10" x14ac:dyDescent="0.35">
      <c r="A1" s="92" t="s">
        <v>110</v>
      </c>
      <c r="B1" s="92"/>
      <c r="C1" s="92"/>
      <c r="D1" s="92"/>
      <c r="E1" s="92"/>
      <c r="F1" s="92"/>
      <c r="G1" s="92"/>
      <c r="H1" s="92"/>
      <c r="I1" s="92"/>
    </row>
    <row r="2" spans="1:10" x14ac:dyDescent="0.35">
      <c r="A2" s="62" t="s">
        <v>52</v>
      </c>
      <c r="B2" s="47" t="s">
        <v>53</v>
      </c>
      <c r="C2" s="47" t="s">
        <v>59</v>
      </c>
      <c r="D2" s="47" t="s">
        <v>62</v>
      </c>
      <c r="E2" s="47" t="s">
        <v>58</v>
      </c>
      <c r="F2" s="47" t="s">
        <v>61</v>
      </c>
      <c r="G2" s="47" t="s">
        <v>63</v>
      </c>
    </row>
    <row r="3" spans="1:10" x14ac:dyDescent="0.35">
      <c r="A3" s="49" t="s">
        <v>51</v>
      </c>
      <c r="B3" s="51">
        <f>513/1161</f>
        <v>0.44186046511627908</v>
      </c>
      <c r="C3" s="51">
        <f>32197/36533</f>
        <v>0.88131278570059945</v>
      </c>
      <c r="D3" s="51">
        <f>C3/B3</f>
        <v>1.9945499886908302</v>
      </c>
      <c r="E3" s="51">
        <f>648/1161</f>
        <v>0.55813953488372092</v>
      </c>
      <c r="F3" s="51">
        <f>4336/36533</f>
        <v>0.11868721429940055</v>
      </c>
      <c r="G3" s="51">
        <f>E3/F3</f>
        <v>4.7026087702737494</v>
      </c>
    </row>
    <row r="4" spans="1:10" x14ac:dyDescent="0.35">
      <c r="B4" s="45" t="s">
        <v>60</v>
      </c>
    </row>
    <row r="5" spans="1:10" x14ac:dyDescent="0.35">
      <c r="B5" s="45"/>
    </row>
    <row r="6" spans="1:10" s="47" customFormat="1" x14ac:dyDescent="0.35">
      <c r="A6" s="63" t="s">
        <v>144</v>
      </c>
      <c r="B6" s="47" t="s">
        <v>85</v>
      </c>
      <c r="C6" s="47" t="s">
        <v>86</v>
      </c>
      <c r="D6" s="47" t="s">
        <v>88</v>
      </c>
      <c r="E6" s="47" t="s">
        <v>90</v>
      </c>
      <c r="F6" s="47" t="s">
        <v>91</v>
      </c>
    </row>
    <row r="7" spans="1:10" x14ac:dyDescent="0.35">
      <c r="B7" s="51">
        <f>23/30</f>
        <v>0.76666666666666672</v>
      </c>
      <c r="C7" s="51">
        <f>35/46</f>
        <v>0.76086956521739135</v>
      </c>
      <c r="D7" s="51">
        <f>4/8</f>
        <v>0.5</v>
      </c>
      <c r="E7" s="51">
        <f>B7/D7</f>
        <v>1.5333333333333334</v>
      </c>
      <c r="F7" s="51">
        <f>C7/D7</f>
        <v>1.5217391304347827</v>
      </c>
    </row>
    <row r="8" spans="1:10" x14ac:dyDescent="0.35">
      <c r="B8" s="48" t="s">
        <v>84</v>
      </c>
      <c r="C8" s="44" t="s">
        <v>87</v>
      </c>
      <c r="D8" s="44" t="s">
        <v>89</v>
      </c>
    </row>
    <row r="9" spans="1:10" x14ac:dyDescent="0.35">
      <c r="B9" s="45"/>
    </row>
    <row r="10" spans="1:10" x14ac:dyDescent="0.35">
      <c r="B10" s="45"/>
    </row>
    <row r="11" spans="1:10" s="61" customFormat="1" x14ac:dyDescent="0.35">
      <c r="A11" s="59" t="s">
        <v>50</v>
      </c>
      <c r="B11" s="60" t="s">
        <v>54</v>
      </c>
      <c r="C11" s="60" t="s">
        <v>55</v>
      </c>
      <c r="D11" s="60" t="s">
        <v>155</v>
      </c>
      <c r="E11" s="60" t="s">
        <v>57</v>
      </c>
      <c r="F11" s="60" t="s">
        <v>64</v>
      </c>
      <c r="G11" s="60" t="s">
        <v>65</v>
      </c>
      <c r="H11" s="60" t="s">
        <v>58</v>
      </c>
      <c r="I11" s="60" t="s">
        <v>61</v>
      </c>
    </row>
    <row r="12" spans="1:10" x14ac:dyDescent="0.35">
      <c r="A12" s="49" t="s">
        <v>51</v>
      </c>
      <c r="B12" s="51">
        <f>3936/4931</f>
        <v>0.79821537213546945</v>
      </c>
      <c r="C12" s="51">
        <f>(1-B12)</f>
        <v>0.20178462786453055</v>
      </c>
      <c r="D12" s="51">
        <f>187/5247</f>
        <v>3.5639412997903561E-2</v>
      </c>
      <c r="E12" s="51">
        <f>5060/5247</f>
        <v>0.96436058700209648</v>
      </c>
      <c r="F12" s="52">
        <f>B12/(D12+E12*D3)</f>
        <v>0.40743883006957199</v>
      </c>
      <c r="G12" s="53">
        <f>D3*F12</f>
        <v>0.81265711390746986</v>
      </c>
      <c r="H12" s="53">
        <f>1-F12</f>
        <v>0.59256116993042807</v>
      </c>
      <c r="I12" s="54">
        <f>1-G12</f>
        <v>0.18734288609253014</v>
      </c>
    </row>
    <row r="13" spans="1:10" x14ac:dyDescent="0.35">
      <c r="B13" s="45" t="s">
        <v>78</v>
      </c>
      <c r="D13" s="45" t="s">
        <v>79</v>
      </c>
      <c r="F13" s="45" t="s">
        <v>77</v>
      </c>
    </row>
    <row r="14" spans="1:10" x14ac:dyDescent="0.35">
      <c r="F14" s="45"/>
    </row>
    <row r="15" spans="1:10" x14ac:dyDescent="0.35">
      <c r="A15" s="64"/>
      <c r="B15" s="47" t="s">
        <v>66</v>
      </c>
      <c r="C15" s="47" t="s">
        <v>67</v>
      </c>
      <c r="D15" s="47" t="s">
        <v>68</v>
      </c>
      <c r="E15" s="47" t="s">
        <v>69</v>
      </c>
      <c r="F15" s="47" t="s">
        <v>70</v>
      </c>
      <c r="G15" s="47" t="s">
        <v>71</v>
      </c>
      <c r="H15" s="47" t="s">
        <v>74</v>
      </c>
      <c r="I15" s="50" t="s">
        <v>75</v>
      </c>
      <c r="J15" s="47" t="s">
        <v>111</v>
      </c>
    </row>
    <row r="16" spans="1:10" x14ac:dyDescent="0.35">
      <c r="B16" s="51">
        <f>19/187</f>
        <v>0.10160427807486631</v>
      </c>
      <c r="C16" s="51">
        <f>425/5060</f>
        <v>8.399209486166008E-2</v>
      </c>
      <c r="D16" s="51">
        <f>330/3936</f>
        <v>8.3841463414634151E-2</v>
      </c>
      <c r="E16" s="51">
        <f>80/995</f>
        <v>8.0402010050251257E-2</v>
      </c>
      <c r="F16" s="51">
        <f>D16/E16</f>
        <v>1.0427782012195121</v>
      </c>
      <c r="G16" s="55">
        <f>B16/(F12*F16+H12)</f>
        <v>9.9863703626802164E-2</v>
      </c>
      <c r="H16" s="51">
        <f>C16/(G12*F16+I12)</f>
        <v>8.1170290121417035E-2</v>
      </c>
      <c r="I16" s="55">
        <f>H16*F16</f>
        <v>8.4642609125277199E-2</v>
      </c>
      <c r="J16" s="55">
        <f>F16*G16</f>
        <v>0.10413569323507524</v>
      </c>
    </row>
    <row r="17" spans="1:11" x14ac:dyDescent="0.35">
      <c r="B17" s="45" t="s">
        <v>72</v>
      </c>
      <c r="D17" s="45" t="s">
        <v>80</v>
      </c>
      <c r="G17" s="45" t="s">
        <v>73</v>
      </c>
      <c r="I17" s="45" t="s">
        <v>76</v>
      </c>
    </row>
    <row r="19" spans="1:11" s="47" customFormat="1" ht="15" thickBot="1" x14ac:dyDescent="0.4">
      <c r="A19" s="49" t="s">
        <v>81</v>
      </c>
      <c r="B19" s="47" t="s">
        <v>14</v>
      </c>
      <c r="C19" s="47" t="s">
        <v>15</v>
      </c>
      <c r="D19" s="47" t="s">
        <v>16</v>
      </c>
      <c r="E19" s="93" t="s">
        <v>92</v>
      </c>
      <c r="F19" s="93"/>
      <c r="G19" s="47" t="s">
        <v>93</v>
      </c>
      <c r="H19" s="47" t="s">
        <v>94</v>
      </c>
      <c r="I19" s="47" t="s">
        <v>88</v>
      </c>
      <c r="J19" s="47" t="s">
        <v>85</v>
      </c>
      <c r="K19" s="47" t="s">
        <v>86</v>
      </c>
    </row>
    <row r="20" spans="1:11" ht="15" thickBot="1" x14ac:dyDescent="0.4">
      <c r="B20" s="44">
        <v>0.16500000000000001</v>
      </c>
      <c r="C20" s="44">
        <v>6.0999999999999999E-2</v>
      </c>
      <c r="D20" s="44">
        <v>0.10199999999999999</v>
      </c>
      <c r="E20" s="94">
        <f>G16/(B21*E7+C21*F7+D21)</f>
        <v>7.3142891277727717E-2</v>
      </c>
      <c r="F20" s="95"/>
      <c r="G20" s="57">
        <f>E7*E20</f>
        <v>0.11215243329251584</v>
      </c>
      <c r="H20" s="58">
        <f>F7*E20</f>
        <v>0.11130439977045523</v>
      </c>
      <c r="I20" s="56">
        <f>J16/(B21*E7+C21*F7+D21)</f>
        <v>7.6271812598583261E-2</v>
      </c>
      <c r="J20" s="56">
        <f>E7*I20</f>
        <v>0.11695011265116101</v>
      </c>
      <c r="K20" s="56">
        <f>F7*I20</f>
        <v>0.1160658017804528</v>
      </c>
    </row>
    <row r="21" spans="1:11" x14ac:dyDescent="0.35">
      <c r="A21" s="63" t="s">
        <v>83</v>
      </c>
      <c r="B21" s="51">
        <f>B20/(B20+C20+D20)</f>
        <v>0.50304878048780488</v>
      </c>
      <c r="C21" s="51">
        <f>C20/(B20+C20+D20)</f>
        <v>0.18597560975609756</v>
      </c>
      <c r="D21" s="51">
        <f>D20/(B20+C20+D20)</f>
        <v>0.3109756097560975</v>
      </c>
      <c r="E21" s="96" t="s">
        <v>95</v>
      </c>
      <c r="F21" s="96"/>
      <c r="G21" s="96"/>
      <c r="H21" s="96"/>
      <c r="I21" s="46" t="s">
        <v>112</v>
      </c>
    </row>
    <row r="22" spans="1:11" ht="15" thickBot="1" x14ac:dyDescent="0.4">
      <c r="B22" s="45" t="s">
        <v>82</v>
      </c>
      <c r="E22" s="93" t="s">
        <v>103</v>
      </c>
      <c r="F22" s="93"/>
      <c r="G22" s="47" t="s">
        <v>101</v>
      </c>
      <c r="H22" s="47" t="s">
        <v>102</v>
      </c>
    </row>
    <row r="23" spans="1:11" ht="15" thickBot="1" x14ac:dyDescent="0.4">
      <c r="E23" s="94">
        <f>I16/(B21*E7+C21*F7+D21)</f>
        <v>6.1994547887484576E-2</v>
      </c>
      <c r="F23" s="95"/>
      <c r="G23" s="57">
        <f>E7*E23</f>
        <v>9.5058306760809688E-2</v>
      </c>
      <c r="H23" s="58">
        <f>F7*E23</f>
        <v>9.433952939399827E-2</v>
      </c>
    </row>
    <row r="24" spans="1:11" x14ac:dyDescent="0.35">
      <c r="E24" s="92" t="s">
        <v>104</v>
      </c>
      <c r="F24" s="92"/>
      <c r="G24" s="92"/>
      <c r="H24" s="92"/>
    </row>
    <row r="25" spans="1:11" x14ac:dyDescent="0.35">
      <c r="E25" s="65"/>
      <c r="F25" s="65"/>
      <c r="G25" s="65"/>
      <c r="H25" s="65"/>
    </row>
    <row r="27" spans="1:11" s="61" customFormat="1" x14ac:dyDescent="0.35">
      <c r="A27" s="59" t="s">
        <v>39</v>
      </c>
      <c r="B27" s="60" t="s">
        <v>54</v>
      </c>
      <c r="C27" s="60" t="s">
        <v>55</v>
      </c>
      <c r="D27" s="60" t="s">
        <v>56</v>
      </c>
      <c r="E27" s="60" t="s">
        <v>57</v>
      </c>
      <c r="F27" s="60" t="s">
        <v>64</v>
      </c>
      <c r="G27" s="60" t="s">
        <v>65</v>
      </c>
      <c r="H27" s="60" t="s">
        <v>58</v>
      </c>
      <c r="I27" s="60" t="s">
        <v>61</v>
      </c>
    </row>
    <row r="28" spans="1:11" x14ac:dyDescent="0.35">
      <c r="A28" s="49" t="s">
        <v>51</v>
      </c>
      <c r="B28" s="51">
        <f>18038/20559</f>
        <v>0.87737730434359651</v>
      </c>
      <c r="C28" s="51">
        <f>(1-B28)</f>
        <v>0.12262269565640349</v>
      </c>
      <c r="D28" s="51">
        <f>631/21755</f>
        <v>2.9004826476672029E-2</v>
      </c>
      <c r="E28" s="51">
        <f>21124/21755</f>
        <v>0.97099517352332798</v>
      </c>
      <c r="F28" s="52">
        <f>B28/(D28+E28*D3)</f>
        <v>0.44634270677524207</v>
      </c>
      <c r="G28" s="53">
        <f>D3*F28</f>
        <v>0.89025284075079358</v>
      </c>
      <c r="H28" s="53">
        <f>1-F28</f>
        <v>0.55365729322475787</v>
      </c>
      <c r="I28" s="54">
        <f>1-G28</f>
        <v>0.10974715924920642</v>
      </c>
    </row>
    <row r="29" spans="1:11" x14ac:dyDescent="0.35">
      <c r="B29" s="45" t="s">
        <v>105</v>
      </c>
      <c r="D29" s="45" t="s">
        <v>106</v>
      </c>
      <c r="F29" s="45" t="s">
        <v>96</v>
      </c>
    </row>
    <row r="30" spans="1:11" x14ac:dyDescent="0.35">
      <c r="F30" s="45"/>
    </row>
    <row r="31" spans="1:11" x14ac:dyDescent="0.35">
      <c r="A31" s="64"/>
      <c r="B31" s="47" t="s">
        <v>66</v>
      </c>
      <c r="C31" s="47" t="s">
        <v>67</v>
      </c>
      <c r="D31" s="47" t="s">
        <v>68</v>
      </c>
      <c r="E31" s="47" t="s">
        <v>69</v>
      </c>
      <c r="F31" s="47" t="s">
        <v>70</v>
      </c>
      <c r="G31" s="47" t="s">
        <v>71</v>
      </c>
      <c r="H31" s="47" t="s">
        <v>74</v>
      </c>
      <c r="I31" s="50" t="s">
        <v>75</v>
      </c>
      <c r="J31" s="47" t="s">
        <v>111</v>
      </c>
    </row>
    <row r="32" spans="1:11" x14ac:dyDescent="0.35">
      <c r="B32" s="51">
        <f>78/631</f>
        <v>0.12361331220285261</v>
      </c>
      <c r="C32" s="51">
        <f>1873/21124</f>
        <v>8.8666919144101491E-2</v>
      </c>
      <c r="D32" s="51">
        <f>1548/18038</f>
        <v>8.5818826920944669E-2</v>
      </c>
      <c r="E32" s="51">
        <f>267/2521</f>
        <v>0.10591035303451012</v>
      </c>
      <c r="F32" s="51">
        <f>D32/E32</f>
        <v>0.81029686392397571</v>
      </c>
      <c r="G32" s="55">
        <f>B32/(F28*F32+H28)</f>
        <v>0.13504819556454245</v>
      </c>
      <c r="H32" s="51">
        <f>C32/(G28*F32+I28)</f>
        <v>0.10668413686041024</v>
      </c>
      <c r="I32" s="55">
        <f>H32*F32</f>
        <v>8.6445821528426642E-2</v>
      </c>
      <c r="J32" s="55">
        <f>F32*G32</f>
        <v>0.10942912934454051</v>
      </c>
    </row>
    <row r="33" spans="1:11" x14ac:dyDescent="0.35">
      <c r="B33" s="45" t="s">
        <v>72</v>
      </c>
      <c r="D33" s="45" t="s">
        <v>80</v>
      </c>
      <c r="G33" s="45" t="s">
        <v>73</v>
      </c>
      <c r="I33" s="45" t="s">
        <v>76</v>
      </c>
    </row>
    <row r="35" spans="1:11" s="47" customFormat="1" ht="15" thickBot="1" x14ac:dyDescent="0.4">
      <c r="A35" s="49" t="s">
        <v>109</v>
      </c>
      <c r="B35" s="47" t="s">
        <v>14</v>
      </c>
      <c r="C35" s="47" t="s">
        <v>15</v>
      </c>
      <c r="D35" s="47" t="s">
        <v>16</v>
      </c>
      <c r="E35" s="93" t="s">
        <v>98</v>
      </c>
      <c r="F35" s="93"/>
      <c r="G35" s="47" t="s">
        <v>99</v>
      </c>
      <c r="H35" s="47" t="s">
        <v>100</v>
      </c>
      <c r="I35" s="47" t="s">
        <v>88</v>
      </c>
      <c r="J35" s="47" t="s">
        <v>85</v>
      </c>
      <c r="K35" s="47" t="s">
        <v>86</v>
      </c>
    </row>
    <row r="36" spans="1:11" ht="15" thickBot="1" x14ac:dyDescent="0.4">
      <c r="B36" s="38">
        <v>0.10299999999999999</v>
      </c>
      <c r="C36" s="38">
        <v>7.0000000000000001E-3</v>
      </c>
      <c r="D36" s="38">
        <v>0.10100000000000001</v>
      </c>
      <c r="E36" s="94">
        <f>G32/(B37*E7+C37*F7+D37)</f>
        <v>0.10569993007107925</v>
      </c>
      <c r="F36" s="95"/>
      <c r="G36" s="57">
        <f>E7*E36</f>
        <v>0.16207322610898819</v>
      </c>
      <c r="H36" s="58">
        <f>F7*E36</f>
        <v>0.16084771967338149</v>
      </c>
      <c r="I36" s="56">
        <f>J32/(B37*E7+C37*F7+D37)</f>
        <v>8.564832185357904E-2</v>
      </c>
      <c r="J36" s="56">
        <f>E7*I36</f>
        <v>0.13132742684215454</v>
      </c>
      <c r="K36" s="56">
        <f>F7*I36</f>
        <v>0.13033440282066378</v>
      </c>
    </row>
    <row r="37" spans="1:11" x14ac:dyDescent="0.35">
      <c r="A37" s="63" t="s">
        <v>83</v>
      </c>
      <c r="B37" s="51">
        <f>B36/(B36+C36+D36)</f>
        <v>0.48815165876777245</v>
      </c>
      <c r="C37" s="51">
        <f>C36/(B36+C36+D36)</f>
        <v>3.3175355450236962E-2</v>
      </c>
      <c r="D37" s="51">
        <f>D36/(B36+C36+D36)</f>
        <v>0.47867298578199052</v>
      </c>
      <c r="E37" s="96" t="s">
        <v>107</v>
      </c>
      <c r="F37" s="96"/>
      <c r="G37" s="96"/>
      <c r="H37" s="96"/>
      <c r="I37" s="46" t="s">
        <v>112</v>
      </c>
    </row>
    <row r="38" spans="1:11" ht="15" thickBot="1" x14ac:dyDescent="0.4">
      <c r="B38" s="45" t="s">
        <v>97</v>
      </c>
      <c r="E38" s="93" t="s">
        <v>103</v>
      </c>
      <c r="F38" s="93"/>
      <c r="G38" s="47" t="s">
        <v>101</v>
      </c>
      <c r="H38" s="47" t="s">
        <v>102</v>
      </c>
    </row>
    <row r="39" spans="1:11" ht="15" thickBot="1" x14ac:dyDescent="0.4">
      <c r="E39" s="94">
        <f>I32/(B37*E7+C37*F7+D37)</f>
        <v>6.7659676993794202E-2</v>
      </c>
      <c r="F39" s="95"/>
      <c r="G39" s="57">
        <f>E7*E39</f>
        <v>0.10374483805715112</v>
      </c>
      <c r="H39" s="58">
        <f>F7*E39</f>
        <v>0.10296037803403466</v>
      </c>
    </row>
    <row r="40" spans="1:11" x14ac:dyDescent="0.35">
      <c r="E40" s="96" t="s">
        <v>108</v>
      </c>
      <c r="F40" s="96"/>
      <c r="G40" s="96"/>
      <c r="H40" s="96"/>
    </row>
    <row r="43" spans="1:11" s="61" customFormat="1" x14ac:dyDescent="0.35">
      <c r="A43" s="59" t="s">
        <v>145</v>
      </c>
      <c r="B43" s="60" t="s">
        <v>54</v>
      </c>
      <c r="C43" s="60" t="s">
        <v>55</v>
      </c>
      <c r="D43" s="60" t="s">
        <v>56</v>
      </c>
      <c r="E43" s="60" t="s">
        <v>57</v>
      </c>
      <c r="F43" s="60" t="s">
        <v>64</v>
      </c>
      <c r="G43" s="60" t="s">
        <v>65</v>
      </c>
      <c r="H43" s="60" t="s">
        <v>58</v>
      </c>
      <c r="I43" s="60" t="s">
        <v>61</v>
      </c>
    </row>
    <row r="44" spans="1:11" x14ac:dyDescent="0.35">
      <c r="A44" s="49" t="s">
        <v>51</v>
      </c>
      <c r="B44" s="51">
        <f>10736/12204</f>
        <v>0.87971156997705668</v>
      </c>
      <c r="C44" s="51">
        <f>(1-B44)</f>
        <v>0.12028843002294332</v>
      </c>
      <c r="D44" s="51">
        <f>409/13135</f>
        <v>3.1138180433955082E-2</v>
      </c>
      <c r="E44" s="51">
        <f>21124/21755</f>
        <v>0.97099517352332798</v>
      </c>
      <c r="F44" s="52">
        <f>B44/(D44+E44*D3)</f>
        <v>0.44704503066672313</v>
      </c>
      <c r="G44" s="53">
        <f>D3*F44</f>
        <v>0.89165366086060449</v>
      </c>
      <c r="H44" s="53">
        <f>1-F44</f>
        <v>0.55295496933327692</v>
      </c>
      <c r="I44" s="54">
        <f>1-G44</f>
        <v>0.10834633913939551</v>
      </c>
    </row>
    <row r="45" spans="1:11" x14ac:dyDescent="0.35">
      <c r="B45" s="45" t="s">
        <v>185</v>
      </c>
      <c r="D45" s="45" t="s">
        <v>186</v>
      </c>
      <c r="F45" s="45" t="s">
        <v>96</v>
      </c>
    </row>
    <row r="46" spans="1:11" x14ac:dyDescent="0.35">
      <c r="F46" s="45"/>
    </row>
    <row r="47" spans="1:11" x14ac:dyDescent="0.35">
      <c r="A47" s="64"/>
      <c r="B47" s="47" t="s">
        <v>66</v>
      </c>
      <c r="C47" s="47" t="s">
        <v>67</v>
      </c>
      <c r="D47" s="47" t="s">
        <v>68</v>
      </c>
      <c r="E47" s="47" t="s">
        <v>69</v>
      </c>
      <c r="F47" s="47" t="s">
        <v>70</v>
      </c>
      <c r="G47" s="47" t="s">
        <v>71</v>
      </c>
      <c r="H47" s="47" t="s">
        <v>74</v>
      </c>
      <c r="I47" s="50" t="s">
        <v>75</v>
      </c>
      <c r="J47" s="47" t="s">
        <v>111</v>
      </c>
    </row>
    <row r="48" spans="1:11" x14ac:dyDescent="0.35">
      <c r="B48" s="51">
        <f>81/409</f>
        <v>0.1980440097799511</v>
      </c>
      <c r="C48" s="51">
        <f>1660/12726</f>
        <v>0.13044161559013046</v>
      </c>
      <c r="D48" s="51">
        <f>1356/10736</f>
        <v>0.12630402384500744</v>
      </c>
      <c r="E48" s="51">
        <f>260/1468</f>
        <v>0.17711171662125341</v>
      </c>
      <c r="F48" s="51">
        <f>D48/E48</f>
        <v>0.71313195001719587</v>
      </c>
      <c r="G48" s="55">
        <f>B48/(F44*F48+H44)</f>
        <v>0.22717798111907303</v>
      </c>
      <c r="H48" s="51">
        <f>C48/(G44*F48+I44)</f>
        <v>0.17527456022940963</v>
      </c>
      <c r="I48" s="55">
        <f>H48*F48</f>
        <v>0.12499388892480533</v>
      </c>
      <c r="J48" s="55">
        <f>F48*G48</f>
        <v>0.16200787667641425</v>
      </c>
    </row>
    <row r="49" spans="1:11" x14ac:dyDescent="0.35">
      <c r="B49" s="45" t="s">
        <v>72</v>
      </c>
      <c r="D49" s="45" t="s">
        <v>80</v>
      </c>
      <c r="G49" s="45" t="s">
        <v>73</v>
      </c>
      <c r="I49" s="45" t="s">
        <v>76</v>
      </c>
    </row>
    <row r="51" spans="1:11" s="47" customFormat="1" ht="15" thickBot="1" x14ac:dyDescent="0.4">
      <c r="A51" s="49" t="s">
        <v>184</v>
      </c>
      <c r="B51" s="47" t="s">
        <v>14</v>
      </c>
      <c r="C51" s="47" t="s">
        <v>15</v>
      </c>
      <c r="D51" s="47" t="s">
        <v>16</v>
      </c>
      <c r="E51" s="93" t="s">
        <v>98</v>
      </c>
      <c r="F51" s="93"/>
      <c r="G51" s="47" t="s">
        <v>99</v>
      </c>
      <c r="H51" s="47" t="s">
        <v>100</v>
      </c>
      <c r="I51" s="47" t="s">
        <v>88</v>
      </c>
      <c r="J51" s="47" t="s">
        <v>85</v>
      </c>
      <c r="K51" s="47" t="s">
        <v>86</v>
      </c>
    </row>
    <row r="52" spans="1:11" ht="15" thickBot="1" x14ac:dyDescent="0.4">
      <c r="B52" s="38">
        <v>0.04</v>
      </c>
      <c r="C52" s="38">
        <v>2.1999999999999999E-2</v>
      </c>
      <c r="D52" s="38">
        <v>8.4000000000000005E-2</v>
      </c>
      <c r="E52" s="94">
        <f>G48/(B53*E7+C53*F7+D53)</f>
        <v>0.18549124507971645</v>
      </c>
      <c r="F52" s="95"/>
      <c r="G52" s="57">
        <f>E7*E52</f>
        <v>0.28441990912223192</v>
      </c>
      <c r="H52" s="58">
        <f>F7*E52</f>
        <v>0.28226928599087286</v>
      </c>
      <c r="I52" s="56">
        <f>J48/(B53*E7+C53*F7+D53)</f>
        <v>0.13227973331481579</v>
      </c>
      <c r="J52" s="56">
        <f>E7*I52</f>
        <v>0.20282892441605091</v>
      </c>
      <c r="K52" s="56">
        <f>F7*I52</f>
        <v>0.20129524634863274</v>
      </c>
    </row>
    <row r="53" spans="1:11" x14ac:dyDescent="0.35">
      <c r="A53" s="63" t="s">
        <v>83</v>
      </c>
      <c r="B53" s="51">
        <f>B52/(B52+C52+D52)</f>
        <v>0.27397260273972601</v>
      </c>
      <c r="C53" s="51">
        <f>C52/(B52+C52+D52)</f>
        <v>0.15068493150684928</v>
      </c>
      <c r="D53" s="51">
        <f>D52/(B52+C52+D52)</f>
        <v>0.57534246575342463</v>
      </c>
      <c r="E53" s="96" t="s">
        <v>187</v>
      </c>
      <c r="F53" s="96"/>
      <c r="G53" s="96"/>
      <c r="H53" s="96"/>
      <c r="I53" s="46" t="s">
        <v>112</v>
      </c>
    </row>
    <row r="54" spans="1:11" ht="15" thickBot="1" x14ac:dyDescent="0.4">
      <c r="B54" s="45" t="s">
        <v>188</v>
      </c>
      <c r="E54" s="93" t="s">
        <v>103</v>
      </c>
      <c r="F54" s="93"/>
      <c r="G54" s="47" t="s">
        <v>101</v>
      </c>
      <c r="H54" s="47" t="s">
        <v>102</v>
      </c>
    </row>
    <row r="55" spans="1:11" ht="15" thickBot="1" x14ac:dyDescent="0.4">
      <c r="E55" s="94">
        <f>I48/(B53*E7+C53*F7+D53)</f>
        <v>0.10205774331564993</v>
      </c>
      <c r="F55" s="95"/>
      <c r="G55" s="57">
        <f>E7*E55</f>
        <v>0.15648853975066324</v>
      </c>
      <c r="H55" s="58">
        <f>F7*E55</f>
        <v>0.15530526156729338</v>
      </c>
    </row>
    <row r="56" spans="1:11" x14ac:dyDescent="0.35">
      <c r="E56" s="96" t="s">
        <v>189</v>
      </c>
      <c r="F56" s="96"/>
      <c r="G56" s="96"/>
      <c r="H56" s="96"/>
    </row>
  </sheetData>
  <mergeCells count="19">
    <mergeCell ref="E55:F55"/>
    <mergeCell ref="E56:H56"/>
    <mergeCell ref="E37:H37"/>
    <mergeCell ref="E38:F38"/>
    <mergeCell ref="E39:F39"/>
    <mergeCell ref="E40:H40"/>
    <mergeCell ref="A1:I1"/>
    <mergeCell ref="E51:F51"/>
    <mergeCell ref="E52:F52"/>
    <mergeCell ref="E53:H53"/>
    <mergeCell ref="E54:F54"/>
    <mergeCell ref="E22:F22"/>
    <mergeCell ref="E23:F23"/>
    <mergeCell ref="E24:H24"/>
    <mergeCell ref="E19:F19"/>
    <mergeCell ref="E20:F20"/>
    <mergeCell ref="E21:H21"/>
    <mergeCell ref="E35:F35"/>
    <mergeCell ref="E36:F3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3E64-6212-4853-8262-079179E61A04}">
  <dimension ref="A1:K56"/>
  <sheetViews>
    <sheetView topLeftCell="A29" zoomScale="70" zoomScaleNormal="70" workbookViewId="0">
      <selection activeCell="D45" sqref="D45"/>
    </sheetView>
  </sheetViews>
  <sheetFormatPr defaultColWidth="9.1796875" defaultRowHeight="14.5" x14ac:dyDescent="0.35"/>
  <cols>
    <col min="1" max="1" width="19.7265625" style="62" customWidth="1"/>
    <col min="2" max="2" width="15.453125" style="44" bestFit="1" customWidth="1"/>
    <col min="3" max="3" width="24.453125" style="44" bestFit="1" customWidth="1"/>
    <col min="4" max="4" width="19" style="44" customWidth="1"/>
    <col min="5" max="5" width="19.7265625" style="44" customWidth="1"/>
    <col min="6" max="6" width="25.81640625" style="44" customWidth="1"/>
    <col min="7" max="7" width="28" style="44" bestFit="1" customWidth="1"/>
    <col min="8" max="8" width="29.1796875" style="44" bestFit="1" customWidth="1"/>
    <col min="9" max="9" width="14.26953125" style="44" bestFit="1" customWidth="1"/>
    <col min="10" max="10" width="14.54296875" style="44" bestFit="1" customWidth="1"/>
    <col min="11" max="16384" width="9.1796875" style="44"/>
  </cols>
  <sheetData>
    <row r="1" spans="1:10" x14ac:dyDescent="0.35">
      <c r="A1" s="92" t="s">
        <v>110</v>
      </c>
      <c r="B1" s="92"/>
      <c r="C1" s="92"/>
      <c r="D1" s="92"/>
      <c r="E1" s="92"/>
      <c r="F1" s="92"/>
      <c r="G1" s="92"/>
      <c r="H1" s="92"/>
      <c r="I1" s="92"/>
    </row>
    <row r="2" spans="1:10" x14ac:dyDescent="0.35">
      <c r="A2" s="62" t="s">
        <v>52</v>
      </c>
      <c r="B2" s="69" t="s">
        <v>53</v>
      </c>
      <c r="C2" s="69" t="s">
        <v>59</v>
      </c>
      <c r="D2" s="69" t="s">
        <v>62</v>
      </c>
      <c r="E2" s="69" t="s">
        <v>58</v>
      </c>
      <c r="F2" s="69" t="s">
        <v>61</v>
      </c>
      <c r="G2" s="69" t="s">
        <v>63</v>
      </c>
    </row>
    <row r="3" spans="1:10" x14ac:dyDescent="0.35">
      <c r="A3" s="49" t="s">
        <v>51</v>
      </c>
      <c r="B3" s="51">
        <f>513/1161</f>
        <v>0.44186046511627908</v>
      </c>
      <c r="C3" s="51">
        <f>32197/36533</f>
        <v>0.88131278570059945</v>
      </c>
      <c r="D3" s="51">
        <f>C3/B3</f>
        <v>1.9945499886908302</v>
      </c>
      <c r="E3" s="51">
        <f>648/1161</f>
        <v>0.55813953488372092</v>
      </c>
      <c r="F3" s="51">
        <f>4336/36533</f>
        <v>0.11868721429940055</v>
      </c>
      <c r="G3" s="51">
        <f>E3/F3</f>
        <v>4.7026087702737494</v>
      </c>
    </row>
    <row r="4" spans="1:10" x14ac:dyDescent="0.35">
      <c r="B4" s="45" t="s">
        <v>60</v>
      </c>
    </row>
    <row r="5" spans="1:10" x14ac:dyDescent="0.35">
      <c r="B5" s="45"/>
    </row>
    <row r="6" spans="1:10" s="69" customFormat="1" x14ac:dyDescent="0.35">
      <c r="A6" s="63" t="s">
        <v>145</v>
      </c>
      <c r="B6" s="69" t="s">
        <v>122</v>
      </c>
      <c r="C6" s="69" t="s">
        <v>123</v>
      </c>
      <c r="D6" s="69" t="s">
        <v>124</v>
      </c>
      <c r="E6" s="69" t="s">
        <v>125</v>
      </c>
      <c r="F6" s="69" t="s">
        <v>126</v>
      </c>
    </row>
    <row r="7" spans="1:10" x14ac:dyDescent="0.35">
      <c r="A7" s="45" t="s">
        <v>149</v>
      </c>
      <c r="B7" s="51">
        <v>21</v>
      </c>
      <c r="C7" s="51">
        <v>21</v>
      </c>
      <c r="D7" s="51">
        <v>21</v>
      </c>
      <c r="E7" s="51">
        <f>B7/D7</f>
        <v>1</v>
      </c>
      <c r="F7" s="51">
        <f>C7/D7</f>
        <v>1</v>
      </c>
    </row>
    <row r="8" spans="1:10" x14ac:dyDescent="0.35">
      <c r="B8" s="48" t="s">
        <v>148</v>
      </c>
      <c r="C8" s="44" t="s">
        <v>146</v>
      </c>
      <c r="D8" s="44" t="s">
        <v>147</v>
      </c>
    </row>
    <row r="10" spans="1:10" x14ac:dyDescent="0.35">
      <c r="B10" s="45"/>
    </row>
    <row r="11" spans="1:10" s="61" customFormat="1" x14ac:dyDescent="0.35">
      <c r="A11" s="59" t="s">
        <v>50</v>
      </c>
      <c r="B11" s="60" t="s">
        <v>54</v>
      </c>
      <c r="C11" s="60" t="s">
        <v>55</v>
      </c>
      <c r="D11" s="60" t="s">
        <v>56</v>
      </c>
      <c r="E11" s="60" t="s">
        <v>57</v>
      </c>
      <c r="F11" s="60" t="s">
        <v>64</v>
      </c>
      <c r="G11" s="60" t="s">
        <v>65</v>
      </c>
      <c r="H11" s="60" t="s">
        <v>58</v>
      </c>
      <c r="I11" s="60" t="s">
        <v>61</v>
      </c>
    </row>
    <row r="12" spans="1:10" x14ac:dyDescent="0.35">
      <c r="A12" s="49" t="s">
        <v>51</v>
      </c>
      <c r="B12" s="51">
        <f>3936/4931</f>
        <v>0.79821537213546945</v>
      </c>
      <c r="C12" s="51">
        <f>(1-B12)</f>
        <v>0.20178462786453055</v>
      </c>
      <c r="D12" s="51">
        <f>187/5247</f>
        <v>3.5639412997903561E-2</v>
      </c>
      <c r="E12" s="51">
        <f>5060/5247</f>
        <v>0.96436058700209648</v>
      </c>
      <c r="F12" s="52">
        <f>B12/(D12+E12*D3)</f>
        <v>0.40743883006957199</v>
      </c>
      <c r="G12" s="53">
        <f>D3*F12</f>
        <v>0.81265711390746986</v>
      </c>
      <c r="H12" s="53">
        <f>1-F12</f>
        <v>0.59256116993042807</v>
      </c>
      <c r="I12" s="54">
        <f>1-G12</f>
        <v>0.18734288609253014</v>
      </c>
    </row>
    <row r="13" spans="1:10" x14ac:dyDescent="0.35">
      <c r="B13" s="45" t="s">
        <v>78</v>
      </c>
      <c r="D13" s="45" t="s">
        <v>79</v>
      </c>
      <c r="F13" s="45" t="s">
        <v>77</v>
      </c>
    </row>
    <row r="14" spans="1:10" x14ac:dyDescent="0.35">
      <c r="F14" s="45"/>
    </row>
    <row r="15" spans="1:10" x14ac:dyDescent="0.35">
      <c r="A15" s="64"/>
      <c r="B15" s="69" t="s">
        <v>118</v>
      </c>
      <c r="C15" s="69" t="s">
        <v>119</v>
      </c>
      <c r="D15" s="69" t="s">
        <v>120</v>
      </c>
      <c r="E15" s="69" t="s">
        <v>121</v>
      </c>
      <c r="F15" s="69" t="s">
        <v>127</v>
      </c>
      <c r="G15" s="69" t="s">
        <v>128</v>
      </c>
      <c r="H15" s="69" t="s">
        <v>129</v>
      </c>
      <c r="I15" s="50" t="s">
        <v>130</v>
      </c>
      <c r="J15" s="69" t="s">
        <v>131</v>
      </c>
    </row>
    <row r="16" spans="1:10" x14ac:dyDescent="0.35">
      <c r="B16" s="71">
        <v>13.4</v>
      </c>
      <c r="C16" s="51">
        <v>9.1999999999999993</v>
      </c>
      <c r="D16" s="51">
        <v>8.5</v>
      </c>
      <c r="E16" s="51">
        <v>12</v>
      </c>
      <c r="F16" s="51">
        <f>D16/E16</f>
        <v>0.70833333333333337</v>
      </c>
      <c r="G16" s="55">
        <f>C16/(F12*F16+H12)</f>
        <v>10.440739065375304</v>
      </c>
      <c r="H16" s="51">
        <f>C16/(G12*F16+I12)</f>
        <v>12.058062057322832</v>
      </c>
      <c r="I16" s="55">
        <f>H16*F16</f>
        <v>8.5411272906036739</v>
      </c>
      <c r="J16" s="55">
        <f>F16*G16</f>
        <v>7.395523504640841</v>
      </c>
    </row>
    <row r="17" spans="1:11" x14ac:dyDescent="0.35">
      <c r="B17" s="44" t="s">
        <v>133</v>
      </c>
      <c r="C17" s="44" t="s">
        <v>132</v>
      </c>
      <c r="D17" s="44" t="s">
        <v>138</v>
      </c>
      <c r="E17" s="44" t="s">
        <v>139</v>
      </c>
      <c r="G17" s="45" t="s">
        <v>73</v>
      </c>
      <c r="I17" s="45" t="s">
        <v>76</v>
      </c>
    </row>
    <row r="19" spans="1:11" s="69" customFormat="1" ht="15" thickBot="1" x14ac:dyDescent="0.4">
      <c r="A19" s="49" t="s">
        <v>81</v>
      </c>
      <c r="B19" s="69" t="s">
        <v>14</v>
      </c>
      <c r="C19" s="69" t="s">
        <v>15</v>
      </c>
      <c r="D19" s="69" t="s">
        <v>16</v>
      </c>
      <c r="E19" s="93" t="s">
        <v>92</v>
      </c>
      <c r="F19" s="93"/>
      <c r="G19" s="69" t="s">
        <v>93</v>
      </c>
      <c r="H19" s="69" t="s">
        <v>94</v>
      </c>
      <c r="I19" s="69" t="s">
        <v>88</v>
      </c>
      <c r="J19" s="69" t="s">
        <v>85</v>
      </c>
      <c r="K19" s="69" t="s">
        <v>86</v>
      </c>
    </row>
    <row r="20" spans="1:11" ht="15" thickBot="1" x14ac:dyDescent="0.4">
      <c r="B20" s="44">
        <v>0.16500000000000001</v>
      </c>
      <c r="C20" s="44">
        <v>6.0999999999999999E-2</v>
      </c>
      <c r="D20" s="44">
        <v>0.10199999999999999</v>
      </c>
      <c r="E20" s="94">
        <f>G16/(B21*E7+C21*F7+D21)</f>
        <v>10.440739065375306</v>
      </c>
      <c r="F20" s="95"/>
      <c r="G20" s="70">
        <f>E7*E20</f>
        <v>10.440739065375306</v>
      </c>
      <c r="H20" s="58">
        <f>F7*E20</f>
        <v>10.440739065375306</v>
      </c>
      <c r="I20" s="56">
        <f>J16/(B21*E7+C21*F7+D21)</f>
        <v>7.3955235046408418</v>
      </c>
      <c r="J20" s="56">
        <f>E7*I20</f>
        <v>7.3955235046408418</v>
      </c>
      <c r="K20" s="56">
        <f>F7*I20</f>
        <v>7.3955235046408418</v>
      </c>
    </row>
    <row r="21" spans="1:11" x14ac:dyDescent="0.35">
      <c r="A21" s="63" t="s">
        <v>83</v>
      </c>
      <c r="B21" s="51">
        <f>B20/(B20+C20+D20)</f>
        <v>0.50304878048780488</v>
      </c>
      <c r="C21" s="51">
        <f>C20/(B20+C20+D20)</f>
        <v>0.18597560975609756</v>
      </c>
      <c r="D21" s="51">
        <f>D20/(B20+C20+D20)</f>
        <v>0.3109756097560975</v>
      </c>
      <c r="E21" s="96" t="s">
        <v>95</v>
      </c>
      <c r="F21" s="96"/>
      <c r="G21" s="96"/>
      <c r="H21" s="96"/>
      <c r="I21" s="46" t="s">
        <v>112</v>
      </c>
    </row>
    <row r="22" spans="1:11" ht="15" thickBot="1" x14ac:dyDescent="0.4">
      <c r="B22" s="45" t="s">
        <v>82</v>
      </c>
      <c r="E22" s="93" t="s">
        <v>103</v>
      </c>
      <c r="F22" s="93"/>
      <c r="G22" s="69" t="s">
        <v>101</v>
      </c>
      <c r="H22" s="69" t="s">
        <v>102</v>
      </c>
    </row>
    <row r="23" spans="1:11" ht="15" thickBot="1" x14ac:dyDescent="0.4">
      <c r="E23" s="94">
        <f>I16/(B21*E7+C21*F7+D21)</f>
        <v>8.5411272906036757</v>
      </c>
      <c r="F23" s="95"/>
      <c r="G23" s="70">
        <f>E7*E23</f>
        <v>8.5411272906036757</v>
      </c>
      <c r="H23" s="58">
        <f>F7*E23</f>
        <v>8.5411272906036757</v>
      </c>
    </row>
    <row r="24" spans="1:11" x14ac:dyDescent="0.35">
      <c r="E24" s="92" t="s">
        <v>104</v>
      </c>
      <c r="F24" s="92"/>
      <c r="G24" s="92"/>
      <c r="H24" s="92"/>
    </row>
    <row r="25" spans="1:11" x14ac:dyDescent="0.35">
      <c r="E25" s="68"/>
      <c r="F25" s="68"/>
      <c r="G25" s="68"/>
      <c r="H25" s="68"/>
    </row>
    <row r="27" spans="1:11" s="61" customFormat="1" x14ac:dyDescent="0.35">
      <c r="A27" s="59" t="s">
        <v>39</v>
      </c>
      <c r="B27" s="60" t="s">
        <v>54</v>
      </c>
      <c r="C27" s="60" t="s">
        <v>55</v>
      </c>
      <c r="D27" s="60" t="s">
        <v>56</v>
      </c>
      <c r="E27" s="60" t="s">
        <v>57</v>
      </c>
      <c r="F27" s="60" t="s">
        <v>64</v>
      </c>
      <c r="G27" s="60" t="s">
        <v>65</v>
      </c>
      <c r="H27" s="60" t="s">
        <v>58</v>
      </c>
      <c r="I27" s="60" t="s">
        <v>61</v>
      </c>
    </row>
    <row r="28" spans="1:11" x14ac:dyDescent="0.35">
      <c r="A28" s="49" t="s">
        <v>51</v>
      </c>
      <c r="B28" s="51">
        <f>18038/20559</f>
        <v>0.87737730434359651</v>
      </c>
      <c r="C28" s="51">
        <f>(1-B28)</f>
        <v>0.12262269565640349</v>
      </c>
      <c r="D28" s="51">
        <f>631/21755</f>
        <v>2.9004826476672029E-2</v>
      </c>
      <c r="E28" s="51">
        <f>21124/21755</f>
        <v>0.97099517352332798</v>
      </c>
      <c r="F28" s="52">
        <f>B28/(D28+E28*D3)</f>
        <v>0.44634270677524207</v>
      </c>
      <c r="G28" s="53">
        <f>D3*F28</f>
        <v>0.89025284075079358</v>
      </c>
      <c r="H28" s="53">
        <f>1-F28</f>
        <v>0.55365729322475787</v>
      </c>
      <c r="I28" s="54">
        <f>1-G28</f>
        <v>0.10974715924920642</v>
      </c>
    </row>
    <row r="29" spans="1:11" x14ac:dyDescent="0.35">
      <c r="B29" s="45" t="s">
        <v>105</v>
      </c>
      <c r="D29" s="45" t="s">
        <v>106</v>
      </c>
      <c r="F29" s="45" t="s">
        <v>96</v>
      </c>
    </row>
    <row r="30" spans="1:11" x14ac:dyDescent="0.35">
      <c r="F30" s="45"/>
    </row>
    <row r="31" spans="1:11" x14ac:dyDescent="0.35">
      <c r="A31" s="64"/>
      <c r="B31" s="69" t="s">
        <v>118</v>
      </c>
      <c r="C31" s="69" t="s">
        <v>119</v>
      </c>
      <c r="D31" s="69" t="s">
        <v>120</v>
      </c>
      <c r="E31" s="69" t="s">
        <v>121</v>
      </c>
      <c r="F31" s="69" t="s">
        <v>127</v>
      </c>
      <c r="G31" s="69" t="s">
        <v>128</v>
      </c>
      <c r="H31" s="69" t="s">
        <v>129</v>
      </c>
      <c r="I31" s="50" t="s">
        <v>130</v>
      </c>
      <c r="J31" s="69" t="s">
        <v>131</v>
      </c>
    </row>
    <row r="32" spans="1:11" x14ac:dyDescent="0.35">
      <c r="B32" s="51">
        <v>14.6</v>
      </c>
      <c r="C32" s="51">
        <v>9</v>
      </c>
      <c r="D32" s="51">
        <v>8.5</v>
      </c>
      <c r="E32" s="51">
        <v>13.3</v>
      </c>
      <c r="F32" s="51">
        <f>D32/E32</f>
        <v>0.63909774436090228</v>
      </c>
      <c r="G32" s="55">
        <f>B32/(F28*F32+H28)</f>
        <v>17.40345441898717</v>
      </c>
      <c r="H32" s="51">
        <f>C32/(G28*F32+I28)</f>
        <v>13.260533169603468</v>
      </c>
      <c r="I32" s="55">
        <f>H32*F32</f>
        <v>8.4747768377165027</v>
      </c>
      <c r="J32" s="55">
        <f>F32*G32</f>
        <v>11.122508463262477</v>
      </c>
    </row>
    <row r="33" spans="1:11" x14ac:dyDescent="0.35">
      <c r="B33" s="44" t="s">
        <v>135</v>
      </c>
      <c r="C33" s="44" t="s">
        <v>134</v>
      </c>
      <c r="D33" s="44" t="s">
        <v>140</v>
      </c>
      <c r="E33" s="44" t="s">
        <v>141</v>
      </c>
      <c r="G33" s="45" t="s">
        <v>73</v>
      </c>
      <c r="I33" s="45" t="s">
        <v>76</v>
      </c>
    </row>
    <row r="35" spans="1:11" s="69" customFormat="1" ht="15" thickBot="1" x14ac:dyDescent="0.4">
      <c r="A35" s="49" t="s">
        <v>109</v>
      </c>
      <c r="B35" s="69" t="s">
        <v>14</v>
      </c>
      <c r="C35" s="69" t="s">
        <v>15</v>
      </c>
      <c r="D35" s="69" t="s">
        <v>16</v>
      </c>
      <c r="E35" s="93" t="s">
        <v>98</v>
      </c>
      <c r="F35" s="93"/>
      <c r="G35" s="69" t="s">
        <v>99</v>
      </c>
      <c r="H35" s="69" t="s">
        <v>100</v>
      </c>
      <c r="I35" s="69" t="s">
        <v>88</v>
      </c>
      <c r="J35" s="69" t="s">
        <v>85</v>
      </c>
      <c r="K35" s="69" t="s">
        <v>86</v>
      </c>
    </row>
    <row r="36" spans="1:11" ht="15" thickBot="1" x14ac:dyDescent="0.4">
      <c r="B36" s="38">
        <v>0.10299999999999999</v>
      </c>
      <c r="C36" s="38">
        <v>7.0000000000000001E-3</v>
      </c>
      <c r="D36" s="38">
        <v>0.10100000000000001</v>
      </c>
      <c r="E36" s="94">
        <f>G32/(B37*E7+C37*F7+D37)</f>
        <v>17.40345441898717</v>
      </c>
      <c r="F36" s="95"/>
      <c r="G36" s="70">
        <f>E7*E36</f>
        <v>17.40345441898717</v>
      </c>
      <c r="H36" s="58">
        <f>F7*E36</f>
        <v>17.40345441898717</v>
      </c>
      <c r="I36" s="56">
        <f>J32/(B37*E7+C37*F7+D37)</f>
        <v>11.122508463262477</v>
      </c>
      <c r="J36" s="56">
        <f>E7*I36</f>
        <v>11.122508463262477</v>
      </c>
      <c r="K36" s="56">
        <f>F7*I36</f>
        <v>11.122508463262477</v>
      </c>
    </row>
    <row r="37" spans="1:11" x14ac:dyDescent="0.35">
      <c r="A37" s="63" t="s">
        <v>83</v>
      </c>
      <c r="B37" s="51">
        <f>B36/(B36+C36+D36)</f>
        <v>0.48815165876777245</v>
      </c>
      <c r="C37" s="51">
        <f>C36/(B36+C36+D36)</f>
        <v>3.3175355450236962E-2</v>
      </c>
      <c r="D37" s="51">
        <f>D36/(B36+C36+D36)</f>
        <v>0.47867298578199052</v>
      </c>
      <c r="E37" s="96" t="s">
        <v>107</v>
      </c>
      <c r="F37" s="96"/>
      <c r="G37" s="96"/>
      <c r="H37" s="96"/>
      <c r="I37" s="46" t="s">
        <v>112</v>
      </c>
    </row>
    <row r="38" spans="1:11" ht="15" thickBot="1" x14ac:dyDescent="0.4">
      <c r="B38" s="45" t="s">
        <v>97</v>
      </c>
      <c r="E38" s="93" t="s">
        <v>103</v>
      </c>
      <c r="F38" s="93"/>
      <c r="G38" s="69" t="s">
        <v>101</v>
      </c>
      <c r="H38" s="69" t="s">
        <v>102</v>
      </c>
    </row>
    <row r="39" spans="1:11" ht="15" thickBot="1" x14ac:dyDescent="0.4">
      <c r="E39" s="94">
        <f>I32/(B37*E7+C37*F7+D37)</f>
        <v>8.4747768377165027</v>
      </c>
      <c r="F39" s="95"/>
      <c r="G39" s="70">
        <f>E7*E39</f>
        <v>8.4747768377165027</v>
      </c>
      <c r="H39" s="58">
        <f>F7*E39</f>
        <v>8.4747768377165027</v>
      </c>
    </row>
    <row r="40" spans="1:11" x14ac:dyDescent="0.35">
      <c r="E40" s="96" t="s">
        <v>108</v>
      </c>
      <c r="F40" s="96"/>
      <c r="G40" s="96"/>
      <c r="H40" s="96"/>
    </row>
    <row r="43" spans="1:11" s="61" customFormat="1" x14ac:dyDescent="0.35">
      <c r="A43" s="59" t="s">
        <v>145</v>
      </c>
      <c r="B43" s="60" t="s">
        <v>54</v>
      </c>
      <c r="C43" s="60" t="s">
        <v>55</v>
      </c>
      <c r="D43" s="60" t="s">
        <v>56</v>
      </c>
      <c r="E43" s="60" t="s">
        <v>57</v>
      </c>
      <c r="F43" s="60" t="s">
        <v>64</v>
      </c>
      <c r="G43" s="60" t="s">
        <v>65</v>
      </c>
      <c r="H43" s="60" t="s">
        <v>58</v>
      </c>
      <c r="I43" s="60" t="s">
        <v>61</v>
      </c>
    </row>
    <row r="44" spans="1:11" x14ac:dyDescent="0.35">
      <c r="A44" s="49" t="s">
        <v>51</v>
      </c>
      <c r="B44" s="51">
        <f>10736/12204</f>
        <v>0.87971156997705668</v>
      </c>
      <c r="C44" s="51">
        <f>(1-B44)</f>
        <v>0.12028843002294332</v>
      </c>
      <c r="D44" s="51">
        <f>409/13135</f>
        <v>3.1138180433955082E-2</v>
      </c>
      <c r="E44" s="51">
        <f>21124/21755</f>
        <v>0.97099517352332798</v>
      </c>
      <c r="F44" s="52">
        <f>B44/(D44+E44*D3)</f>
        <v>0.44704503066672313</v>
      </c>
      <c r="G44" s="53">
        <f>D3*F44</f>
        <v>0.89165366086060449</v>
      </c>
      <c r="H44" s="53">
        <f>1-F44</f>
        <v>0.55295496933327692</v>
      </c>
      <c r="I44" s="54">
        <f>1-G44</f>
        <v>0.10834633913939551</v>
      </c>
    </row>
    <row r="45" spans="1:11" x14ac:dyDescent="0.35">
      <c r="B45" s="45" t="s">
        <v>185</v>
      </c>
      <c r="D45" s="45" t="s">
        <v>186</v>
      </c>
      <c r="F45" s="45" t="s">
        <v>96</v>
      </c>
    </row>
    <row r="46" spans="1:11" x14ac:dyDescent="0.35">
      <c r="F46" s="45"/>
    </row>
    <row r="47" spans="1:11" x14ac:dyDescent="0.35">
      <c r="A47" s="64"/>
      <c r="B47" s="69" t="s">
        <v>118</v>
      </c>
      <c r="C47" s="69" t="s">
        <v>119</v>
      </c>
      <c r="D47" s="69" t="s">
        <v>120</v>
      </c>
      <c r="E47" s="69" t="s">
        <v>121</v>
      </c>
      <c r="F47" s="69" t="s">
        <v>127</v>
      </c>
      <c r="G47" s="69" t="s">
        <v>128</v>
      </c>
      <c r="H47" s="69" t="s">
        <v>129</v>
      </c>
      <c r="I47" s="50" t="s">
        <v>130</v>
      </c>
      <c r="J47" s="69" t="s">
        <v>131</v>
      </c>
    </row>
    <row r="48" spans="1:11" x14ac:dyDescent="0.35">
      <c r="B48" s="51">
        <v>18</v>
      </c>
      <c r="C48" s="51">
        <v>10.9</v>
      </c>
      <c r="D48" s="51">
        <v>9.9</v>
      </c>
      <c r="E48" s="51">
        <v>18.899999999999999</v>
      </c>
      <c r="F48" s="51">
        <f>D48/E48</f>
        <v>0.52380952380952384</v>
      </c>
      <c r="G48" s="55">
        <f>B48/(F44*F48+H44)</f>
        <v>22.868136580421613</v>
      </c>
      <c r="H48" s="51">
        <f>C48/(G44*F48+I44)</f>
        <v>18.943244381658523</v>
      </c>
      <c r="I48" s="55">
        <f>H48*F48</f>
        <v>9.9226518189639883</v>
      </c>
      <c r="J48" s="55">
        <f>F48*G48</f>
        <v>11.978547732601799</v>
      </c>
    </row>
    <row r="49" spans="1:11" x14ac:dyDescent="0.35">
      <c r="B49" s="44" t="s">
        <v>137</v>
      </c>
      <c r="C49" s="44" t="s">
        <v>136</v>
      </c>
      <c r="D49" s="44" t="s">
        <v>142</v>
      </c>
      <c r="E49" s="44" t="s">
        <v>143</v>
      </c>
      <c r="G49" s="45" t="s">
        <v>73</v>
      </c>
      <c r="I49" s="45" t="s">
        <v>76</v>
      </c>
    </row>
    <row r="51" spans="1:11" s="69" customFormat="1" ht="15" thickBot="1" x14ac:dyDescent="0.4">
      <c r="A51" s="49" t="s">
        <v>190</v>
      </c>
      <c r="B51" s="69" t="s">
        <v>14</v>
      </c>
      <c r="C51" s="69" t="s">
        <v>15</v>
      </c>
      <c r="D51" s="69" t="s">
        <v>16</v>
      </c>
      <c r="E51" s="93" t="s">
        <v>98</v>
      </c>
      <c r="F51" s="93"/>
      <c r="G51" s="69" t="s">
        <v>99</v>
      </c>
      <c r="H51" s="69" t="s">
        <v>100</v>
      </c>
      <c r="I51" s="69" t="s">
        <v>88</v>
      </c>
      <c r="J51" s="69" t="s">
        <v>85</v>
      </c>
      <c r="K51" s="69" t="s">
        <v>86</v>
      </c>
    </row>
    <row r="52" spans="1:11" ht="15" thickBot="1" x14ac:dyDescent="0.4">
      <c r="B52" s="38">
        <v>0.04</v>
      </c>
      <c r="C52" s="38">
        <v>2.1999999999999999E-2</v>
      </c>
      <c r="D52" s="38">
        <v>8.4000000000000005E-2</v>
      </c>
      <c r="E52" s="94">
        <f>G48/(B53*E7+C53*F7+D53)</f>
        <v>22.868136580421616</v>
      </c>
      <c r="F52" s="95"/>
      <c r="G52" s="70">
        <f>E7*E52</f>
        <v>22.868136580421616</v>
      </c>
      <c r="H52" s="58">
        <f>F7*E52</f>
        <v>22.868136580421616</v>
      </c>
      <c r="I52" s="56">
        <f>J48/(B53*E7+C53*F7+D53)</f>
        <v>11.9785477326018</v>
      </c>
      <c r="J52" s="56">
        <f>E7*I52</f>
        <v>11.9785477326018</v>
      </c>
      <c r="K52" s="56">
        <f>F7*I52</f>
        <v>11.9785477326018</v>
      </c>
    </row>
    <row r="53" spans="1:11" x14ac:dyDescent="0.35">
      <c r="A53" s="63" t="s">
        <v>83</v>
      </c>
      <c r="B53" s="51">
        <f>B52/(B52+C52+D52)</f>
        <v>0.27397260273972601</v>
      </c>
      <c r="C53" s="51">
        <f>C52/(B52+C52+D52)</f>
        <v>0.15068493150684928</v>
      </c>
      <c r="D53" s="51">
        <f>D52/(B52+C52+D52)</f>
        <v>0.57534246575342463</v>
      </c>
      <c r="E53" s="96" t="s">
        <v>187</v>
      </c>
      <c r="F53" s="96"/>
      <c r="G53" s="96"/>
      <c r="H53" s="96"/>
      <c r="I53" s="46" t="s">
        <v>112</v>
      </c>
    </row>
    <row r="54" spans="1:11" ht="15" thickBot="1" x14ac:dyDescent="0.4">
      <c r="B54" s="45" t="s">
        <v>188</v>
      </c>
      <c r="E54" s="93" t="s">
        <v>103</v>
      </c>
      <c r="F54" s="93"/>
      <c r="G54" s="69" t="s">
        <v>101</v>
      </c>
      <c r="H54" s="69" t="s">
        <v>102</v>
      </c>
    </row>
    <row r="55" spans="1:11" ht="15" thickBot="1" x14ac:dyDescent="0.4">
      <c r="E55" s="94">
        <f>I48/(B53*E7+C53*F7+D53)</f>
        <v>9.9226518189639901</v>
      </c>
      <c r="F55" s="95"/>
      <c r="G55" s="70">
        <f>E7*E55</f>
        <v>9.9226518189639901</v>
      </c>
      <c r="H55" s="58">
        <f>F7*E55</f>
        <v>9.9226518189639901</v>
      </c>
    </row>
    <row r="56" spans="1:11" x14ac:dyDescent="0.35">
      <c r="E56" s="96" t="s">
        <v>189</v>
      </c>
      <c r="F56" s="96"/>
      <c r="G56" s="96"/>
      <c r="H56" s="96"/>
    </row>
  </sheetData>
  <mergeCells count="19">
    <mergeCell ref="E39:F39"/>
    <mergeCell ref="A1:I1"/>
    <mergeCell ref="E19:F19"/>
    <mergeCell ref="E20:F20"/>
    <mergeCell ref="E21:H21"/>
    <mergeCell ref="E22:F22"/>
    <mergeCell ref="E23:F23"/>
    <mergeCell ref="E24:H24"/>
    <mergeCell ref="E35:F35"/>
    <mergeCell ref="E36:F36"/>
    <mergeCell ref="E37:H37"/>
    <mergeCell ref="E38:F38"/>
    <mergeCell ref="E56:H56"/>
    <mergeCell ref="E40:H40"/>
    <mergeCell ref="E51:F51"/>
    <mergeCell ref="E52:F52"/>
    <mergeCell ref="E53:H53"/>
    <mergeCell ref="E54:F54"/>
    <mergeCell ref="E55:F55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66"/>
  <sheetViews>
    <sheetView topLeftCell="A10" zoomScale="55" zoomScaleNormal="55" workbookViewId="0">
      <selection activeCell="T29" sqref="A1:XFD1048576"/>
    </sheetView>
  </sheetViews>
  <sheetFormatPr defaultRowHeight="14.5" x14ac:dyDescent="0.35"/>
  <cols>
    <col min="1" max="1" width="15.1796875" customWidth="1"/>
  </cols>
  <sheetData>
    <row r="1" spans="1:1025" x14ac:dyDescent="0.35">
      <c r="A1" s="15" t="s">
        <v>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</row>
    <row r="2" spans="1:1025" s="19" customFormat="1" x14ac:dyDescent="0.35">
      <c r="A2" s="16" t="s">
        <v>1</v>
      </c>
      <c r="B2" s="17">
        <v>2486</v>
      </c>
      <c r="C2" s="17">
        <v>2727</v>
      </c>
      <c r="D2" s="17">
        <v>2822</v>
      </c>
      <c r="E2" s="17">
        <v>3101</v>
      </c>
      <c r="F2" s="17">
        <v>3537</v>
      </c>
      <c r="G2" s="17">
        <v>3076</v>
      </c>
      <c r="H2" s="17">
        <v>2714</v>
      </c>
      <c r="I2" s="17">
        <v>2267</v>
      </c>
      <c r="J2" s="17">
        <v>2107</v>
      </c>
      <c r="K2" s="17">
        <v>1829</v>
      </c>
      <c r="L2" s="17">
        <v>1631</v>
      </c>
      <c r="M2" s="17">
        <v>1488</v>
      </c>
      <c r="N2" s="17">
        <v>615</v>
      </c>
      <c r="O2" s="17">
        <v>6849</v>
      </c>
      <c r="P2" s="17">
        <v>6578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</row>
    <row r="3" spans="1:1025" s="19" customFormat="1" x14ac:dyDescent="0.35">
      <c r="A3" s="20" t="s">
        <v>2</v>
      </c>
      <c r="B3" s="21">
        <v>323.18</v>
      </c>
      <c r="C3" s="21">
        <v>436.32</v>
      </c>
      <c r="D3" s="21">
        <v>507.96</v>
      </c>
      <c r="E3" s="21">
        <v>589.19000000000005</v>
      </c>
      <c r="F3" s="21">
        <v>707.4</v>
      </c>
      <c r="G3" s="21">
        <v>522.91999999999996</v>
      </c>
      <c r="H3" s="21">
        <v>488.52</v>
      </c>
      <c r="I3" s="21">
        <v>385.39</v>
      </c>
      <c r="J3" s="21">
        <v>379.26</v>
      </c>
      <c r="K3" s="21">
        <v>310.93</v>
      </c>
      <c r="L3" s="21">
        <v>326.2</v>
      </c>
      <c r="M3" s="21">
        <v>282.72000000000003</v>
      </c>
      <c r="N3" s="21">
        <v>153.75</v>
      </c>
      <c r="O3" s="21">
        <f>0.2*O2</f>
        <v>1369.8000000000002</v>
      </c>
      <c r="P3" s="21">
        <f>0.19*P2</f>
        <v>1249.82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</row>
    <row r="4" spans="1:1025" s="19" customFormat="1" x14ac:dyDescent="0.35">
      <c r="A4" s="16" t="s">
        <v>3</v>
      </c>
      <c r="B4" s="17">
        <v>681</v>
      </c>
      <c r="C4" s="17">
        <v>887</v>
      </c>
      <c r="D4" s="17">
        <v>955</v>
      </c>
      <c r="E4" s="17">
        <v>998</v>
      </c>
      <c r="F4" s="17">
        <v>1187</v>
      </c>
      <c r="G4" s="17">
        <v>1143</v>
      </c>
      <c r="H4" s="17">
        <v>890</v>
      </c>
      <c r="I4" s="17">
        <v>860</v>
      </c>
      <c r="J4" s="17">
        <v>757</v>
      </c>
      <c r="K4" s="17">
        <v>603</v>
      </c>
      <c r="L4" s="17">
        <v>419</v>
      </c>
      <c r="M4" s="17">
        <v>365</v>
      </c>
      <c r="N4" s="17">
        <v>163</v>
      </c>
      <c r="O4" s="17">
        <v>831</v>
      </c>
      <c r="P4" s="17">
        <v>738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</row>
    <row r="5" spans="1:1025" s="19" customFormat="1" x14ac:dyDescent="0.35">
      <c r="A5" s="20" t="s">
        <v>4</v>
      </c>
      <c r="B5" s="21">
        <v>61.29</v>
      </c>
      <c r="C5" s="21">
        <v>124.18</v>
      </c>
      <c r="D5" s="21">
        <v>191</v>
      </c>
      <c r="E5" s="21">
        <v>179.64</v>
      </c>
      <c r="F5" s="21">
        <v>213.66</v>
      </c>
      <c r="G5" s="21">
        <v>262.89</v>
      </c>
      <c r="H5" s="21">
        <v>186.9</v>
      </c>
      <c r="I5" s="21">
        <v>301</v>
      </c>
      <c r="J5" s="21">
        <v>295.23</v>
      </c>
      <c r="K5" s="21">
        <v>301.5</v>
      </c>
      <c r="L5" s="21">
        <v>184.36</v>
      </c>
      <c r="M5" s="21">
        <v>135.05000000000001</v>
      </c>
      <c r="N5" s="21">
        <v>70.09</v>
      </c>
      <c r="O5" s="21">
        <f>0.54*O4</f>
        <v>448.74</v>
      </c>
      <c r="P5" s="21">
        <f>0.49*P4</f>
        <v>361.62</v>
      </c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</row>
    <row r="6" spans="1:1025" s="19" customFormat="1" x14ac:dyDescent="0.35">
      <c r="A6" s="2" t="s">
        <v>5</v>
      </c>
      <c r="B6" s="3">
        <v>3230</v>
      </c>
      <c r="C6" s="3">
        <v>3459</v>
      </c>
      <c r="D6" s="3">
        <v>3697</v>
      </c>
      <c r="E6" s="3">
        <v>3733</v>
      </c>
      <c r="F6" s="3">
        <v>4616</v>
      </c>
      <c r="G6" s="3">
        <v>4696</v>
      </c>
      <c r="H6" s="3">
        <v>4158</v>
      </c>
      <c r="I6" s="3">
        <v>3732</v>
      </c>
      <c r="J6" s="3">
        <v>3745</v>
      </c>
      <c r="K6" s="3">
        <v>3286</v>
      </c>
      <c r="L6" s="3">
        <v>3039</v>
      </c>
      <c r="M6" s="3">
        <v>2503</v>
      </c>
      <c r="N6" s="3">
        <v>1173</v>
      </c>
      <c r="O6" s="3">
        <v>6162</v>
      </c>
      <c r="P6" s="3">
        <v>6395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  <c r="AGD6" s="18"/>
      <c r="AGE6" s="18"/>
      <c r="AGF6" s="18"/>
      <c r="AGG6" s="18"/>
      <c r="AGH6" s="18"/>
      <c r="AGI6" s="18"/>
      <c r="AGJ6" s="18"/>
      <c r="AGK6" s="18"/>
      <c r="AGL6" s="18"/>
      <c r="AGM6" s="18"/>
      <c r="AGN6" s="18"/>
      <c r="AGO6" s="18"/>
      <c r="AGP6" s="18"/>
      <c r="AGQ6" s="18"/>
      <c r="AGR6" s="18"/>
      <c r="AGS6" s="18"/>
      <c r="AGT6" s="18"/>
      <c r="AGU6" s="18"/>
      <c r="AGV6" s="18"/>
      <c r="AGW6" s="18"/>
      <c r="AGX6" s="18"/>
      <c r="AGY6" s="18"/>
      <c r="AGZ6" s="18"/>
      <c r="AHA6" s="18"/>
      <c r="AHB6" s="18"/>
      <c r="AHC6" s="18"/>
      <c r="AHD6" s="18"/>
      <c r="AHE6" s="18"/>
      <c r="AHF6" s="18"/>
      <c r="AHG6" s="18"/>
      <c r="AHH6" s="18"/>
      <c r="AHI6" s="18"/>
      <c r="AHJ6" s="18"/>
      <c r="AHK6" s="18"/>
      <c r="AHL6" s="18"/>
      <c r="AHM6" s="18"/>
      <c r="AHN6" s="18"/>
      <c r="AHO6" s="18"/>
      <c r="AHP6" s="18"/>
      <c r="AHQ6" s="18"/>
      <c r="AHR6" s="18"/>
      <c r="AHS6" s="18"/>
      <c r="AHT6" s="18"/>
      <c r="AHU6" s="18"/>
      <c r="AHV6" s="18"/>
      <c r="AHW6" s="18"/>
      <c r="AHX6" s="18"/>
      <c r="AHY6" s="18"/>
      <c r="AHZ6" s="18"/>
      <c r="AIA6" s="18"/>
      <c r="AIB6" s="18"/>
      <c r="AIC6" s="18"/>
      <c r="AID6" s="18"/>
      <c r="AIE6" s="18"/>
      <c r="AIF6" s="18"/>
      <c r="AIG6" s="18"/>
      <c r="AIH6" s="18"/>
      <c r="AII6" s="18"/>
      <c r="AIJ6" s="18"/>
      <c r="AIK6" s="18"/>
      <c r="AIL6" s="18"/>
      <c r="AIM6" s="18"/>
      <c r="AIN6" s="18"/>
      <c r="AIO6" s="18"/>
      <c r="AIP6" s="18"/>
      <c r="AIQ6" s="18"/>
      <c r="AIR6" s="18"/>
      <c r="AIS6" s="18"/>
      <c r="AIT6" s="18"/>
      <c r="AIU6" s="18"/>
      <c r="AIV6" s="18"/>
      <c r="AIW6" s="18"/>
      <c r="AIX6" s="18"/>
      <c r="AIY6" s="18"/>
      <c r="AIZ6" s="18"/>
      <c r="AJA6" s="18"/>
      <c r="AJB6" s="18"/>
      <c r="AJC6" s="18"/>
      <c r="AJD6" s="18"/>
      <c r="AJE6" s="18"/>
      <c r="AJF6" s="18"/>
      <c r="AJG6" s="18"/>
      <c r="AJH6" s="18"/>
      <c r="AJI6" s="18"/>
      <c r="AJJ6" s="18"/>
      <c r="AJK6" s="18"/>
      <c r="AJL6" s="18"/>
      <c r="AJM6" s="18"/>
      <c r="AJN6" s="18"/>
      <c r="AJO6" s="18"/>
      <c r="AJP6" s="18"/>
      <c r="AJQ6" s="18"/>
      <c r="AJR6" s="18"/>
      <c r="AJS6" s="18"/>
      <c r="AJT6" s="18"/>
      <c r="AJU6" s="18"/>
      <c r="AJV6" s="18"/>
      <c r="AJW6" s="18"/>
      <c r="AJX6" s="18"/>
      <c r="AJY6" s="18"/>
      <c r="AJZ6" s="18"/>
      <c r="AKA6" s="18"/>
      <c r="AKB6" s="18"/>
      <c r="AKC6" s="18"/>
      <c r="AKD6" s="18"/>
      <c r="AKE6" s="18"/>
      <c r="AKF6" s="18"/>
      <c r="AKG6" s="18"/>
      <c r="AKH6" s="18"/>
      <c r="AKI6" s="18"/>
      <c r="AKJ6" s="18"/>
      <c r="AKK6" s="18"/>
      <c r="AKL6" s="18"/>
      <c r="AKM6" s="18"/>
      <c r="AKN6" s="18"/>
      <c r="AKO6" s="18"/>
      <c r="AKP6" s="18"/>
      <c r="AKQ6" s="18"/>
      <c r="AKR6" s="18"/>
      <c r="AKS6" s="18"/>
      <c r="AKT6" s="18"/>
      <c r="AKU6" s="18"/>
      <c r="AKV6" s="18"/>
      <c r="AKW6" s="18"/>
      <c r="AKX6" s="18"/>
      <c r="AKY6" s="18"/>
      <c r="AKZ6" s="18"/>
      <c r="ALA6" s="18"/>
      <c r="ALB6" s="18"/>
      <c r="ALC6" s="18"/>
      <c r="ALD6" s="18"/>
      <c r="ALE6" s="18"/>
      <c r="ALF6" s="18"/>
      <c r="ALG6" s="18"/>
      <c r="ALH6" s="18"/>
      <c r="ALI6" s="18"/>
      <c r="ALJ6" s="18"/>
      <c r="ALK6" s="18"/>
      <c r="ALL6" s="18"/>
      <c r="ALM6" s="18"/>
      <c r="ALN6" s="18"/>
      <c r="ALO6" s="18"/>
      <c r="ALP6" s="18"/>
      <c r="ALQ6" s="18"/>
      <c r="ALR6" s="18"/>
      <c r="ALS6" s="18"/>
      <c r="ALT6" s="18"/>
      <c r="ALU6" s="18"/>
      <c r="ALV6" s="18"/>
      <c r="ALW6" s="18"/>
      <c r="ALX6" s="18"/>
      <c r="ALY6" s="18"/>
      <c r="ALZ6" s="18"/>
      <c r="AMA6" s="18"/>
      <c r="AMB6" s="18"/>
      <c r="AMC6" s="18"/>
      <c r="AMD6" s="18"/>
      <c r="AME6" s="18"/>
      <c r="AMF6" s="18"/>
      <c r="AMG6" s="18"/>
      <c r="AMH6" s="18"/>
      <c r="AMI6" s="18"/>
      <c r="AMJ6" s="18"/>
      <c r="AMK6" s="18"/>
    </row>
    <row r="7" spans="1:1025" s="19" customFormat="1" x14ac:dyDescent="0.35">
      <c r="A7" s="20" t="s">
        <v>6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46.96</v>
      </c>
      <c r="H7" s="21">
        <v>41.58</v>
      </c>
      <c r="I7" s="21">
        <v>74.64</v>
      </c>
      <c r="J7" s="21">
        <v>187.25</v>
      </c>
      <c r="K7" s="21">
        <v>164.3</v>
      </c>
      <c r="L7" s="21">
        <v>151.94999999999999</v>
      </c>
      <c r="M7" s="21">
        <v>175.21</v>
      </c>
      <c r="N7" s="21">
        <v>117.3</v>
      </c>
      <c r="O7" s="21">
        <f>0.1*O6</f>
        <v>616.20000000000005</v>
      </c>
      <c r="P7" s="21">
        <f>0.08*P6</f>
        <v>511.6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</row>
    <row r="10" spans="1:1025" x14ac:dyDescent="0.35">
      <c r="A10" s="2" t="s">
        <v>19</v>
      </c>
    </row>
    <row r="11" spans="1:1025" x14ac:dyDescent="0.35">
      <c r="A11" s="2"/>
    </row>
    <row r="12" spans="1:1025" s="22" customFormat="1" x14ac:dyDescent="0.35">
      <c r="A12" s="22" t="s">
        <v>23</v>
      </c>
      <c r="B12" s="22">
        <v>34</v>
      </c>
      <c r="C12" s="22">
        <v>187</v>
      </c>
      <c r="D12" s="22">
        <v>220</v>
      </c>
      <c r="E12" s="22">
        <v>63</v>
      </c>
      <c r="F12" s="22">
        <v>61</v>
      </c>
      <c r="G12" s="22">
        <v>319</v>
      </c>
      <c r="H12" s="22">
        <v>512</v>
      </c>
      <c r="I12" s="22">
        <v>587</v>
      </c>
      <c r="J12" s="22">
        <v>749</v>
      </c>
      <c r="K12" s="22">
        <v>730</v>
      </c>
      <c r="L12" s="22">
        <v>920</v>
      </c>
      <c r="M12" s="22">
        <v>975</v>
      </c>
      <c r="N12" s="22">
        <v>1215</v>
      </c>
      <c r="O12" s="22">
        <v>1784</v>
      </c>
      <c r="P12" s="22">
        <v>2053</v>
      </c>
      <c r="Q12" s="22">
        <v>1648</v>
      </c>
      <c r="R12" s="22">
        <v>10</v>
      </c>
    </row>
    <row r="13" spans="1:1025" s="22" customFormat="1" x14ac:dyDescent="0.35">
      <c r="A13" s="22" t="s">
        <v>20</v>
      </c>
      <c r="B13" s="22">
        <v>5</v>
      </c>
      <c r="C13" s="22">
        <v>20</v>
      </c>
      <c r="D13" s="22">
        <v>12</v>
      </c>
      <c r="E13" s="22">
        <v>8</v>
      </c>
      <c r="F13" s="22">
        <v>9</v>
      </c>
      <c r="G13" s="22">
        <v>32</v>
      </c>
      <c r="H13" s="22">
        <v>46</v>
      </c>
      <c r="I13" s="22">
        <v>80</v>
      </c>
      <c r="J13" s="22">
        <v>122</v>
      </c>
      <c r="K13" s="22">
        <v>90</v>
      </c>
      <c r="L13" s="22">
        <v>130</v>
      </c>
      <c r="M13" s="22">
        <v>142</v>
      </c>
      <c r="N13" s="22">
        <v>187</v>
      </c>
      <c r="O13" s="22">
        <v>306</v>
      </c>
      <c r="P13" s="22">
        <v>362</v>
      </c>
      <c r="Q13" s="22">
        <v>293</v>
      </c>
      <c r="R13" s="22">
        <v>1</v>
      </c>
    </row>
    <row r="14" spans="1:1025" x14ac:dyDescent="0.35">
      <c r="A14" t="s">
        <v>24</v>
      </c>
      <c r="B14">
        <v>2</v>
      </c>
      <c r="C14">
        <v>13</v>
      </c>
      <c r="D14">
        <v>27</v>
      </c>
      <c r="E14">
        <v>5</v>
      </c>
      <c r="F14">
        <v>12</v>
      </c>
      <c r="G14">
        <v>42</v>
      </c>
      <c r="H14">
        <v>68</v>
      </c>
      <c r="I14">
        <v>85</v>
      </c>
      <c r="J14">
        <v>140</v>
      </c>
      <c r="K14">
        <v>87</v>
      </c>
      <c r="L14">
        <v>99</v>
      </c>
      <c r="M14">
        <v>116</v>
      </c>
      <c r="N14">
        <v>157</v>
      </c>
      <c r="O14">
        <v>264</v>
      </c>
      <c r="P14">
        <v>324</v>
      </c>
      <c r="Q14">
        <v>238</v>
      </c>
      <c r="R14">
        <v>0</v>
      </c>
    </row>
    <row r="15" spans="1:1025" x14ac:dyDescent="0.35">
      <c r="A15" t="s">
        <v>20</v>
      </c>
      <c r="B15">
        <v>1</v>
      </c>
      <c r="C15">
        <v>1</v>
      </c>
      <c r="D15">
        <v>0</v>
      </c>
      <c r="E15">
        <v>1</v>
      </c>
      <c r="F15">
        <v>3</v>
      </c>
      <c r="G15">
        <v>2</v>
      </c>
      <c r="H15">
        <v>7</v>
      </c>
      <c r="I15">
        <v>14</v>
      </c>
      <c r="J15">
        <v>19</v>
      </c>
      <c r="K15">
        <v>9</v>
      </c>
      <c r="L15">
        <v>11</v>
      </c>
      <c r="M15">
        <v>15</v>
      </c>
      <c r="N15">
        <v>28</v>
      </c>
      <c r="O15">
        <v>44</v>
      </c>
      <c r="P15">
        <v>42</v>
      </c>
      <c r="Q15">
        <v>30</v>
      </c>
      <c r="R15">
        <v>0</v>
      </c>
    </row>
    <row r="16" spans="1:1025" s="22" customFormat="1" x14ac:dyDescent="0.35">
      <c r="A16" s="22" t="s">
        <v>30</v>
      </c>
      <c r="B16" s="22">
        <v>17</v>
      </c>
      <c r="C16" s="22">
        <v>54</v>
      </c>
      <c r="D16" s="22">
        <v>67</v>
      </c>
      <c r="E16" s="22">
        <v>19</v>
      </c>
      <c r="F16" s="22">
        <v>21</v>
      </c>
      <c r="G16" s="22">
        <v>95</v>
      </c>
      <c r="H16" s="22">
        <v>158</v>
      </c>
      <c r="I16" s="22">
        <v>177</v>
      </c>
      <c r="J16" s="22">
        <v>236</v>
      </c>
      <c r="K16" s="22">
        <v>293</v>
      </c>
      <c r="L16" s="22">
        <v>307</v>
      </c>
      <c r="M16" s="22">
        <v>352</v>
      </c>
      <c r="N16" s="22">
        <v>492</v>
      </c>
      <c r="O16" s="22">
        <v>687</v>
      </c>
      <c r="P16" s="22">
        <v>903</v>
      </c>
      <c r="Q16" s="22">
        <v>733</v>
      </c>
      <c r="R16" s="22">
        <v>5</v>
      </c>
    </row>
    <row r="17" spans="1:18" s="22" customFormat="1" x14ac:dyDescent="0.35">
      <c r="A17" s="22" t="s">
        <v>20</v>
      </c>
      <c r="B17" s="22">
        <v>0</v>
      </c>
      <c r="C17" s="22">
        <v>7</v>
      </c>
      <c r="D17" s="22">
        <v>6</v>
      </c>
      <c r="E17" s="22">
        <v>1</v>
      </c>
      <c r="F17" s="22">
        <v>5</v>
      </c>
      <c r="G17" s="22">
        <v>4</v>
      </c>
      <c r="H17" s="22">
        <v>18</v>
      </c>
      <c r="I17" s="22">
        <v>14</v>
      </c>
      <c r="J17" s="22">
        <v>21</v>
      </c>
      <c r="K17" s="22">
        <v>19</v>
      </c>
      <c r="L17" s="22">
        <v>48</v>
      </c>
      <c r="M17" s="22">
        <v>34</v>
      </c>
      <c r="N17" s="22">
        <v>67</v>
      </c>
      <c r="O17" s="22">
        <v>65</v>
      </c>
      <c r="P17" s="22">
        <v>115</v>
      </c>
      <c r="Q17" s="22">
        <v>117</v>
      </c>
      <c r="R17" s="22">
        <v>0</v>
      </c>
    </row>
    <row r="18" spans="1:18" x14ac:dyDescent="0.35">
      <c r="A18" t="s">
        <v>33</v>
      </c>
      <c r="B18">
        <v>3</v>
      </c>
      <c r="C18">
        <v>21</v>
      </c>
      <c r="D18">
        <v>30</v>
      </c>
      <c r="E18">
        <v>9</v>
      </c>
      <c r="F18">
        <v>8</v>
      </c>
      <c r="G18">
        <v>42</v>
      </c>
      <c r="H18">
        <v>106</v>
      </c>
      <c r="I18">
        <v>90</v>
      </c>
      <c r="J18">
        <v>133</v>
      </c>
      <c r="K18">
        <v>126</v>
      </c>
      <c r="L18">
        <v>125</v>
      </c>
      <c r="M18">
        <v>147</v>
      </c>
      <c r="N18">
        <v>165</v>
      </c>
      <c r="O18">
        <v>248</v>
      </c>
      <c r="P18">
        <v>314</v>
      </c>
      <c r="Q18">
        <v>262</v>
      </c>
      <c r="R18">
        <v>0</v>
      </c>
    </row>
    <row r="19" spans="1:18" x14ac:dyDescent="0.35">
      <c r="A19" t="s">
        <v>20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8</v>
      </c>
      <c r="I19">
        <v>18</v>
      </c>
      <c r="J19">
        <v>14</v>
      </c>
      <c r="K19">
        <v>8</v>
      </c>
      <c r="L19">
        <v>14</v>
      </c>
      <c r="M19">
        <v>15</v>
      </c>
      <c r="N19">
        <v>13</v>
      </c>
      <c r="O19">
        <v>22</v>
      </c>
      <c r="P19">
        <v>31</v>
      </c>
      <c r="Q19">
        <v>37</v>
      </c>
      <c r="R19">
        <v>0</v>
      </c>
    </row>
    <row r="20" spans="1:18" x14ac:dyDescent="0.35">
      <c r="A20" s="22" t="s">
        <v>36</v>
      </c>
      <c r="B20">
        <f t="shared" ref="B20:R20" si="0">B14+B18</f>
        <v>5</v>
      </c>
      <c r="C20">
        <f t="shared" si="0"/>
        <v>34</v>
      </c>
      <c r="D20">
        <f t="shared" si="0"/>
        <v>57</v>
      </c>
      <c r="E20">
        <f t="shared" si="0"/>
        <v>14</v>
      </c>
      <c r="F20">
        <f t="shared" si="0"/>
        <v>20</v>
      </c>
      <c r="G20">
        <f t="shared" si="0"/>
        <v>84</v>
      </c>
      <c r="H20">
        <f t="shared" si="0"/>
        <v>174</v>
      </c>
      <c r="I20">
        <f t="shared" si="0"/>
        <v>175</v>
      </c>
      <c r="J20">
        <f t="shared" si="0"/>
        <v>273</v>
      </c>
      <c r="K20">
        <f t="shared" si="0"/>
        <v>213</v>
      </c>
      <c r="L20">
        <f t="shared" si="0"/>
        <v>224</v>
      </c>
      <c r="M20">
        <f t="shared" si="0"/>
        <v>263</v>
      </c>
      <c r="N20">
        <f t="shared" si="0"/>
        <v>322</v>
      </c>
      <c r="O20">
        <f t="shared" si="0"/>
        <v>512</v>
      </c>
      <c r="P20">
        <f t="shared" si="0"/>
        <v>638</v>
      </c>
      <c r="Q20">
        <f t="shared" si="0"/>
        <v>500</v>
      </c>
      <c r="R20">
        <f t="shared" si="0"/>
        <v>0</v>
      </c>
    </row>
    <row r="21" spans="1:18" x14ac:dyDescent="0.35">
      <c r="B21">
        <f t="shared" ref="B21:R21" si="1">B15+B19</f>
        <v>2</v>
      </c>
      <c r="C21">
        <f t="shared" si="1"/>
        <v>2</v>
      </c>
      <c r="D21">
        <f t="shared" si="1"/>
        <v>0</v>
      </c>
      <c r="E21">
        <f t="shared" si="1"/>
        <v>2</v>
      </c>
      <c r="F21">
        <f t="shared" si="1"/>
        <v>3</v>
      </c>
      <c r="G21">
        <f t="shared" si="1"/>
        <v>3</v>
      </c>
      <c r="H21">
        <f t="shared" si="1"/>
        <v>15</v>
      </c>
      <c r="I21">
        <f t="shared" si="1"/>
        <v>32</v>
      </c>
      <c r="J21">
        <f t="shared" si="1"/>
        <v>33</v>
      </c>
      <c r="K21">
        <f t="shared" si="1"/>
        <v>17</v>
      </c>
      <c r="L21">
        <f t="shared" si="1"/>
        <v>25</v>
      </c>
      <c r="M21">
        <f t="shared" si="1"/>
        <v>30</v>
      </c>
      <c r="N21">
        <f t="shared" si="1"/>
        <v>41</v>
      </c>
      <c r="O21">
        <f t="shared" si="1"/>
        <v>66</v>
      </c>
      <c r="P21">
        <f t="shared" si="1"/>
        <v>73</v>
      </c>
      <c r="Q21">
        <f t="shared" si="1"/>
        <v>67</v>
      </c>
      <c r="R21">
        <f t="shared" si="1"/>
        <v>0</v>
      </c>
    </row>
    <row r="22" spans="1:18" x14ac:dyDescent="0.35">
      <c r="A22" t="s">
        <v>37</v>
      </c>
      <c r="B22">
        <f>SUM(B12,B16,B20)</f>
        <v>56</v>
      </c>
      <c r="C22">
        <f t="shared" ref="C22:R22" si="2">SUM(C12,C16,C20)</f>
        <v>275</v>
      </c>
      <c r="D22">
        <f t="shared" si="2"/>
        <v>344</v>
      </c>
      <c r="E22">
        <f t="shared" si="2"/>
        <v>96</v>
      </c>
      <c r="F22">
        <f t="shared" si="2"/>
        <v>102</v>
      </c>
      <c r="G22">
        <f t="shared" si="2"/>
        <v>498</v>
      </c>
      <c r="H22">
        <f t="shared" si="2"/>
        <v>844</v>
      </c>
      <c r="I22">
        <f t="shared" si="2"/>
        <v>939</v>
      </c>
      <c r="J22">
        <f t="shared" si="2"/>
        <v>1258</v>
      </c>
      <c r="K22">
        <f t="shared" si="2"/>
        <v>1236</v>
      </c>
      <c r="L22">
        <f t="shared" si="2"/>
        <v>1451</v>
      </c>
      <c r="M22">
        <f t="shared" si="2"/>
        <v>1590</v>
      </c>
      <c r="N22">
        <f t="shared" si="2"/>
        <v>2029</v>
      </c>
      <c r="O22">
        <f t="shared" si="2"/>
        <v>2983</v>
      </c>
      <c r="P22">
        <f t="shared" si="2"/>
        <v>3594</v>
      </c>
      <c r="Q22">
        <f t="shared" si="2"/>
        <v>2881</v>
      </c>
      <c r="R22">
        <f t="shared" si="2"/>
        <v>15</v>
      </c>
    </row>
    <row r="23" spans="1:18" x14ac:dyDescent="0.35">
      <c r="B23">
        <f>SUM(B13,B17,B21)</f>
        <v>7</v>
      </c>
      <c r="C23">
        <f t="shared" ref="C23:R23" si="3">SUM(C13,C17,C21)</f>
        <v>29</v>
      </c>
      <c r="D23">
        <f t="shared" si="3"/>
        <v>18</v>
      </c>
      <c r="E23">
        <f t="shared" si="3"/>
        <v>11</v>
      </c>
      <c r="F23">
        <f t="shared" si="3"/>
        <v>17</v>
      </c>
      <c r="G23">
        <f t="shared" si="3"/>
        <v>39</v>
      </c>
      <c r="H23">
        <f t="shared" si="3"/>
        <v>79</v>
      </c>
      <c r="I23">
        <f t="shared" si="3"/>
        <v>126</v>
      </c>
      <c r="J23">
        <f t="shared" si="3"/>
        <v>176</v>
      </c>
      <c r="K23">
        <f t="shared" si="3"/>
        <v>126</v>
      </c>
      <c r="L23">
        <f t="shared" si="3"/>
        <v>203</v>
      </c>
      <c r="M23">
        <f t="shared" si="3"/>
        <v>206</v>
      </c>
      <c r="N23">
        <f t="shared" si="3"/>
        <v>295</v>
      </c>
      <c r="O23">
        <f t="shared" si="3"/>
        <v>437</v>
      </c>
      <c r="P23">
        <f t="shared" si="3"/>
        <v>550</v>
      </c>
      <c r="Q23">
        <f t="shared" si="3"/>
        <v>477</v>
      </c>
      <c r="R23">
        <f t="shared" si="3"/>
        <v>1</v>
      </c>
    </row>
    <row r="24" spans="1:18" s="23" customFormat="1" x14ac:dyDescent="0.35">
      <c r="A24" s="23" t="s">
        <v>38</v>
      </c>
      <c r="B24" s="23">
        <f>B12/B22</f>
        <v>0.6071428571428571</v>
      </c>
      <c r="C24" s="23">
        <f t="shared" ref="C24:R24" si="4">C12/C22</f>
        <v>0.68</v>
      </c>
      <c r="D24" s="23">
        <f t="shared" si="4"/>
        <v>0.63953488372093026</v>
      </c>
      <c r="E24" s="23">
        <f t="shared" si="4"/>
        <v>0.65625</v>
      </c>
      <c r="F24" s="23">
        <f t="shared" si="4"/>
        <v>0.59803921568627449</v>
      </c>
      <c r="G24" s="23">
        <f t="shared" si="4"/>
        <v>0.64056224899598391</v>
      </c>
      <c r="H24" s="23">
        <f t="shared" si="4"/>
        <v>0.60663507109004744</v>
      </c>
      <c r="I24" s="23">
        <f t="shared" si="4"/>
        <v>0.62513312034078805</v>
      </c>
      <c r="J24" s="23">
        <f t="shared" si="4"/>
        <v>0.59538950715421302</v>
      </c>
      <c r="K24" s="23">
        <f t="shared" si="4"/>
        <v>0.59061488673139162</v>
      </c>
      <c r="L24" s="23">
        <f t="shared" si="4"/>
        <v>0.63404548587181253</v>
      </c>
      <c r="M24" s="23">
        <f t="shared" si="4"/>
        <v>0.6132075471698113</v>
      </c>
      <c r="N24" s="23">
        <f t="shared" si="4"/>
        <v>0.59881715130606206</v>
      </c>
      <c r="O24" s="23">
        <f t="shared" si="4"/>
        <v>0.59805564867582972</v>
      </c>
      <c r="P24" s="23">
        <f t="shared" si="4"/>
        <v>0.57122982749026152</v>
      </c>
      <c r="Q24" s="23">
        <f t="shared" si="4"/>
        <v>0.57202360291565424</v>
      </c>
      <c r="R24" s="23">
        <f t="shared" si="4"/>
        <v>0.66666666666666663</v>
      </c>
    </row>
    <row r="25" spans="1:18" s="23" customFormat="1" x14ac:dyDescent="0.35">
      <c r="B25" s="23">
        <f>B13/B23</f>
        <v>0.7142857142857143</v>
      </c>
      <c r="C25" s="23">
        <f t="shared" ref="C25:R25" si="5">C13/C23</f>
        <v>0.68965517241379315</v>
      </c>
      <c r="D25" s="23">
        <f t="shared" si="5"/>
        <v>0.66666666666666663</v>
      </c>
      <c r="E25" s="23">
        <f t="shared" si="5"/>
        <v>0.72727272727272729</v>
      </c>
      <c r="F25" s="23">
        <f t="shared" si="5"/>
        <v>0.52941176470588236</v>
      </c>
      <c r="G25" s="23">
        <f t="shared" si="5"/>
        <v>0.82051282051282048</v>
      </c>
      <c r="H25" s="23">
        <f t="shared" si="5"/>
        <v>0.58227848101265822</v>
      </c>
      <c r="I25" s="23">
        <f t="shared" si="5"/>
        <v>0.63492063492063489</v>
      </c>
      <c r="J25" s="23">
        <f t="shared" si="5"/>
        <v>0.69318181818181823</v>
      </c>
      <c r="K25" s="23">
        <f t="shared" si="5"/>
        <v>0.7142857142857143</v>
      </c>
      <c r="L25" s="23">
        <f t="shared" si="5"/>
        <v>0.64039408866995073</v>
      </c>
      <c r="M25" s="23">
        <f t="shared" si="5"/>
        <v>0.68932038834951459</v>
      </c>
      <c r="N25" s="23">
        <f t="shared" si="5"/>
        <v>0.63389830508474576</v>
      </c>
      <c r="O25" s="23">
        <f t="shared" si="5"/>
        <v>0.70022883295194505</v>
      </c>
      <c r="P25" s="23">
        <f t="shared" si="5"/>
        <v>0.6581818181818182</v>
      </c>
      <c r="Q25" s="23">
        <f t="shared" si="5"/>
        <v>0.61425576519916147</v>
      </c>
      <c r="R25" s="23">
        <f t="shared" si="5"/>
        <v>1</v>
      </c>
    </row>
    <row r="26" spans="1:18" s="23" customFormat="1" x14ac:dyDescent="0.35">
      <c r="A26" s="23" t="s">
        <v>39</v>
      </c>
      <c r="B26" s="23">
        <f>B16/B22</f>
        <v>0.30357142857142855</v>
      </c>
      <c r="C26" s="23">
        <f t="shared" ref="C26:R26" si="6">C16/C22</f>
        <v>0.19636363636363635</v>
      </c>
      <c r="D26" s="23">
        <f t="shared" si="6"/>
        <v>0.19476744186046513</v>
      </c>
      <c r="E26" s="23">
        <f t="shared" si="6"/>
        <v>0.19791666666666666</v>
      </c>
      <c r="F26" s="23">
        <f t="shared" si="6"/>
        <v>0.20588235294117646</v>
      </c>
      <c r="G26" s="23">
        <f t="shared" si="6"/>
        <v>0.19076305220883535</v>
      </c>
      <c r="H26" s="23">
        <f t="shared" si="6"/>
        <v>0.1872037914691943</v>
      </c>
      <c r="I26" s="23">
        <f t="shared" si="6"/>
        <v>0.18849840255591055</v>
      </c>
      <c r="J26" s="23">
        <f t="shared" si="6"/>
        <v>0.18759936406995231</v>
      </c>
      <c r="K26" s="23">
        <f t="shared" si="6"/>
        <v>0.23705501618122976</v>
      </c>
      <c r="L26" s="23">
        <f t="shared" si="6"/>
        <v>0.21157822191592005</v>
      </c>
      <c r="M26" s="23">
        <f t="shared" si="6"/>
        <v>0.22138364779874214</v>
      </c>
      <c r="N26" s="23">
        <f t="shared" si="6"/>
        <v>0.24248398225726958</v>
      </c>
      <c r="O26" s="23">
        <f t="shared" si="6"/>
        <v>0.23030506201810258</v>
      </c>
      <c r="P26" s="23">
        <f t="shared" si="6"/>
        <v>0.25125208681135225</v>
      </c>
      <c r="Q26" s="23">
        <f t="shared" si="6"/>
        <v>0.25442554668517875</v>
      </c>
      <c r="R26" s="23">
        <f t="shared" si="6"/>
        <v>0.33333333333333331</v>
      </c>
    </row>
    <row r="27" spans="1:18" s="23" customFormat="1" x14ac:dyDescent="0.35">
      <c r="B27" s="23">
        <f>B17/B23</f>
        <v>0</v>
      </c>
      <c r="C27" s="23">
        <f t="shared" ref="C27:R27" si="7">C17/C23</f>
        <v>0.2413793103448276</v>
      </c>
      <c r="D27" s="23">
        <f t="shared" si="7"/>
        <v>0.33333333333333331</v>
      </c>
      <c r="E27" s="23">
        <f t="shared" si="7"/>
        <v>9.0909090909090912E-2</v>
      </c>
      <c r="F27" s="23">
        <f t="shared" si="7"/>
        <v>0.29411764705882354</v>
      </c>
      <c r="G27" s="23">
        <f t="shared" si="7"/>
        <v>0.10256410256410256</v>
      </c>
      <c r="H27" s="23">
        <f t="shared" si="7"/>
        <v>0.22784810126582278</v>
      </c>
      <c r="I27" s="23">
        <f t="shared" si="7"/>
        <v>0.1111111111111111</v>
      </c>
      <c r="J27" s="23">
        <f t="shared" si="7"/>
        <v>0.11931818181818182</v>
      </c>
      <c r="K27" s="23">
        <f t="shared" si="7"/>
        <v>0.15079365079365079</v>
      </c>
      <c r="L27" s="23">
        <f t="shared" si="7"/>
        <v>0.23645320197044334</v>
      </c>
      <c r="M27" s="23">
        <f t="shared" si="7"/>
        <v>0.1650485436893204</v>
      </c>
      <c r="N27" s="23">
        <f t="shared" si="7"/>
        <v>0.22711864406779661</v>
      </c>
      <c r="O27" s="23">
        <f t="shared" si="7"/>
        <v>0.14874141876430205</v>
      </c>
      <c r="P27" s="23">
        <f t="shared" si="7"/>
        <v>0.20909090909090908</v>
      </c>
      <c r="Q27" s="23">
        <f t="shared" si="7"/>
        <v>0.24528301886792453</v>
      </c>
      <c r="R27" s="23">
        <f t="shared" si="7"/>
        <v>0</v>
      </c>
    </row>
    <row r="28" spans="1:18" s="23" customFormat="1" x14ac:dyDescent="0.35">
      <c r="A28" s="23" t="s">
        <v>36</v>
      </c>
      <c r="B28" s="23">
        <f>B20/B22</f>
        <v>8.9285714285714288E-2</v>
      </c>
      <c r="C28" s="23">
        <f t="shared" ref="C28:R28" si="8">C20/C22</f>
        <v>0.12363636363636364</v>
      </c>
      <c r="D28" s="23">
        <f t="shared" si="8"/>
        <v>0.16569767441860464</v>
      </c>
      <c r="E28" s="23">
        <f>E20/E22</f>
        <v>0.14583333333333334</v>
      </c>
      <c r="F28" s="23">
        <f t="shared" si="8"/>
        <v>0.19607843137254902</v>
      </c>
      <c r="G28" s="23">
        <f>G20/G22</f>
        <v>0.16867469879518071</v>
      </c>
      <c r="H28" s="23">
        <f t="shared" si="8"/>
        <v>0.20616113744075829</v>
      </c>
      <c r="I28" s="23">
        <f t="shared" si="8"/>
        <v>0.18636847710330137</v>
      </c>
      <c r="J28" s="23">
        <f t="shared" si="8"/>
        <v>0.21701112877583467</v>
      </c>
      <c r="K28" s="23">
        <f t="shared" si="8"/>
        <v>0.17233009708737865</v>
      </c>
      <c r="L28" s="23">
        <f t="shared" si="8"/>
        <v>0.1543762922122674</v>
      </c>
      <c r="M28" s="23">
        <f t="shared" si="8"/>
        <v>0.16540880503144653</v>
      </c>
      <c r="N28" s="23">
        <f t="shared" si="8"/>
        <v>0.15869886643666831</v>
      </c>
      <c r="O28" s="23">
        <f t="shared" si="8"/>
        <v>0.17163928930606773</v>
      </c>
      <c r="P28" s="23">
        <f t="shared" si="8"/>
        <v>0.1775180856983862</v>
      </c>
      <c r="Q28" s="23">
        <f t="shared" si="8"/>
        <v>0.17355085039916696</v>
      </c>
      <c r="R28" s="23">
        <f t="shared" si="8"/>
        <v>0</v>
      </c>
    </row>
    <row r="29" spans="1:18" s="23" customFormat="1" x14ac:dyDescent="0.35">
      <c r="B29" s="23">
        <f>B21/B23</f>
        <v>0.2857142857142857</v>
      </c>
      <c r="C29" s="23">
        <f t="shared" ref="C29:R29" si="9">C21/C23</f>
        <v>6.8965517241379309E-2</v>
      </c>
      <c r="D29" s="23">
        <f t="shared" si="9"/>
        <v>0</v>
      </c>
      <c r="E29" s="23">
        <f t="shared" si="9"/>
        <v>0.18181818181818182</v>
      </c>
      <c r="F29" s="23">
        <f t="shared" si="9"/>
        <v>0.17647058823529413</v>
      </c>
      <c r="G29" s="23">
        <f t="shared" si="9"/>
        <v>7.6923076923076927E-2</v>
      </c>
      <c r="H29" s="23">
        <f t="shared" si="9"/>
        <v>0.189873417721519</v>
      </c>
      <c r="I29" s="23">
        <f t="shared" si="9"/>
        <v>0.25396825396825395</v>
      </c>
      <c r="J29" s="23">
        <f t="shared" si="9"/>
        <v>0.1875</v>
      </c>
      <c r="K29" s="23">
        <f t="shared" si="9"/>
        <v>0.13492063492063491</v>
      </c>
      <c r="L29" s="23">
        <f t="shared" si="9"/>
        <v>0.12315270935960591</v>
      </c>
      <c r="M29" s="23">
        <f t="shared" si="9"/>
        <v>0.14563106796116504</v>
      </c>
      <c r="N29" s="23">
        <f t="shared" si="9"/>
        <v>0.13898305084745763</v>
      </c>
      <c r="O29" s="23">
        <f t="shared" si="9"/>
        <v>0.15102974828375287</v>
      </c>
      <c r="P29" s="23">
        <f t="shared" si="9"/>
        <v>0.13272727272727272</v>
      </c>
      <c r="Q29" s="23">
        <f t="shared" si="9"/>
        <v>0.14046121593291405</v>
      </c>
      <c r="R29" s="23">
        <f t="shared" si="9"/>
        <v>0</v>
      </c>
    </row>
    <row r="31" spans="1:18" s="22" customFormat="1" x14ac:dyDescent="0.35">
      <c r="A31" s="22" t="s">
        <v>25</v>
      </c>
      <c r="B31" s="22">
        <v>0</v>
      </c>
      <c r="C31" s="22">
        <v>1</v>
      </c>
      <c r="D31" s="22">
        <v>4</v>
      </c>
      <c r="E31" s="22">
        <v>3</v>
      </c>
      <c r="F31" s="22">
        <v>2</v>
      </c>
      <c r="G31" s="22">
        <v>0</v>
      </c>
      <c r="H31" s="22">
        <v>2</v>
      </c>
      <c r="I31" s="22">
        <v>0</v>
      </c>
      <c r="J31" s="22">
        <v>0</v>
      </c>
      <c r="K31" s="22">
        <v>5</v>
      </c>
      <c r="L31" s="22">
        <v>4</v>
      </c>
      <c r="M31" s="22">
        <v>9</v>
      </c>
      <c r="N31" s="22">
        <v>3</v>
      </c>
      <c r="O31" s="22">
        <v>6</v>
      </c>
      <c r="P31" s="22">
        <v>8</v>
      </c>
      <c r="Q31" s="22">
        <v>14</v>
      </c>
      <c r="R31" s="22">
        <v>0</v>
      </c>
    </row>
    <row r="32" spans="1:18" s="22" customFormat="1" x14ac:dyDescent="0.35">
      <c r="A32" s="22" t="s">
        <v>22</v>
      </c>
      <c r="B32" s="22">
        <v>0</v>
      </c>
      <c r="C32" s="22">
        <v>0</v>
      </c>
      <c r="D32" s="22">
        <v>0</v>
      </c>
      <c r="E32" s="22">
        <v>1</v>
      </c>
      <c r="F32" s="22">
        <v>2</v>
      </c>
      <c r="G32" s="22">
        <v>0</v>
      </c>
      <c r="H32" s="22">
        <v>1</v>
      </c>
      <c r="I32" s="22">
        <v>0</v>
      </c>
      <c r="J32" s="22">
        <v>0</v>
      </c>
      <c r="K32" s="22">
        <v>1</v>
      </c>
      <c r="L32" s="22">
        <v>0</v>
      </c>
      <c r="M32" s="22">
        <v>0</v>
      </c>
      <c r="N32" s="22">
        <v>1</v>
      </c>
      <c r="O32" s="22">
        <v>0</v>
      </c>
      <c r="P32" s="22">
        <v>0</v>
      </c>
      <c r="Q32" s="22">
        <v>2</v>
      </c>
      <c r="R32" s="22">
        <v>0</v>
      </c>
    </row>
    <row r="33" spans="1:18" x14ac:dyDescent="0.35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  <c r="K33">
        <v>2</v>
      </c>
      <c r="L33">
        <v>4</v>
      </c>
      <c r="M33">
        <v>5</v>
      </c>
      <c r="N33">
        <v>4</v>
      </c>
      <c r="O33">
        <v>3</v>
      </c>
      <c r="P33">
        <v>7</v>
      </c>
      <c r="Q33">
        <v>7</v>
      </c>
      <c r="R33">
        <v>0</v>
      </c>
    </row>
    <row r="34" spans="1:18" x14ac:dyDescent="0.35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s="22" customFormat="1" x14ac:dyDescent="0.35">
      <c r="A35" s="22" t="s">
        <v>31</v>
      </c>
      <c r="B35" s="22">
        <v>0</v>
      </c>
      <c r="C35" s="22">
        <v>2</v>
      </c>
      <c r="D35" s="22">
        <v>0</v>
      </c>
      <c r="E35" s="22">
        <v>0</v>
      </c>
      <c r="F35" s="22">
        <v>0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3</v>
      </c>
      <c r="N35" s="22">
        <v>2</v>
      </c>
      <c r="O35" s="22">
        <v>7</v>
      </c>
      <c r="P35" s="22">
        <v>6</v>
      </c>
      <c r="Q35" s="22">
        <v>5</v>
      </c>
      <c r="R35" s="22">
        <v>0</v>
      </c>
    </row>
    <row r="36" spans="1:18" s="22" customFormat="1" x14ac:dyDescent="0.35">
      <c r="A36" s="22" t="s">
        <v>22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1</v>
      </c>
      <c r="Q36" s="22">
        <v>2</v>
      </c>
      <c r="R36" s="22">
        <v>0</v>
      </c>
    </row>
    <row r="37" spans="1:18" x14ac:dyDescent="0.35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2</v>
      </c>
      <c r="Q37">
        <v>2</v>
      </c>
      <c r="R37">
        <v>0</v>
      </c>
    </row>
    <row r="39" spans="1:18" x14ac:dyDescent="0.35">
      <c r="A39" s="22" t="s">
        <v>36</v>
      </c>
      <c r="B39">
        <f>B33+B37</f>
        <v>0</v>
      </c>
      <c r="C39">
        <f t="shared" ref="C39:R39" si="10">C33+C37</f>
        <v>0</v>
      </c>
      <c r="D39">
        <f t="shared" si="10"/>
        <v>0</v>
      </c>
      <c r="E39">
        <f t="shared" si="10"/>
        <v>0</v>
      </c>
      <c r="F39">
        <f t="shared" si="10"/>
        <v>0</v>
      </c>
      <c r="G39">
        <f t="shared" si="10"/>
        <v>2</v>
      </c>
      <c r="H39">
        <f t="shared" si="10"/>
        <v>4</v>
      </c>
      <c r="I39">
        <f t="shared" si="10"/>
        <v>1</v>
      </c>
      <c r="J39">
        <f t="shared" si="10"/>
        <v>1</v>
      </c>
      <c r="K39">
        <f t="shared" si="10"/>
        <v>2</v>
      </c>
      <c r="L39">
        <f t="shared" si="10"/>
        <v>4</v>
      </c>
      <c r="M39">
        <f t="shared" si="10"/>
        <v>6</v>
      </c>
      <c r="N39">
        <f t="shared" si="10"/>
        <v>4</v>
      </c>
      <c r="O39">
        <f t="shared" si="10"/>
        <v>4</v>
      </c>
      <c r="P39">
        <f t="shared" si="10"/>
        <v>9</v>
      </c>
      <c r="Q39">
        <f t="shared" si="10"/>
        <v>9</v>
      </c>
      <c r="R39">
        <f t="shared" si="10"/>
        <v>0</v>
      </c>
    </row>
    <row r="40" spans="1:18" x14ac:dyDescent="0.35">
      <c r="B40">
        <f>B34</f>
        <v>0</v>
      </c>
      <c r="C40">
        <f t="shared" ref="C40:R40" si="11">C34</f>
        <v>0</v>
      </c>
      <c r="D40">
        <f t="shared" si="11"/>
        <v>0</v>
      </c>
      <c r="E40">
        <f t="shared" si="11"/>
        <v>0</v>
      </c>
      <c r="F40">
        <f t="shared" si="11"/>
        <v>0</v>
      </c>
      <c r="G40">
        <f t="shared" si="11"/>
        <v>1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1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</row>
    <row r="41" spans="1:18" x14ac:dyDescent="0.35">
      <c r="A41" t="s">
        <v>37</v>
      </c>
      <c r="B41">
        <f>SUM(B31,B35,B39)</f>
        <v>0</v>
      </c>
      <c r="C41">
        <f t="shared" ref="C41:R41" si="12">SUM(C31,C35,C39)</f>
        <v>3</v>
      </c>
      <c r="D41">
        <f t="shared" si="12"/>
        <v>4</v>
      </c>
      <c r="E41">
        <f t="shared" si="12"/>
        <v>3</v>
      </c>
      <c r="F41">
        <f t="shared" si="12"/>
        <v>2</v>
      </c>
      <c r="G41">
        <f t="shared" si="12"/>
        <v>3</v>
      </c>
      <c r="H41">
        <f t="shared" si="12"/>
        <v>7</v>
      </c>
      <c r="I41">
        <f t="shared" si="12"/>
        <v>2</v>
      </c>
      <c r="J41">
        <f t="shared" si="12"/>
        <v>2</v>
      </c>
      <c r="K41">
        <f t="shared" si="12"/>
        <v>8</v>
      </c>
      <c r="L41">
        <f t="shared" si="12"/>
        <v>9</v>
      </c>
      <c r="M41">
        <f t="shared" si="12"/>
        <v>18</v>
      </c>
      <c r="N41">
        <f t="shared" si="12"/>
        <v>9</v>
      </c>
      <c r="O41">
        <f t="shared" si="12"/>
        <v>17</v>
      </c>
      <c r="P41">
        <f t="shared" si="12"/>
        <v>23</v>
      </c>
      <c r="Q41">
        <f t="shared" si="12"/>
        <v>28</v>
      </c>
      <c r="R41">
        <f t="shared" si="12"/>
        <v>0</v>
      </c>
    </row>
    <row r="42" spans="1:18" x14ac:dyDescent="0.35">
      <c r="B42">
        <f>SUM(B32,B36,B40)</f>
        <v>0</v>
      </c>
      <c r="C42">
        <f t="shared" ref="C42:R42" si="13">SUM(C32,C36,C40)</f>
        <v>0</v>
      </c>
      <c r="D42">
        <f t="shared" si="13"/>
        <v>0</v>
      </c>
      <c r="E42">
        <f t="shared" si="13"/>
        <v>1</v>
      </c>
      <c r="F42">
        <f t="shared" si="13"/>
        <v>2</v>
      </c>
      <c r="G42">
        <f t="shared" si="13"/>
        <v>1</v>
      </c>
      <c r="H42">
        <f t="shared" si="13"/>
        <v>1</v>
      </c>
      <c r="I42">
        <f t="shared" si="13"/>
        <v>0</v>
      </c>
      <c r="J42">
        <f t="shared" si="13"/>
        <v>0</v>
      </c>
      <c r="K42">
        <f t="shared" si="13"/>
        <v>1</v>
      </c>
      <c r="L42">
        <f t="shared" si="13"/>
        <v>0</v>
      </c>
      <c r="M42">
        <f t="shared" si="13"/>
        <v>1</v>
      </c>
      <c r="N42">
        <f t="shared" si="13"/>
        <v>1</v>
      </c>
      <c r="O42">
        <f t="shared" si="13"/>
        <v>0</v>
      </c>
      <c r="P42">
        <f t="shared" si="13"/>
        <v>1</v>
      </c>
      <c r="Q42">
        <f t="shared" si="13"/>
        <v>4</v>
      </c>
      <c r="R42">
        <f t="shared" si="13"/>
        <v>0</v>
      </c>
    </row>
    <row r="43" spans="1:18" s="23" customFormat="1" x14ac:dyDescent="0.35">
      <c r="A43" s="23" t="s">
        <v>38</v>
      </c>
      <c r="B43" s="23" t="e">
        <f>B31/B41</f>
        <v>#DIV/0!</v>
      </c>
      <c r="C43" s="23">
        <f t="shared" ref="C43:R43" si="14">C31/C41</f>
        <v>0.33333333333333331</v>
      </c>
      <c r="D43" s="23">
        <f t="shared" si="14"/>
        <v>1</v>
      </c>
      <c r="E43" s="23">
        <f t="shared" si="14"/>
        <v>1</v>
      </c>
      <c r="F43" s="23">
        <f t="shared" si="14"/>
        <v>1</v>
      </c>
      <c r="G43" s="23">
        <f t="shared" si="14"/>
        <v>0</v>
      </c>
      <c r="H43" s="23">
        <f t="shared" si="14"/>
        <v>0.2857142857142857</v>
      </c>
      <c r="I43" s="23">
        <f t="shared" si="14"/>
        <v>0</v>
      </c>
      <c r="J43" s="23">
        <f t="shared" si="14"/>
        <v>0</v>
      </c>
      <c r="K43" s="23">
        <f t="shared" si="14"/>
        <v>0.625</v>
      </c>
      <c r="L43" s="23">
        <f t="shared" si="14"/>
        <v>0.44444444444444442</v>
      </c>
      <c r="M43" s="23">
        <f t="shared" si="14"/>
        <v>0.5</v>
      </c>
      <c r="N43" s="23">
        <f t="shared" si="14"/>
        <v>0.33333333333333331</v>
      </c>
      <c r="O43" s="23">
        <f t="shared" si="14"/>
        <v>0.35294117647058826</v>
      </c>
      <c r="P43" s="23">
        <f t="shared" si="14"/>
        <v>0.34782608695652173</v>
      </c>
      <c r="Q43" s="23">
        <f t="shared" si="14"/>
        <v>0.5</v>
      </c>
      <c r="R43" s="23" t="e">
        <f t="shared" si="14"/>
        <v>#DIV/0!</v>
      </c>
    </row>
    <row r="44" spans="1:18" s="23" customFormat="1" x14ac:dyDescent="0.35">
      <c r="B44" s="23" t="e">
        <f>B32/B42</f>
        <v>#DIV/0!</v>
      </c>
      <c r="C44" s="23" t="e">
        <f t="shared" ref="C44:R44" si="15">C32/C42</f>
        <v>#DIV/0!</v>
      </c>
      <c r="D44" s="23" t="e">
        <f t="shared" si="15"/>
        <v>#DIV/0!</v>
      </c>
      <c r="E44" s="23">
        <f t="shared" si="15"/>
        <v>1</v>
      </c>
      <c r="F44" s="23">
        <f t="shared" si="15"/>
        <v>1</v>
      </c>
      <c r="G44" s="23">
        <f t="shared" si="15"/>
        <v>0</v>
      </c>
      <c r="H44" s="23">
        <f t="shared" si="15"/>
        <v>1</v>
      </c>
      <c r="I44" s="23" t="e">
        <f t="shared" si="15"/>
        <v>#DIV/0!</v>
      </c>
      <c r="J44" s="23" t="e">
        <f t="shared" si="15"/>
        <v>#DIV/0!</v>
      </c>
      <c r="K44" s="23">
        <f t="shared" si="15"/>
        <v>1</v>
      </c>
      <c r="L44" s="23" t="e">
        <f t="shared" si="15"/>
        <v>#DIV/0!</v>
      </c>
      <c r="M44" s="23">
        <f t="shared" si="15"/>
        <v>0</v>
      </c>
      <c r="N44" s="23">
        <f t="shared" si="15"/>
        <v>1</v>
      </c>
      <c r="O44" s="23" t="e">
        <f t="shared" si="15"/>
        <v>#DIV/0!</v>
      </c>
      <c r="P44" s="23">
        <f t="shared" si="15"/>
        <v>0</v>
      </c>
      <c r="Q44" s="23">
        <f t="shared" si="15"/>
        <v>0.5</v>
      </c>
      <c r="R44" s="23" t="e">
        <f t="shared" si="15"/>
        <v>#DIV/0!</v>
      </c>
    </row>
    <row r="45" spans="1:18" s="23" customFormat="1" x14ac:dyDescent="0.35">
      <c r="A45" s="23" t="s">
        <v>39</v>
      </c>
      <c r="B45" s="23" t="e">
        <f>B35/B41</f>
        <v>#DIV/0!</v>
      </c>
      <c r="C45" s="23">
        <f t="shared" ref="C45:R45" si="16">C35/C41</f>
        <v>0.66666666666666663</v>
      </c>
      <c r="D45" s="23">
        <f t="shared" si="16"/>
        <v>0</v>
      </c>
      <c r="E45" s="23">
        <f t="shared" si="16"/>
        <v>0</v>
      </c>
      <c r="F45" s="23">
        <f t="shared" si="16"/>
        <v>0</v>
      </c>
      <c r="G45" s="23">
        <f t="shared" si="16"/>
        <v>0.33333333333333331</v>
      </c>
      <c r="H45" s="23">
        <f t="shared" si="16"/>
        <v>0.14285714285714285</v>
      </c>
      <c r="I45" s="23">
        <f t="shared" si="16"/>
        <v>0.5</v>
      </c>
      <c r="J45" s="23">
        <f t="shared" si="16"/>
        <v>0.5</v>
      </c>
      <c r="K45" s="23">
        <f t="shared" si="16"/>
        <v>0.125</v>
      </c>
      <c r="L45" s="23">
        <f t="shared" si="16"/>
        <v>0.1111111111111111</v>
      </c>
      <c r="M45" s="23">
        <f t="shared" si="16"/>
        <v>0.16666666666666666</v>
      </c>
      <c r="N45" s="23">
        <f t="shared" si="16"/>
        <v>0.22222222222222221</v>
      </c>
      <c r="O45" s="23">
        <f t="shared" si="16"/>
        <v>0.41176470588235292</v>
      </c>
      <c r="P45" s="23">
        <f t="shared" si="16"/>
        <v>0.2608695652173913</v>
      </c>
      <c r="Q45" s="23">
        <f t="shared" si="16"/>
        <v>0.17857142857142858</v>
      </c>
      <c r="R45" s="23" t="e">
        <f t="shared" si="16"/>
        <v>#DIV/0!</v>
      </c>
    </row>
    <row r="46" spans="1:18" s="23" customFormat="1" x14ac:dyDescent="0.35">
      <c r="B46" s="23" t="e">
        <f>B36/B42</f>
        <v>#DIV/0!</v>
      </c>
      <c r="C46" s="23" t="e">
        <f t="shared" ref="C46:R46" si="17">C36/C42</f>
        <v>#DIV/0!</v>
      </c>
      <c r="D46" s="23" t="e">
        <f t="shared" si="17"/>
        <v>#DIV/0!</v>
      </c>
      <c r="E46" s="23">
        <f t="shared" si="17"/>
        <v>0</v>
      </c>
      <c r="F46" s="23">
        <f t="shared" si="17"/>
        <v>0</v>
      </c>
      <c r="G46" s="23">
        <f t="shared" si="17"/>
        <v>0</v>
      </c>
      <c r="H46" s="23">
        <f t="shared" si="17"/>
        <v>0</v>
      </c>
      <c r="I46" s="23" t="e">
        <f t="shared" si="17"/>
        <v>#DIV/0!</v>
      </c>
      <c r="J46" s="23" t="e">
        <f t="shared" si="17"/>
        <v>#DIV/0!</v>
      </c>
      <c r="K46" s="23">
        <f t="shared" si="17"/>
        <v>0</v>
      </c>
      <c r="L46" s="23" t="e">
        <f t="shared" si="17"/>
        <v>#DIV/0!</v>
      </c>
      <c r="M46" s="23">
        <f t="shared" si="17"/>
        <v>0</v>
      </c>
      <c r="N46" s="23">
        <f t="shared" si="17"/>
        <v>0</v>
      </c>
      <c r="O46" s="23" t="e">
        <f t="shared" si="17"/>
        <v>#DIV/0!</v>
      </c>
      <c r="P46" s="23">
        <f t="shared" si="17"/>
        <v>1</v>
      </c>
      <c r="Q46" s="23">
        <f t="shared" si="17"/>
        <v>0.5</v>
      </c>
      <c r="R46" s="23" t="e">
        <f t="shared" si="17"/>
        <v>#DIV/0!</v>
      </c>
    </row>
    <row r="47" spans="1:18" s="23" customFormat="1" x14ac:dyDescent="0.35">
      <c r="A47" s="23" t="s">
        <v>36</v>
      </c>
      <c r="B47" s="23" t="e">
        <f>B39/B41</f>
        <v>#DIV/0!</v>
      </c>
      <c r="C47" s="23">
        <f t="shared" ref="C47:R47" si="18">C39/C41</f>
        <v>0</v>
      </c>
      <c r="D47" s="23">
        <f t="shared" si="18"/>
        <v>0</v>
      </c>
      <c r="E47" s="23">
        <f t="shared" si="18"/>
        <v>0</v>
      </c>
      <c r="F47" s="23">
        <f t="shared" si="18"/>
        <v>0</v>
      </c>
      <c r="G47" s="23">
        <f t="shared" si="18"/>
        <v>0.66666666666666663</v>
      </c>
      <c r="H47" s="23">
        <f t="shared" si="18"/>
        <v>0.5714285714285714</v>
      </c>
      <c r="I47" s="23">
        <f t="shared" si="18"/>
        <v>0.5</v>
      </c>
      <c r="J47" s="23">
        <f t="shared" si="18"/>
        <v>0.5</v>
      </c>
      <c r="K47" s="23">
        <f t="shared" si="18"/>
        <v>0.25</v>
      </c>
      <c r="L47" s="23">
        <f t="shared" si="18"/>
        <v>0.44444444444444442</v>
      </c>
      <c r="M47" s="23">
        <f t="shared" si="18"/>
        <v>0.33333333333333331</v>
      </c>
      <c r="N47" s="23">
        <f t="shared" si="18"/>
        <v>0.44444444444444442</v>
      </c>
      <c r="O47" s="23">
        <f t="shared" si="18"/>
        <v>0.23529411764705882</v>
      </c>
      <c r="P47" s="23">
        <f t="shared" si="18"/>
        <v>0.39130434782608697</v>
      </c>
      <c r="Q47" s="23">
        <f t="shared" si="18"/>
        <v>0.32142857142857145</v>
      </c>
      <c r="R47" s="23" t="e">
        <f t="shared" si="18"/>
        <v>#DIV/0!</v>
      </c>
    </row>
    <row r="48" spans="1:18" s="23" customFormat="1" x14ac:dyDescent="0.35">
      <c r="B48" s="23" t="e">
        <f>B40/B42</f>
        <v>#DIV/0!</v>
      </c>
      <c r="C48" s="23" t="e">
        <f t="shared" ref="C48:R48" si="19">C40/C42</f>
        <v>#DIV/0!</v>
      </c>
      <c r="D48" s="23" t="e">
        <f t="shared" si="19"/>
        <v>#DIV/0!</v>
      </c>
      <c r="E48" s="23">
        <f t="shared" si="19"/>
        <v>0</v>
      </c>
      <c r="F48" s="23">
        <f t="shared" si="19"/>
        <v>0</v>
      </c>
      <c r="G48" s="23">
        <f t="shared" si="19"/>
        <v>1</v>
      </c>
      <c r="H48" s="23">
        <f t="shared" si="19"/>
        <v>0</v>
      </c>
      <c r="I48" s="23" t="e">
        <f t="shared" si="19"/>
        <v>#DIV/0!</v>
      </c>
      <c r="J48" s="23" t="e">
        <f t="shared" si="19"/>
        <v>#DIV/0!</v>
      </c>
      <c r="K48" s="23">
        <f t="shared" si="19"/>
        <v>0</v>
      </c>
      <c r="L48" s="23" t="e">
        <f t="shared" si="19"/>
        <v>#DIV/0!</v>
      </c>
      <c r="M48" s="23">
        <f t="shared" si="19"/>
        <v>1</v>
      </c>
      <c r="N48" s="23">
        <f t="shared" si="19"/>
        <v>0</v>
      </c>
      <c r="O48" s="23" t="e">
        <f t="shared" si="19"/>
        <v>#DIV/0!</v>
      </c>
      <c r="P48" s="23">
        <f t="shared" si="19"/>
        <v>0</v>
      </c>
      <c r="Q48" s="23">
        <f t="shared" si="19"/>
        <v>0</v>
      </c>
      <c r="R48" s="23" t="e">
        <f t="shared" si="19"/>
        <v>#DIV/0!</v>
      </c>
    </row>
    <row r="49" spans="1:18" s="22" customFormat="1" x14ac:dyDescent="0.35">
      <c r="A49" s="22" t="s">
        <v>26</v>
      </c>
      <c r="B49" s="22">
        <v>13</v>
      </c>
      <c r="C49" s="22">
        <v>51</v>
      </c>
      <c r="D49" s="22">
        <v>67</v>
      </c>
      <c r="E49" s="22">
        <v>10</v>
      </c>
      <c r="F49" s="22">
        <v>25</v>
      </c>
      <c r="G49" s="22">
        <v>109</v>
      </c>
      <c r="H49" s="22">
        <v>193</v>
      </c>
      <c r="I49" s="22">
        <v>204</v>
      </c>
      <c r="J49" s="22">
        <v>261</v>
      </c>
      <c r="K49" s="22">
        <v>294</v>
      </c>
      <c r="L49" s="22">
        <v>327</v>
      </c>
      <c r="M49" s="22">
        <v>395</v>
      </c>
      <c r="N49" s="22">
        <v>573</v>
      </c>
      <c r="O49" s="22">
        <v>860</v>
      </c>
      <c r="P49" s="22">
        <v>1063</v>
      </c>
      <c r="Q49" s="22">
        <v>812</v>
      </c>
      <c r="R49" s="22">
        <v>1</v>
      </c>
    </row>
    <row r="50" spans="1:18" s="22" customFormat="1" x14ac:dyDescent="0.35">
      <c r="A50" s="22" t="s">
        <v>21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2</v>
      </c>
      <c r="H50" s="22">
        <v>3</v>
      </c>
      <c r="I50" s="22">
        <v>2</v>
      </c>
      <c r="J50" s="22">
        <v>3</v>
      </c>
      <c r="K50" s="22">
        <v>6</v>
      </c>
      <c r="L50" s="22">
        <v>6</v>
      </c>
      <c r="M50" s="22">
        <v>16</v>
      </c>
      <c r="N50" s="22">
        <v>24</v>
      </c>
      <c r="O50" s="22">
        <v>21</v>
      </c>
      <c r="P50" s="22">
        <v>22</v>
      </c>
      <c r="Q50" s="22">
        <v>22</v>
      </c>
      <c r="R50" s="22">
        <v>0</v>
      </c>
    </row>
    <row r="51" spans="1:18" x14ac:dyDescent="0.35">
      <c r="A51" t="s">
        <v>27</v>
      </c>
      <c r="B51">
        <v>5</v>
      </c>
      <c r="C51">
        <v>29</v>
      </c>
      <c r="D51">
        <v>41</v>
      </c>
      <c r="E51">
        <v>6</v>
      </c>
      <c r="F51">
        <v>12</v>
      </c>
      <c r="G51">
        <v>43</v>
      </c>
      <c r="H51">
        <v>79</v>
      </c>
      <c r="I51">
        <v>111</v>
      </c>
      <c r="J51">
        <v>132</v>
      </c>
      <c r="K51">
        <v>104</v>
      </c>
      <c r="L51">
        <v>112</v>
      </c>
      <c r="M51">
        <v>118</v>
      </c>
      <c r="N51">
        <v>190</v>
      </c>
      <c r="O51">
        <v>319</v>
      </c>
      <c r="P51">
        <v>381</v>
      </c>
      <c r="Q51">
        <v>310</v>
      </c>
      <c r="R51">
        <v>1</v>
      </c>
    </row>
    <row r="52" spans="1:18" x14ac:dyDescent="0.35">
      <c r="A52" t="s">
        <v>21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4</v>
      </c>
      <c r="O52">
        <v>6</v>
      </c>
      <c r="P52">
        <v>7</v>
      </c>
      <c r="Q52">
        <v>3</v>
      </c>
      <c r="R52">
        <v>0</v>
      </c>
    </row>
    <row r="53" spans="1:18" s="22" customFormat="1" x14ac:dyDescent="0.35">
      <c r="A53" s="22" t="s">
        <v>32</v>
      </c>
      <c r="B53" s="22">
        <v>20</v>
      </c>
      <c r="C53" s="22">
        <v>47</v>
      </c>
      <c r="D53" s="22">
        <v>45</v>
      </c>
      <c r="E53" s="22">
        <v>9</v>
      </c>
      <c r="F53" s="22">
        <v>20</v>
      </c>
      <c r="G53" s="22">
        <v>60</v>
      </c>
      <c r="H53" s="22">
        <v>110</v>
      </c>
      <c r="I53" s="22">
        <v>154</v>
      </c>
      <c r="J53" s="22">
        <v>184</v>
      </c>
      <c r="K53" s="22">
        <v>237</v>
      </c>
      <c r="L53" s="22">
        <v>260</v>
      </c>
      <c r="M53" s="22">
        <v>317</v>
      </c>
      <c r="N53" s="22">
        <v>408</v>
      </c>
      <c r="O53" s="22">
        <v>643</v>
      </c>
      <c r="P53" s="22">
        <v>805</v>
      </c>
      <c r="Q53" s="22">
        <v>634</v>
      </c>
      <c r="R53" s="22">
        <v>5</v>
      </c>
    </row>
    <row r="54" spans="1:18" s="22" customFormat="1" x14ac:dyDescent="0.35">
      <c r="A54" s="22" t="s">
        <v>21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1</v>
      </c>
      <c r="J54" s="22">
        <v>0</v>
      </c>
      <c r="K54" s="22">
        <v>3</v>
      </c>
      <c r="L54" s="22">
        <v>4</v>
      </c>
      <c r="M54" s="22">
        <v>8</v>
      </c>
      <c r="N54" s="22">
        <v>11</v>
      </c>
      <c r="O54" s="22">
        <v>19</v>
      </c>
      <c r="P54" s="22">
        <v>16</v>
      </c>
      <c r="Q54" s="22">
        <v>16</v>
      </c>
      <c r="R54" s="22">
        <v>0</v>
      </c>
    </row>
    <row r="55" spans="1:18" x14ac:dyDescent="0.35">
      <c r="A55" t="s">
        <v>35</v>
      </c>
      <c r="B55">
        <v>7</v>
      </c>
      <c r="C55">
        <v>24</v>
      </c>
      <c r="D55">
        <v>42</v>
      </c>
      <c r="E55">
        <v>10</v>
      </c>
      <c r="F55">
        <v>8</v>
      </c>
      <c r="G55">
        <v>46</v>
      </c>
      <c r="H55">
        <v>103</v>
      </c>
      <c r="I55">
        <v>137</v>
      </c>
      <c r="J55">
        <v>168</v>
      </c>
      <c r="K55">
        <v>169</v>
      </c>
      <c r="L55">
        <v>208</v>
      </c>
      <c r="M55">
        <v>184</v>
      </c>
      <c r="N55">
        <v>213</v>
      </c>
      <c r="O55">
        <v>400</v>
      </c>
      <c r="P55">
        <v>459</v>
      </c>
      <c r="Q55">
        <v>357</v>
      </c>
      <c r="R55">
        <v>1</v>
      </c>
    </row>
    <row r="56" spans="1:18" x14ac:dyDescent="0.35">
      <c r="A56" t="s">
        <v>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1</v>
      </c>
      <c r="M56">
        <v>1</v>
      </c>
      <c r="N56">
        <v>2</v>
      </c>
      <c r="O56">
        <v>6</v>
      </c>
      <c r="P56">
        <v>6</v>
      </c>
      <c r="Q56">
        <v>6</v>
      </c>
      <c r="R56">
        <v>0</v>
      </c>
    </row>
    <row r="57" spans="1:18" x14ac:dyDescent="0.35">
      <c r="A57" s="22" t="s">
        <v>36</v>
      </c>
      <c r="B57">
        <f>B51+B55</f>
        <v>12</v>
      </c>
      <c r="C57">
        <f t="shared" ref="C57:R57" si="20">C51+C55</f>
        <v>53</v>
      </c>
      <c r="D57">
        <f t="shared" si="20"/>
        <v>83</v>
      </c>
      <c r="E57">
        <f t="shared" si="20"/>
        <v>16</v>
      </c>
      <c r="F57">
        <f t="shared" si="20"/>
        <v>20</v>
      </c>
      <c r="G57">
        <f t="shared" si="20"/>
        <v>89</v>
      </c>
      <c r="H57">
        <f t="shared" si="20"/>
        <v>182</v>
      </c>
      <c r="I57">
        <f t="shared" si="20"/>
        <v>248</v>
      </c>
      <c r="J57">
        <f t="shared" si="20"/>
        <v>300</v>
      </c>
      <c r="K57">
        <f t="shared" si="20"/>
        <v>273</v>
      </c>
      <c r="L57">
        <f t="shared" si="20"/>
        <v>320</v>
      </c>
      <c r="M57">
        <f t="shared" si="20"/>
        <v>302</v>
      </c>
      <c r="N57">
        <f t="shared" si="20"/>
        <v>403</v>
      </c>
      <c r="O57">
        <f t="shared" si="20"/>
        <v>719</v>
      </c>
      <c r="P57">
        <f t="shared" si="20"/>
        <v>840</v>
      </c>
      <c r="Q57">
        <f t="shared" si="20"/>
        <v>667</v>
      </c>
      <c r="R57">
        <f t="shared" si="20"/>
        <v>2</v>
      </c>
    </row>
    <row r="58" spans="1:18" x14ac:dyDescent="0.35">
      <c r="B58">
        <f>B52+B56</f>
        <v>0</v>
      </c>
      <c r="C58">
        <f t="shared" ref="C58:R58" si="21">C52+C56</f>
        <v>0</v>
      </c>
      <c r="D58">
        <f t="shared" si="21"/>
        <v>0</v>
      </c>
      <c r="E58">
        <f t="shared" si="21"/>
        <v>0</v>
      </c>
      <c r="F58">
        <f t="shared" si="21"/>
        <v>1</v>
      </c>
      <c r="G58">
        <f t="shared" si="21"/>
        <v>1</v>
      </c>
      <c r="H58">
        <f t="shared" si="21"/>
        <v>0</v>
      </c>
      <c r="I58">
        <f t="shared" si="21"/>
        <v>2</v>
      </c>
      <c r="J58">
        <f t="shared" si="21"/>
        <v>2</v>
      </c>
      <c r="K58">
        <f t="shared" si="21"/>
        <v>0</v>
      </c>
      <c r="L58">
        <f t="shared" si="21"/>
        <v>2</v>
      </c>
      <c r="M58">
        <f t="shared" si="21"/>
        <v>1</v>
      </c>
      <c r="N58">
        <f t="shared" si="21"/>
        <v>6</v>
      </c>
      <c r="O58">
        <f t="shared" si="21"/>
        <v>12</v>
      </c>
      <c r="P58">
        <f t="shared" si="21"/>
        <v>13</v>
      </c>
      <c r="Q58">
        <f t="shared" si="21"/>
        <v>9</v>
      </c>
      <c r="R58">
        <f t="shared" si="21"/>
        <v>0</v>
      </c>
    </row>
    <row r="59" spans="1:18" x14ac:dyDescent="0.35">
      <c r="A59" t="s">
        <v>37</v>
      </c>
      <c r="B59">
        <f>SUM(B49,B53,B57)</f>
        <v>45</v>
      </c>
      <c r="C59">
        <f t="shared" ref="C59:R59" si="22">SUM(C49,C53,C57)</f>
        <v>151</v>
      </c>
      <c r="D59">
        <f t="shared" si="22"/>
        <v>195</v>
      </c>
      <c r="E59">
        <f t="shared" si="22"/>
        <v>35</v>
      </c>
      <c r="F59">
        <f t="shared" si="22"/>
        <v>65</v>
      </c>
      <c r="G59">
        <f t="shared" si="22"/>
        <v>258</v>
      </c>
      <c r="H59">
        <f t="shared" si="22"/>
        <v>485</v>
      </c>
      <c r="I59">
        <f t="shared" si="22"/>
        <v>606</v>
      </c>
      <c r="J59">
        <f t="shared" si="22"/>
        <v>745</v>
      </c>
      <c r="K59">
        <f t="shared" si="22"/>
        <v>804</v>
      </c>
      <c r="L59">
        <f t="shared" si="22"/>
        <v>907</v>
      </c>
      <c r="M59">
        <f t="shared" si="22"/>
        <v>1014</v>
      </c>
      <c r="N59">
        <f t="shared" si="22"/>
        <v>1384</v>
      </c>
      <c r="O59">
        <f t="shared" si="22"/>
        <v>2222</v>
      </c>
      <c r="P59">
        <f t="shared" si="22"/>
        <v>2708</v>
      </c>
      <c r="Q59">
        <f t="shared" si="22"/>
        <v>2113</v>
      </c>
      <c r="R59">
        <f t="shared" si="22"/>
        <v>8</v>
      </c>
    </row>
    <row r="60" spans="1:18" x14ac:dyDescent="0.35">
      <c r="B60">
        <f>SUM(B50,B54,B58)</f>
        <v>0</v>
      </c>
      <c r="C60">
        <f t="shared" ref="C60:R60" si="23">SUM(C50,C54,C58)</f>
        <v>0</v>
      </c>
      <c r="D60">
        <f t="shared" si="23"/>
        <v>0</v>
      </c>
      <c r="E60">
        <f t="shared" si="23"/>
        <v>0</v>
      </c>
      <c r="F60">
        <f t="shared" si="23"/>
        <v>1</v>
      </c>
      <c r="G60">
        <f t="shared" si="23"/>
        <v>3</v>
      </c>
      <c r="H60">
        <f t="shared" si="23"/>
        <v>3</v>
      </c>
      <c r="I60">
        <f t="shared" si="23"/>
        <v>5</v>
      </c>
      <c r="J60">
        <f t="shared" si="23"/>
        <v>5</v>
      </c>
      <c r="K60">
        <f t="shared" si="23"/>
        <v>9</v>
      </c>
      <c r="L60">
        <f t="shared" si="23"/>
        <v>12</v>
      </c>
      <c r="M60">
        <f t="shared" si="23"/>
        <v>25</v>
      </c>
      <c r="N60">
        <f t="shared" si="23"/>
        <v>41</v>
      </c>
      <c r="O60">
        <f t="shared" si="23"/>
        <v>52</v>
      </c>
      <c r="P60">
        <f t="shared" si="23"/>
        <v>51</v>
      </c>
      <c r="Q60">
        <f t="shared" si="23"/>
        <v>47</v>
      </c>
      <c r="R60">
        <f t="shared" si="23"/>
        <v>0</v>
      </c>
    </row>
    <row r="61" spans="1:18" s="23" customFormat="1" x14ac:dyDescent="0.35">
      <c r="A61" s="23" t="s">
        <v>38</v>
      </c>
      <c r="B61" s="23">
        <f>B49/B59</f>
        <v>0.28888888888888886</v>
      </c>
      <c r="C61" s="23">
        <f t="shared" ref="C61:R61" si="24">C49/C59</f>
        <v>0.33774834437086093</v>
      </c>
      <c r="D61" s="23">
        <f t="shared" si="24"/>
        <v>0.34358974358974359</v>
      </c>
      <c r="E61" s="23">
        <f t="shared" si="24"/>
        <v>0.2857142857142857</v>
      </c>
      <c r="F61" s="23">
        <f t="shared" si="24"/>
        <v>0.38461538461538464</v>
      </c>
      <c r="G61" s="23">
        <f t="shared" si="24"/>
        <v>0.42248062015503873</v>
      </c>
      <c r="H61" s="23">
        <f t="shared" si="24"/>
        <v>0.39793814432989688</v>
      </c>
      <c r="I61" s="23">
        <f t="shared" si="24"/>
        <v>0.33663366336633666</v>
      </c>
      <c r="J61" s="23">
        <f t="shared" si="24"/>
        <v>0.35033557046979868</v>
      </c>
      <c r="K61" s="23">
        <f t="shared" si="24"/>
        <v>0.36567164179104478</v>
      </c>
      <c r="L61" s="23">
        <f t="shared" si="24"/>
        <v>0.36052921719955899</v>
      </c>
      <c r="M61" s="23">
        <f t="shared" si="24"/>
        <v>0.38954635108481261</v>
      </c>
      <c r="N61" s="23">
        <f t="shared" si="24"/>
        <v>0.41401734104046245</v>
      </c>
      <c r="O61" s="23">
        <f t="shared" si="24"/>
        <v>0.38703870387038702</v>
      </c>
      <c r="P61" s="23">
        <f t="shared" si="24"/>
        <v>0.39254062038404725</v>
      </c>
      <c r="Q61" s="23">
        <f t="shared" si="24"/>
        <v>0.38428774254614295</v>
      </c>
      <c r="R61" s="23">
        <f t="shared" si="24"/>
        <v>0.125</v>
      </c>
    </row>
    <row r="62" spans="1:18" s="23" customFormat="1" x14ac:dyDescent="0.35">
      <c r="B62" s="23" t="e">
        <f>B50/B60</f>
        <v>#DIV/0!</v>
      </c>
      <c r="C62" s="23" t="e">
        <f t="shared" ref="C62:R62" si="25">C50/C60</f>
        <v>#DIV/0!</v>
      </c>
      <c r="D62" s="23" t="e">
        <f t="shared" si="25"/>
        <v>#DIV/0!</v>
      </c>
      <c r="E62" s="23" t="e">
        <f t="shared" si="25"/>
        <v>#DIV/0!</v>
      </c>
      <c r="F62" s="23">
        <f t="shared" si="25"/>
        <v>0</v>
      </c>
      <c r="G62" s="23">
        <f t="shared" si="25"/>
        <v>0.66666666666666663</v>
      </c>
      <c r="H62" s="23">
        <f t="shared" si="25"/>
        <v>1</v>
      </c>
      <c r="I62" s="23">
        <f t="shared" si="25"/>
        <v>0.4</v>
      </c>
      <c r="J62" s="23">
        <f t="shared" si="25"/>
        <v>0.6</v>
      </c>
      <c r="K62" s="23">
        <f t="shared" si="25"/>
        <v>0.66666666666666663</v>
      </c>
      <c r="L62" s="23">
        <f t="shared" si="25"/>
        <v>0.5</v>
      </c>
      <c r="M62" s="23">
        <f t="shared" si="25"/>
        <v>0.64</v>
      </c>
      <c r="N62" s="23">
        <f t="shared" si="25"/>
        <v>0.58536585365853655</v>
      </c>
      <c r="O62" s="23">
        <f t="shared" si="25"/>
        <v>0.40384615384615385</v>
      </c>
      <c r="P62" s="23">
        <f t="shared" si="25"/>
        <v>0.43137254901960786</v>
      </c>
      <c r="Q62" s="23">
        <f t="shared" si="25"/>
        <v>0.46808510638297873</v>
      </c>
      <c r="R62" s="23" t="e">
        <f t="shared" si="25"/>
        <v>#DIV/0!</v>
      </c>
    </row>
    <row r="63" spans="1:18" s="23" customFormat="1" x14ac:dyDescent="0.35">
      <c r="A63" s="23" t="s">
        <v>39</v>
      </c>
      <c r="B63" s="23">
        <f>B53/B59</f>
        <v>0.44444444444444442</v>
      </c>
      <c r="C63" s="23">
        <f t="shared" ref="C63:R63" si="26">C53/C59</f>
        <v>0.31125827814569534</v>
      </c>
      <c r="D63" s="23">
        <f t="shared" si="26"/>
        <v>0.23076923076923078</v>
      </c>
      <c r="E63" s="23">
        <f t="shared" si="26"/>
        <v>0.25714285714285712</v>
      </c>
      <c r="F63" s="23">
        <f t="shared" si="26"/>
        <v>0.30769230769230771</v>
      </c>
      <c r="G63" s="23">
        <f t="shared" si="26"/>
        <v>0.23255813953488372</v>
      </c>
      <c r="H63" s="23">
        <f t="shared" si="26"/>
        <v>0.22680412371134021</v>
      </c>
      <c r="I63" s="23">
        <f t="shared" si="26"/>
        <v>0.25412541254125415</v>
      </c>
      <c r="J63" s="23">
        <f t="shared" si="26"/>
        <v>0.24697986577181208</v>
      </c>
      <c r="K63" s="23">
        <f t="shared" si="26"/>
        <v>0.29477611940298509</v>
      </c>
      <c r="L63" s="23">
        <f t="shared" si="26"/>
        <v>0.28665931642778392</v>
      </c>
      <c r="M63" s="23">
        <f t="shared" si="26"/>
        <v>0.31262327416173569</v>
      </c>
      <c r="N63" s="23">
        <f t="shared" si="26"/>
        <v>0.2947976878612717</v>
      </c>
      <c r="O63" s="23">
        <f t="shared" si="26"/>
        <v>0.28937893789378938</v>
      </c>
      <c r="P63" s="23">
        <f t="shared" si="26"/>
        <v>0.29726735598227472</v>
      </c>
      <c r="Q63" s="23">
        <f t="shared" si="26"/>
        <v>0.30004732607666823</v>
      </c>
      <c r="R63" s="23">
        <f t="shared" si="26"/>
        <v>0.625</v>
      </c>
    </row>
    <row r="64" spans="1:18" s="23" customFormat="1" x14ac:dyDescent="0.35">
      <c r="B64" s="23" t="e">
        <f>B54/B60</f>
        <v>#DIV/0!</v>
      </c>
      <c r="C64" s="23" t="e">
        <f t="shared" ref="C64:R64" si="27">C54/C60</f>
        <v>#DIV/0!</v>
      </c>
      <c r="D64" s="23" t="e">
        <f t="shared" si="27"/>
        <v>#DIV/0!</v>
      </c>
      <c r="E64" s="23" t="e">
        <f t="shared" si="27"/>
        <v>#DIV/0!</v>
      </c>
      <c r="F64" s="23">
        <f t="shared" si="27"/>
        <v>0</v>
      </c>
      <c r="G64" s="23">
        <f t="shared" si="27"/>
        <v>0</v>
      </c>
      <c r="H64" s="23">
        <f t="shared" si="27"/>
        <v>0</v>
      </c>
      <c r="I64" s="23">
        <f t="shared" si="27"/>
        <v>0.2</v>
      </c>
      <c r="J64" s="23">
        <f t="shared" si="27"/>
        <v>0</v>
      </c>
      <c r="K64" s="23">
        <f t="shared" si="27"/>
        <v>0.33333333333333331</v>
      </c>
      <c r="L64" s="23">
        <f t="shared" si="27"/>
        <v>0.33333333333333331</v>
      </c>
      <c r="M64" s="23">
        <f t="shared" si="27"/>
        <v>0.32</v>
      </c>
      <c r="N64" s="23">
        <f t="shared" si="27"/>
        <v>0.26829268292682928</v>
      </c>
      <c r="O64" s="23">
        <f t="shared" si="27"/>
        <v>0.36538461538461536</v>
      </c>
      <c r="P64" s="23">
        <f t="shared" si="27"/>
        <v>0.31372549019607843</v>
      </c>
      <c r="Q64" s="23">
        <f t="shared" si="27"/>
        <v>0.34042553191489361</v>
      </c>
      <c r="R64" s="23" t="e">
        <f t="shared" si="27"/>
        <v>#DIV/0!</v>
      </c>
    </row>
    <row r="65" spans="1:18" s="23" customFormat="1" x14ac:dyDescent="0.35">
      <c r="A65" s="23" t="s">
        <v>36</v>
      </c>
      <c r="B65" s="23">
        <f>B57/B59</f>
        <v>0.26666666666666666</v>
      </c>
      <c r="C65" s="23">
        <f t="shared" ref="C65:R65" si="28">C57/C59</f>
        <v>0.35099337748344372</v>
      </c>
      <c r="D65" s="23">
        <f t="shared" si="28"/>
        <v>0.42564102564102563</v>
      </c>
      <c r="E65" s="23">
        <f t="shared" si="28"/>
        <v>0.45714285714285713</v>
      </c>
      <c r="F65" s="23">
        <f t="shared" si="28"/>
        <v>0.30769230769230771</v>
      </c>
      <c r="G65" s="23">
        <f t="shared" si="28"/>
        <v>0.34496124031007752</v>
      </c>
      <c r="H65" s="23">
        <f t="shared" si="28"/>
        <v>0.37525773195876289</v>
      </c>
      <c r="I65" s="23">
        <f t="shared" si="28"/>
        <v>0.40924092409240925</v>
      </c>
      <c r="J65" s="23">
        <f t="shared" si="28"/>
        <v>0.40268456375838924</v>
      </c>
      <c r="K65" s="23">
        <f t="shared" si="28"/>
        <v>0.33955223880597013</v>
      </c>
      <c r="L65" s="23">
        <f t="shared" si="28"/>
        <v>0.35281146637265709</v>
      </c>
      <c r="M65" s="23">
        <f t="shared" si="28"/>
        <v>0.2978303747534517</v>
      </c>
      <c r="N65" s="23">
        <f t="shared" si="28"/>
        <v>0.29118497109826591</v>
      </c>
      <c r="O65" s="23">
        <f t="shared" si="28"/>
        <v>0.3235823582358236</v>
      </c>
      <c r="P65" s="23">
        <f t="shared" si="28"/>
        <v>0.31019202363367798</v>
      </c>
      <c r="Q65" s="23">
        <f t="shared" si="28"/>
        <v>0.31566493137718882</v>
      </c>
      <c r="R65" s="23">
        <f t="shared" si="28"/>
        <v>0.25</v>
      </c>
    </row>
    <row r="66" spans="1:18" s="23" customFormat="1" x14ac:dyDescent="0.35">
      <c r="B66" s="23" t="e">
        <f>B58/B60</f>
        <v>#DIV/0!</v>
      </c>
      <c r="C66" s="23" t="e">
        <f t="shared" ref="C66:R66" si="29">C58/C60</f>
        <v>#DIV/0!</v>
      </c>
      <c r="D66" s="23" t="e">
        <f t="shared" si="29"/>
        <v>#DIV/0!</v>
      </c>
      <c r="E66" s="23" t="e">
        <f t="shared" si="29"/>
        <v>#DIV/0!</v>
      </c>
      <c r="F66" s="23">
        <f t="shared" si="29"/>
        <v>1</v>
      </c>
      <c r="G66" s="23">
        <f t="shared" si="29"/>
        <v>0.33333333333333331</v>
      </c>
      <c r="H66" s="23">
        <f t="shared" si="29"/>
        <v>0</v>
      </c>
      <c r="I66" s="23">
        <f t="shared" si="29"/>
        <v>0.4</v>
      </c>
      <c r="J66" s="23">
        <f t="shared" si="29"/>
        <v>0.4</v>
      </c>
      <c r="K66" s="23">
        <f t="shared" si="29"/>
        <v>0</v>
      </c>
      <c r="L66" s="23">
        <f t="shared" si="29"/>
        <v>0.16666666666666666</v>
      </c>
      <c r="M66" s="23">
        <f t="shared" si="29"/>
        <v>0.04</v>
      </c>
      <c r="N66" s="23">
        <f t="shared" si="29"/>
        <v>0.14634146341463414</v>
      </c>
      <c r="O66" s="23">
        <f t="shared" si="29"/>
        <v>0.23076923076923078</v>
      </c>
      <c r="P66" s="23">
        <f t="shared" si="29"/>
        <v>0.25490196078431371</v>
      </c>
      <c r="Q66" s="23">
        <f t="shared" si="29"/>
        <v>0.19148936170212766</v>
      </c>
      <c r="R66" s="23" t="e">
        <f t="shared" si="29"/>
        <v>#DIV/0!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60"/>
  <sheetViews>
    <sheetView zoomScale="70" zoomScaleNormal="70" workbookViewId="0">
      <selection activeCell="B3" sqref="B3"/>
    </sheetView>
  </sheetViews>
  <sheetFormatPr defaultColWidth="9.1796875" defaultRowHeight="14.5" x14ac:dyDescent="0.35"/>
  <cols>
    <col min="1" max="16384" width="9.1796875" style="1"/>
  </cols>
  <sheetData>
    <row r="1" spans="1:1025" x14ac:dyDescent="0.35">
      <c r="A1" s="39" t="s">
        <v>0</v>
      </c>
      <c r="B1" s="39">
        <v>2000</v>
      </c>
      <c r="C1" s="39">
        <v>2001</v>
      </c>
      <c r="D1" s="39">
        <v>2002</v>
      </c>
      <c r="E1" s="39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</row>
    <row r="2" spans="1:1025" s="10" customFormat="1" x14ac:dyDescent="0.35">
      <c r="A2" s="39" t="s">
        <v>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</row>
    <row r="3" spans="1:1025" s="10" customFormat="1" x14ac:dyDescent="0.35">
      <c r="A3" s="39" t="s">
        <v>2</v>
      </c>
      <c r="B3" s="38">
        <v>323.18</v>
      </c>
      <c r="C3" s="38">
        <v>436.32</v>
      </c>
      <c r="D3" s="38">
        <v>507.96</v>
      </c>
      <c r="E3" s="38">
        <v>589.19000000000005</v>
      </c>
      <c r="F3" s="38">
        <v>707.4</v>
      </c>
      <c r="G3" s="38">
        <v>522.91999999999996</v>
      </c>
      <c r="H3" s="38">
        <v>488.52</v>
      </c>
      <c r="I3" s="38">
        <v>385.39</v>
      </c>
      <c r="J3" s="38">
        <v>379.26</v>
      </c>
      <c r="K3" s="38">
        <v>310.93</v>
      </c>
      <c r="L3" s="38">
        <v>326.2</v>
      </c>
      <c r="M3" s="38">
        <v>282.72000000000003</v>
      </c>
      <c r="N3" s="38">
        <v>153.75</v>
      </c>
      <c r="O3" s="38">
        <f>0.2*O2</f>
        <v>1369.8000000000002</v>
      </c>
      <c r="P3" s="38">
        <f>0.19*P2</f>
        <v>1249.82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</row>
    <row r="4" spans="1:1025" s="10" customFormat="1" x14ac:dyDescent="0.35">
      <c r="A4" s="39" t="s">
        <v>38</v>
      </c>
      <c r="B4" s="38">
        <f>B2*B41</f>
        <v>1509.3571428571427</v>
      </c>
      <c r="C4" s="38">
        <f t="shared" ref="C4:P4" si="0">C2*C41</f>
        <v>1854.3600000000001</v>
      </c>
      <c r="D4" s="38">
        <f t="shared" si="0"/>
        <v>1804.7674418604652</v>
      </c>
      <c r="E4" s="38">
        <f t="shared" si="0"/>
        <v>2035.03125</v>
      </c>
      <c r="F4" s="38">
        <f t="shared" si="0"/>
        <v>2115.2647058823527</v>
      </c>
      <c r="G4" s="38">
        <f t="shared" si="0"/>
        <v>1970.3694779116465</v>
      </c>
      <c r="H4" s="38">
        <f t="shared" si="0"/>
        <v>1646.4075829383887</v>
      </c>
      <c r="I4" s="38">
        <f t="shared" si="0"/>
        <v>1417.1767838125666</v>
      </c>
      <c r="J4" s="38">
        <f t="shared" si="0"/>
        <v>1254.4856915739267</v>
      </c>
      <c r="K4" s="38">
        <f t="shared" si="0"/>
        <v>1080.2346278317152</v>
      </c>
      <c r="L4" s="38">
        <f t="shared" si="0"/>
        <v>1034.1281874569263</v>
      </c>
      <c r="M4" s="38">
        <f t="shared" si="0"/>
        <v>912.45283018867917</v>
      </c>
      <c r="N4" s="38">
        <f t="shared" si="0"/>
        <v>368.27254805322815</v>
      </c>
      <c r="O4" s="38">
        <f t="shared" si="0"/>
        <v>4096.0831377807581</v>
      </c>
      <c r="P4" s="38">
        <f t="shared" si="0"/>
        <v>3757.5498052309404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</row>
    <row r="5" spans="1:1025" s="10" customFormat="1" x14ac:dyDescent="0.35">
      <c r="A5" s="39"/>
      <c r="B5" s="38">
        <f>B3*B42</f>
        <v>230.84285714285716</v>
      </c>
      <c r="C5" s="38">
        <f t="shared" ref="C5:P5" si="1">C3*C42</f>
        <v>300.91034482758624</v>
      </c>
      <c r="D5" s="38">
        <f t="shared" si="1"/>
        <v>338.64</v>
      </c>
      <c r="E5" s="38">
        <f t="shared" si="1"/>
        <v>428.50181818181824</v>
      </c>
      <c r="F5" s="38">
        <f t="shared" si="1"/>
        <v>374.50588235294117</v>
      </c>
      <c r="G5" s="38">
        <f t="shared" si="1"/>
        <v>429.06256410256407</v>
      </c>
      <c r="H5" s="38">
        <f t="shared" si="1"/>
        <v>284.4546835443038</v>
      </c>
      <c r="I5" s="38">
        <f t="shared" si="1"/>
        <v>244.69206349206348</v>
      </c>
      <c r="J5" s="38">
        <f t="shared" si="1"/>
        <v>262.8961363636364</v>
      </c>
      <c r="K5" s="38">
        <f t="shared" si="1"/>
        <v>222.09285714285716</v>
      </c>
      <c r="L5" s="38">
        <f t="shared" si="1"/>
        <v>208.89655172413794</v>
      </c>
      <c r="M5" s="38">
        <f t="shared" si="1"/>
        <v>194.88466019417478</v>
      </c>
      <c r="N5" s="38">
        <f t="shared" si="1"/>
        <v>97.461864406779654</v>
      </c>
      <c r="O5" s="38">
        <f t="shared" si="1"/>
        <v>959.17345537757444</v>
      </c>
      <c r="P5" s="38">
        <f t="shared" si="1"/>
        <v>822.60879999999997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</row>
    <row r="6" spans="1:1025" s="41" customFormat="1" x14ac:dyDescent="0.35">
      <c r="A6" s="24"/>
      <c r="B6" s="36">
        <f>B5/B4</f>
        <v>0.15294117647058827</v>
      </c>
      <c r="C6" s="36">
        <f t="shared" ref="C6:P6" si="2">C5/C4</f>
        <v>0.16227180527383367</v>
      </c>
      <c r="D6" s="36">
        <f t="shared" si="2"/>
        <v>0.18763636363636363</v>
      </c>
      <c r="E6" s="36">
        <f t="shared" si="2"/>
        <v>0.21056277056277059</v>
      </c>
      <c r="F6" s="36">
        <f t="shared" si="2"/>
        <v>0.17704918032786887</v>
      </c>
      <c r="G6" s="36">
        <f t="shared" si="2"/>
        <v>0.21775741499879431</v>
      </c>
      <c r="H6" s="36">
        <f t="shared" si="2"/>
        <v>0.17277294303797469</v>
      </c>
      <c r="I6" s="36">
        <f t="shared" si="2"/>
        <v>0.17266163705686705</v>
      </c>
      <c r="J6" s="36">
        <f t="shared" si="2"/>
        <v>0.20956487437795854</v>
      </c>
      <c r="K6" s="36">
        <f t="shared" si="2"/>
        <v>0.20559686888454012</v>
      </c>
      <c r="L6" s="36">
        <f t="shared" si="2"/>
        <v>0.20200257014349968</v>
      </c>
      <c r="M6" s="36">
        <f t="shared" si="2"/>
        <v>0.21358327109783426</v>
      </c>
      <c r="N6" s="36">
        <f t="shared" si="2"/>
        <v>0.26464602078538052</v>
      </c>
      <c r="O6" s="36">
        <f t="shared" si="2"/>
        <v>0.2341684538896471</v>
      </c>
      <c r="P6" s="36">
        <f t="shared" si="2"/>
        <v>0.21892159589071425</v>
      </c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  <c r="JY6" s="36"/>
      <c r="JZ6" s="36"/>
      <c r="KA6" s="36"/>
      <c r="KB6" s="36"/>
      <c r="KC6" s="36"/>
      <c r="KD6" s="36"/>
      <c r="KE6" s="36"/>
      <c r="KF6" s="36"/>
      <c r="KG6" s="36"/>
      <c r="KH6" s="36"/>
      <c r="KI6" s="36"/>
      <c r="KJ6" s="36"/>
      <c r="KK6" s="36"/>
      <c r="KL6" s="36"/>
      <c r="KM6" s="36"/>
      <c r="KN6" s="36"/>
      <c r="KO6" s="36"/>
      <c r="KP6" s="36"/>
      <c r="KQ6" s="36"/>
      <c r="KR6" s="36"/>
      <c r="KS6" s="36"/>
      <c r="KT6" s="36"/>
      <c r="KU6" s="36"/>
      <c r="KV6" s="36"/>
      <c r="KW6" s="36"/>
      <c r="KX6" s="36"/>
      <c r="KY6" s="36"/>
      <c r="KZ6" s="36"/>
      <c r="LA6" s="36"/>
      <c r="LB6" s="36"/>
      <c r="LC6" s="36"/>
      <c r="LD6" s="36"/>
      <c r="LE6" s="36"/>
      <c r="LF6" s="36"/>
      <c r="LG6" s="36"/>
      <c r="LH6" s="36"/>
      <c r="LI6" s="36"/>
      <c r="LJ6" s="36"/>
      <c r="LK6" s="36"/>
      <c r="LL6" s="36"/>
      <c r="LM6" s="36"/>
      <c r="LN6" s="36"/>
      <c r="LO6" s="36"/>
      <c r="LP6" s="36"/>
      <c r="LQ6" s="36"/>
      <c r="LR6" s="36"/>
      <c r="LS6" s="36"/>
      <c r="LT6" s="36"/>
      <c r="LU6" s="36"/>
      <c r="LV6" s="36"/>
      <c r="LW6" s="36"/>
      <c r="LX6" s="36"/>
      <c r="LY6" s="36"/>
      <c r="LZ6" s="36"/>
      <c r="MA6" s="36"/>
      <c r="MB6" s="36"/>
      <c r="MC6" s="36"/>
      <c r="MD6" s="36"/>
      <c r="ME6" s="36"/>
      <c r="MF6" s="36"/>
      <c r="MG6" s="36"/>
      <c r="MH6" s="36"/>
      <c r="MI6" s="36"/>
      <c r="MJ6" s="36"/>
      <c r="MK6" s="36"/>
      <c r="ML6" s="36"/>
      <c r="MM6" s="36"/>
      <c r="MN6" s="36"/>
      <c r="MO6" s="36"/>
      <c r="MP6" s="36"/>
      <c r="MQ6" s="36"/>
      <c r="MR6" s="36"/>
      <c r="MS6" s="36"/>
      <c r="MT6" s="36"/>
      <c r="MU6" s="36"/>
      <c r="MV6" s="36"/>
      <c r="MW6" s="36"/>
      <c r="MX6" s="36"/>
      <c r="MY6" s="36"/>
      <c r="MZ6" s="36"/>
      <c r="NA6" s="36"/>
      <c r="NB6" s="36"/>
      <c r="NC6" s="36"/>
      <c r="ND6" s="36"/>
      <c r="NE6" s="36"/>
      <c r="NF6" s="36"/>
      <c r="NG6" s="36"/>
      <c r="NH6" s="36"/>
      <c r="NI6" s="36"/>
      <c r="NJ6" s="36"/>
      <c r="NK6" s="36"/>
      <c r="NL6" s="36"/>
      <c r="NM6" s="36"/>
      <c r="NN6" s="36"/>
      <c r="NO6" s="36"/>
      <c r="NP6" s="36"/>
      <c r="NQ6" s="36"/>
      <c r="NR6" s="36"/>
      <c r="NS6" s="36"/>
      <c r="NT6" s="36"/>
      <c r="NU6" s="36"/>
      <c r="NV6" s="36"/>
      <c r="NW6" s="36"/>
      <c r="NX6" s="36"/>
      <c r="NY6" s="36"/>
      <c r="NZ6" s="36"/>
      <c r="OA6" s="36"/>
      <c r="OB6" s="36"/>
      <c r="OC6" s="36"/>
      <c r="OD6" s="36"/>
      <c r="OE6" s="36"/>
      <c r="OF6" s="36"/>
      <c r="OG6" s="36"/>
      <c r="OH6" s="36"/>
      <c r="OI6" s="36"/>
      <c r="OJ6" s="36"/>
      <c r="OK6" s="36"/>
      <c r="OL6" s="36"/>
      <c r="OM6" s="36"/>
      <c r="ON6" s="36"/>
      <c r="OO6" s="36"/>
      <c r="OP6" s="36"/>
      <c r="OQ6" s="36"/>
      <c r="OR6" s="36"/>
      <c r="OS6" s="36"/>
      <c r="OT6" s="36"/>
      <c r="OU6" s="36"/>
      <c r="OV6" s="36"/>
      <c r="OW6" s="36"/>
      <c r="OX6" s="36"/>
      <c r="OY6" s="36"/>
      <c r="OZ6" s="36"/>
      <c r="PA6" s="36"/>
      <c r="PB6" s="36"/>
      <c r="PC6" s="36"/>
      <c r="PD6" s="36"/>
      <c r="PE6" s="36"/>
      <c r="PF6" s="36"/>
      <c r="PG6" s="36"/>
      <c r="PH6" s="36"/>
      <c r="PI6" s="36"/>
      <c r="PJ6" s="36"/>
      <c r="PK6" s="36"/>
      <c r="PL6" s="36"/>
      <c r="PM6" s="36"/>
      <c r="PN6" s="36"/>
      <c r="PO6" s="36"/>
      <c r="PP6" s="36"/>
      <c r="PQ6" s="36"/>
      <c r="PR6" s="36"/>
      <c r="PS6" s="36"/>
      <c r="PT6" s="36"/>
      <c r="PU6" s="36"/>
      <c r="PV6" s="36"/>
      <c r="PW6" s="36"/>
      <c r="PX6" s="36"/>
      <c r="PY6" s="36"/>
      <c r="PZ6" s="36"/>
      <c r="QA6" s="36"/>
      <c r="QB6" s="36"/>
      <c r="QC6" s="36"/>
      <c r="QD6" s="36"/>
      <c r="QE6" s="36"/>
      <c r="QF6" s="36"/>
      <c r="QG6" s="36"/>
      <c r="QH6" s="36"/>
      <c r="QI6" s="36"/>
      <c r="QJ6" s="36"/>
      <c r="QK6" s="36"/>
      <c r="QL6" s="36"/>
      <c r="QM6" s="36"/>
      <c r="QN6" s="36"/>
      <c r="QO6" s="36"/>
      <c r="QP6" s="36"/>
      <c r="QQ6" s="36"/>
      <c r="QR6" s="36"/>
      <c r="QS6" s="36"/>
      <c r="QT6" s="36"/>
      <c r="QU6" s="36"/>
      <c r="QV6" s="36"/>
      <c r="QW6" s="36"/>
      <c r="QX6" s="36"/>
      <c r="QY6" s="36"/>
      <c r="QZ6" s="36"/>
      <c r="RA6" s="36"/>
      <c r="RB6" s="36"/>
      <c r="RC6" s="36"/>
      <c r="RD6" s="36"/>
      <c r="RE6" s="36"/>
      <c r="RF6" s="36"/>
      <c r="RG6" s="36"/>
      <c r="RH6" s="36"/>
      <c r="RI6" s="36"/>
      <c r="RJ6" s="36"/>
      <c r="RK6" s="36"/>
      <c r="RL6" s="36"/>
      <c r="RM6" s="36"/>
      <c r="RN6" s="36"/>
      <c r="RO6" s="36"/>
      <c r="RP6" s="36"/>
      <c r="RQ6" s="36"/>
      <c r="RR6" s="36"/>
      <c r="RS6" s="36"/>
      <c r="RT6" s="36"/>
      <c r="RU6" s="36"/>
      <c r="RV6" s="36"/>
      <c r="RW6" s="36"/>
      <c r="RX6" s="36"/>
      <c r="RY6" s="36"/>
      <c r="RZ6" s="36"/>
      <c r="SA6" s="36"/>
      <c r="SB6" s="36"/>
      <c r="SC6" s="36"/>
      <c r="SD6" s="36"/>
      <c r="SE6" s="36"/>
      <c r="SF6" s="36"/>
      <c r="SG6" s="36"/>
      <c r="SH6" s="36"/>
      <c r="SI6" s="36"/>
      <c r="SJ6" s="36"/>
      <c r="SK6" s="36"/>
      <c r="SL6" s="36"/>
      <c r="SM6" s="36"/>
      <c r="SN6" s="36"/>
      <c r="SO6" s="36"/>
      <c r="SP6" s="36"/>
      <c r="SQ6" s="36"/>
      <c r="SR6" s="36"/>
      <c r="SS6" s="36"/>
      <c r="ST6" s="36"/>
      <c r="SU6" s="36"/>
      <c r="SV6" s="36"/>
      <c r="SW6" s="36"/>
      <c r="SX6" s="36"/>
      <c r="SY6" s="36"/>
      <c r="SZ6" s="36"/>
      <c r="TA6" s="36"/>
      <c r="TB6" s="36"/>
      <c r="TC6" s="36"/>
      <c r="TD6" s="36"/>
      <c r="TE6" s="36"/>
      <c r="TF6" s="36"/>
      <c r="TG6" s="36"/>
      <c r="TH6" s="36"/>
      <c r="TI6" s="36"/>
      <c r="TJ6" s="36"/>
      <c r="TK6" s="36"/>
      <c r="TL6" s="36"/>
      <c r="TM6" s="36"/>
      <c r="TN6" s="36"/>
      <c r="TO6" s="36"/>
      <c r="TP6" s="36"/>
      <c r="TQ6" s="36"/>
      <c r="TR6" s="36"/>
      <c r="TS6" s="36"/>
      <c r="TT6" s="36"/>
      <c r="TU6" s="36"/>
      <c r="TV6" s="36"/>
      <c r="TW6" s="36"/>
      <c r="TX6" s="36"/>
      <c r="TY6" s="36"/>
      <c r="TZ6" s="36"/>
      <c r="UA6" s="36"/>
      <c r="UB6" s="36"/>
      <c r="UC6" s="36"/>
      <c r="UD6" s="36"/>
      <c r="UE6" s="36"/>
      <c r="UF6" s="36"/>
      <c r="UG6" s="36"/>
      <c r="UH6" s="36"/>
      <c r="UI6" s="36"/>
      <c r="UJ6" s="36"/>
      <c r="UK6" s="36"/>
      <c r="UL6" s="36"/>
      <c r="UM6" s="36"/>
      <c r="UN6" s="36"/>
      <c r="UO6" s="36"/>
      <c r="UP6" s="36"/>
      <c r="UQ6" s="36"/>
      <c r="UR6" s="36"/>
      <c r="US6" s="36"/>
      <c r="UT6" s="36"/>
      <c r="UU6" s="36"/>
      <c r="UV6" s="36"/>
      <c r="UW6" s="36"/>
      <c r="UX6" s="36"/>
      <c r="UY6" s="36"/>
      <c r="UZ6" s="36"/>
      <c r="VA6" s="36"/>
      <c r="VB6" s="36"/>
      <c r="VC6" s="36"/>
      <c r="VD6" s="36"/>
      <c r="VE6" s="36"/>
      <c r="VF6" s="36"/>
      <c r="VG6" s="36"/>
      <c r="VH6" s="36"/>
      <c r="VI6" s="36"/>
      <c r="VJ6" s="36"/>
      <c r="VK6" s="36"/>
      <c r="VL6" s="36"/>
      <c r="VM6" s="36"/>
      <c r="VN6" s="36"/>
      <c r="VO6" s="36"/>
      <c r="VP6" s="36"/>
      <c r="VQ6" s="36"/>
      <c r="VR6" s="36"/>
      <c r="VS6" s="36"/>
      <c r="VT6" s="36"/>
      <c r="VU6" s="36"/>
      <c r="VV6" s="36"/>
      <c r="VW6" s="36"/>
      <c r="VX6" s="36"/>
      <c r="VY6" s="36"/>
      <c r="VZ6" s="36"/>
      <c r="WA6" s="36"/>
      <c r="WB6" s="36"/>
      <c r="WC6" s="36"/>
      <c r="WD6" s="36"/>
      <c r="WE6" s="36"/>
      <c r="WF6" s="36"/>
      <c r="WG6" s="36"/>
      <c r="WH6" s="36"/>
      <c r="WI6" s="36"/>
      <c r="WJ6" s="36"/>
      <c r="WK6" s="36"/>
      <c r="WL6" s="36"/>
      <c r="WM6" s="36"/>
      <c r="WN6" s="36"/>
      <c r="WO6" s="36"/>
      <c r="WP6" s="36"/>
      <c r="WQ6" s="36"/>
      <c r="WR6" s="36"/>
      <c r="WS6" s="36"/>
      <c r="WT6" s="36"/>
      <c r="WU6" s="36"/>
      <c r="WV6" s="36"/>
      <c r="WW6" s="36"/>
      <c r="WX6" s="36"/>
      <c r="WY6" s="36"/>
      <c r="WZ6" s="36"/>
      <c r="XA6" s="36"/>
      <c r="XB6" s="36"/>
      <c r="XC6" s="36"/>
      <c r="XD6" s="36"/>
      <c r="XE6" s="36"/>
      <c r="XF6" s="36"/>
      <c r="XG6" s="36"/>
      <c r="XH6" s="36"/>
      <c r="XI6" s="36"/>
      <c r="XJ6" s="36"/>
      <c r="XK6" s="36"/>
      <c r="XL6" s="36"/>
      <c r="XM6" s="36"/>
      <c r="XN6" s="36"/>
      <c r="XO6" s="36"/>
      <c r="XP6" s="36"/>
      <c r="XQ6" s="36"/>
      <c r="XR6" s="36"/>
      <c r="XS6" s="36"/>
      <c r="XT6" s="36"/>
      <c r="XU6" s="36"/>
      <c r="XV6" s="36"/>
      <c r="XW6" s="36"/>
      <c r="XX6" s="36"/>
      <c r="XY6" s="36"/>
      <c r="XZ6" s="36"/>
      <c r="YA6" s="36"/>
      <c r="YB6" s="36"/>
      <c r="YC6" s="36"/>
      <c r="YD6" s="36"/>
      <c r="YE6" s="36"/>
      <c r="YF6" s="36"/>
      <c r="YG6" s="36"/>
      <c r="YH6" s="36"/>
      <c r="YI6" s="36"/>
      <c r="YJ6" s="36"/>
      <c r="YK6" s="36"/>
      <c r="YL6" s="36"/>
      <c r="YM6" s="36"/>
      <c r="YN6" s="36"/>
      <c r="YO6" s="36"/>
      <c r="YP6" s="36"/>
      <c r="YQ6" s="36"/>
      <c r="YR6" s="36"/>
      <c r="YS6" s="36"/>
      <c r="YT6" s="36"/>
      <c r="YU6" s="36"/>
      <c r="YV6" s="36"/>
      <c r="YW6" s="36"/>
      <c r="YX6" s="36"/>
      <c r="YY6" s="36"/>
      <c r="YZ6" s="36"/>
      <c r="ZA6" s="36"/>
      <c r="ZB6" s="36"/>
      <c r="ZC6" s="36"/>
      <c r="ZD6" s="36"/>
      <c r="ZE6" s="36"/>
      <c r="ZF6" s="36"/>
      <c r="ZG6" s="36"/>
      <c r="ZH6" s="36"/>
      <c r="ZI6" s="36"/>
      <c r="ZJ6" s="36"/>
      <c r="ZK6" s="36"/>
      <c r="ZL6" s="36"/>
      <c r="ZM6" s="36"/>
      <c r="ZN6" s="36"/>
      <c r="ZO6" s="36"/>
      <c r="ZP6" s="36"/>
      <c r="ZQ6" s="36"/>
      <c r="ZR6" s="36"/>
      <c r="ZS6" s="36"/>
      <c r="ZT6" s="36"/>
      <c r="ZU6" s="36"/>
      <c r="ZV6" s="36"/>
      <c r="ZW6" s="36"/>
      <c r="ZX6" s="36"/>
      <c r="ZY6" s="36"/>
      <c r="ZZ6" s="36"/>
      <c r="AAA6" s="36"/>
      <c r="AAB6" s="36"/>
      <c r="AAC6" s="36"/>
      <c r="AAD6" s="36"/>
      <c r="AAE6" s="36"/>
      <c r="AAF6" s="36"/>
      <c r="AAG6" s="36"/>
      <c r="AAH6" s="36"/>
      <c r="AAI6" s="36"/>
      <c r="AAJ6" s="36"/>
      <c r="AAK6" s="36"/>
      <c r="AAL6" s="36"/>
      <c r="AAM6" s="36"/>
      <c r="AAN6" s="36"/>
      <c r="AAO6" s="36"/>
      <c r="AAP6" s="36"/>
      <c r="AAQ6" s="36"/>
      <c r="AAR6" s="36"/>
      <c r="AAS6" s="36"/>
      <c r="AAT6" s="36"/>
      <c r="AAU6" s="36"/>
      <c r="AAV6" s="36"/>
      <c r="AAW6" s="36"/>
      <c r="AAX6" s="36"/>
      <c r="AAY6" s="36"/>
      <c r="AAZ6" s="36"/>
      <c r="ABA6" s="36"/>
      <c r="ABB6" s="36"/>
      <c r="ABC6" s="36"/>
      <c r="ABD6" s="36"/>
      <c r="ABE6" s="36"/>
      <c r="ABF6" s="36"/>
      <c r="ABG6" s="36"/>
      <c r="ABH6" s="36"/>
      <c r="ABI6" s="36"/>
      <c r="ABJ6" s="36"/>
      <c r="ABK6" s="36"/>
      <c r="ABL6" s="36"/>
      <c r="ABM6" s="36"/>
      <c r="ABN6" s="36"/>
      <c r="ABO6" s="36"/>
      <c r="ABP6" s="36"/>
      <c r="ABQ6" s="36"/>
      <c r="ABR6" s="36"/>
      <c r="ABS6" s="36"/>
      <c r="ABT6" s="36"/>
      <c r="ABU6" s="36"/>
      <c r="ABV6" s="36"/>
      <c r="ABW6" s="36"/>
      <c r="ABX6" s="36"/>
      <c r="ABY6" s="36"/>
      <c r="ABZ6" s="36"/>
      <c r="ACA6" s="36"/>
      <c r="ACB6" s="36"/>
      <c r="ACC6" s="36"/>
      <c r="ACD6" s="36"/>
      <c r="ACE6" s="36"/>
      <c r="ACF6" s="36"/>
      <c r="ACG6" s="36"/>
      <c r="ACH6" s="36"/>
      <c r="ACI6" s="36"/>
      <c r="ACJ6" s="36"/>
      <c r="ACK6" s="36"/>
      <c r="ACL6" s="36"/>
      <c r="ACM6" s="36"/>
      <c r="ACN6" s="36"/>
      <c r="ACO6" s="36"/>
      <c r="ACP6" s="36"/>
      <c r="ACQ6" s="36"/>
      <c r="ACR6" s="36"/>
      <c r="ACS6" s="36"/>
      <c r="ACT6" s="36"/>
      <c r="ACU6" s="36"/>
      <c r="ACV6" s="36"/>
      <c r="ACW6" s="36"/>
      <c r="ACX6" s="36"/>
      <c r="ACY6" s="36"/>
      <c r="ACZ6" s="36"/>
      <c r="ADA6" s="36"/>
      <c r="ADB6" s="36"/>
      <c r="ADC6" s="36"/>
      <c r="ADD6" s="36"/>
      <c r="ADE6" s="36"/>
      <c r="ADF6" s="36"/>
      <c r="ADG6" s="36"/>
      <c r="ADH6" s="36"/>
      <c r="ADI6" s="36"/>
      <c r="ADJ6" s="36"/>
      <c r="ADK6" s="36"/>
      <c r="ADL6" s="36"/>
      <c r="ADM6" s="36"/>
      <c r="ADN6" s="36"/>
      <c r="ADO6" s="36"/>
      <c r="ADP6" s="36"/>
      <c r="ADQ6" s="36"/>
      <c r="ADR6" s="36"/>
      <c r="ADS6" s="36"/>
      <c r="ADT6" s="36"/>
      <c r="ADU6" s="36"/>
      <c r="ADV6" s="36"/>
      <c r="ADW6" s="36"/>
      <c r="ADX6" s="36"/>
      <c r="ADY6" s="36"/>
      <c r="ADZ6" s="36"/>
      <c r="AEA6" s="36"/>
      <c r="AEB6" s="36"/>
      <c r="AEC6" s="36"/>
      <c r="AED6" s="36"/>
      <c r="AEE6" s="36"/>
      <c r="AEF6" s="36"/>
      <c r="AEG6" s="36"/>
      <c r="AEH6" s="36"/>
      <c r="AEI6" s="36"/>
      <c r="AEJ6" s="36"/>
      <c r="AEK6" s="36"/>
      <c r="AEL6" s="36"/>
      <c r="AEM6" s="36"/>
      <c r="AEN6" s="36"/>
      <c r="AEO6" s="36"/>
      <c r="AEP6" s="36"/>
      <c r="AEQ6" s="36"/>
      <c r="AER6" s="36"/>
      <c r="AES6" s="36"/>
      <c r="AET6" s="36"/>
      <c r="AEU6" s="36"/>
      <c r="AEV6" s="36"/>
      <c r="AEW6" s="36"/>
      <c r="AEX6" s="36"/>
      <c r="AEY6" s="36"/>
      <c r="AEZ6" s="36"/>
      <c r="AFA6" s="36"/>
      <c r="AFB6" s="36"/>
      <c r="AFC6" s="36"/>
      <c r="AFD6" s="36"/>
      <c r="AFE6" s="36"/>
      <c r="AFF6" s="36"/>
      <c r="AFG6" s="36"/>
      <c r="AFH6" s="36"/>
      <c r="AFI6" s="36"/>
      <c r="AFJ6" s="36"/>
      <c r="AFK6" s="36"/>
      <c r="AFL6" s="36"/>
      <c r="AFM6" s="36"/>
      <c r="AFN6" s="36"/>
      <c r="AFO6" s="36"/>
      <c r="AFP6" s="36"/>
      <c r="AFQ6" s="36"/>
      <c r="AFR6" s="36"/>
      <c r="AFS6" s="36"/>
      <c r="AFT6" s="36"/>
      <c r="AFU6" s="36"/>
      <c r="AFV6" s="36"/>
      <c r="AFW6" s="36"/>
      <c r="AFX6" s="36"/>
      <c r="AFY6" s="36"/>
      <c r="AFZ6" s="36"/>
      <c r="AGA6" s="36"/>
      <c r="AGB6" s="36"/>
      <c r="AGC6" s="36"/>
      <c r="AGD6" s="36"/>
      <c r="AGE6" s="36"/>
      <c r="AGF6" s="36"/>
      <c r="AGG6" s="36"/>
      <c r="AGH6" s="36"/>
      <c r="AGI6" s="36"/>
      <c r="AGJ6" s="36"/>
      <c r="AGK6" s="36"/>
      <c r="AGL6" s="36"/>
      <c r="AGM6" s="36"/>
      <c r="AGN6" s="36"/>
      <c r="AGO6" s="36"/>
      <c r="AGP6" s="36"/>
      <c r="AGQ6" s="36"/>
      <c r="AGR6" s="36"/>
      <c r="AGS6" s="36"/>
      <c r="AGT6" s="36"/>
      <c r="AGU6" s="36"/>
      <c r="AGV6" s="36"/>
      <c r="AGW6" s="36"/>
      <c r="AGX6" s="36"/>
      <c r="AGY6" s="36"/>
      <c r="AGZ6" s="36"/>
      <c r="AHA6" s="36"/>
      <c r="AHB6" s="36"/>
      <c r="AHC6" s="36"/>
      <c r="AHD6" s="36"/>
      <c r="AHE6" s="36"/>
      <c r="AHF6" s="36"/>
      <c r="AHG6" s="36"/>
      <c r="AHH6" s="36"/>
      <c r="AHI6" s="36"/>
      <c r="AHJ6" s="36"/>
      <c r="AHK6" s="36"/>
      <c r="AHL6" s="36"/>
      <c r="AHM6" s="36"/>
      <c r="AHN6" s="36"/>
      <c r="AHO6" s="36"/>
      <c r="AHP6" s="36"/>
      <c r="AHQ6" s="36"/>
      <c r="AHR6" s="36"/>
      <c r="AHS6" s="36"/>
      <c r="AHT6" s="36"/>
      <c r="AHU6" s="36"/>
      <c r="AHV6" s="36"/>
      <c r="AHW6" s="36"/>
      <c r="AHX6" s="36"/>
      <c r="AHY6" s="36"/>
      <c r="AHZ6" s="36"/>
      <c r="AIA6" s="36"/>
      <c r="AIB6" s="36"/>
      <c r="AIC6" s="36"/>
      <c r="AID6" s="36"/>
      <c r="AIE6" s="36"/>
      <c r="AIF6" s="36"/>
      <c r="AIG6" s="36"/>
      <c r="AIH6" s="36"/>
      <c r="AII6" s="36"/>
      <c r="AIJ6" s="36"/>
      <c r="AIK6" s="36"/>
      <c r="AIL6" s="36"/>
      <c r="AIM6" s="36"/>
      <c r="AIN6" s="36"/>
      <c r="AIO6" s="36"/>
      <c r="AIP6" s="36"/>
      <c r="AIQ6" s="36"/>
      <c r="AIR6" s="36"/>
      <c r="AIS6" s="36"/>
      <c r="AIT6" s="36"/>
      <c r="AIU6" s="36"/>
      <c r="AIV6" s="36"/>
      <c r="AIW6" s="36"/>
      <c r="AIX6" s="36"/>
      <c r="AIY6" s="36"/>
      <c r="AIZ6" s="36"/>
      <c r="AJA6" s="36"/>
      <c r="AJB6" s="36"/>
      <c r="AJC6" s="36"/>
      <c r="AJD6" s="36"/>
      <c r="AJE6" s="36"/>
      <c r="AJF6" s="36"/>
      <c r="AJG6" s="36"/>
      <c r="AJH6" s="36"/>
      <c r="AJI6" s="36"/>
      <c r="AJJ6" s="36"/>
      <c r="AJK6" s="36"/>
      <c r="AJL6" s="36"/>
      <c r="AJM6" s="36"/>
      <c r="AJN6" s="36"/>
      <c r="AJO6" s="36"/>
      <c r="AJP6" s="36"/>
      <c r="AJQ6" s="36"/>
      <c r="AJR6" s="36"/>
      <c r="AJS6" s="36"/>
      <c r="AJT6" s="36"/>
      <c r="AJU6" s="36"/>
      <c r="AJV6" s="36"/>
      <c r="AJW6" s="36"/>
      <c r="AJX6" s="36"/>
      <c r="AJY6" s="36"/>
      <c r="AJZ6" s="36"/>
      <c r="AKA6" s="36"/>
      <c r="AKB6" s="36"/>
      <c r="AKC6" s="36"/>
      <c r="AKD6" s="36"/>
      <c r="AKE6" s="36"/>
      <c r="AKF6" s="36"/>
      <c r="AKG6" s="36"/>
      <c r="AKH6" s="36"/>
      <c r="AKI6" s="36"/>
      <c r="AKJ6" s="36"/>
      <c r="AKK6" s="36"/>
      <c r="AKL6" s="36"/>
      <c r="AKM6" s="36"/>
      <c r="AKN6" s="36"/>
      <c r="AKO6" s="36"/>
      <c r="AKP6" s="36"/>
      <c r="AKQ6" s="36"/>
      <c r="AKR6" s="36"/>
      <c r="AKS6" s="36"/>
      <c r="AKT6" s="36"/>
      <c r="AKU6" s="36"/>
      <c r="AKV6" s="36"/>
      <c r="AKW6" s="36"/>
      <c r="AKX6" s="36"/>
      <c r="AKY6" s="36"/>
      <c r="AKZ6" s="36"/>
      <c r="ALA6" s="36"/>
      <c r="ALB6" s="36"/>
      <c r="ALC6" s="36"/>
      <c r="ALD6" s="36"/>
      <c r="ALE6" s="36"/>
      <c r="ALF6" s="36"/>
      <c r="ALG6" s="36"/>
      <c r="ALH6" s="36"/>
      <c r="ALI6" s="36"/>
      <c r="ALJ6" s="36"/>
      <c r="ALK6" s="36"/>
      <c r="ALL6" s="36"/>
      <c r="ALM6" s="36"/>
      <c r="ALN6" s="36"/>
      <c r="ALO6" s="36"/>
      <c r="ALP6" s="36"/>
      <c r="ALQ6" s="36"/>
      <c r="ALR6" s="36"/>
      <c r="ALS6" s="36"/>
      <c r="ALT6" s="36"/>
      <c r="ALU6" s="36"/>
      <c r="ALV6" s="36"/>
      <c r="ALW6" s="36"/>
      <c r="ALX6" s="36"/>
      <c r="ALY6" s="36"/>
      <c r="ALZ6" s="36"/>
      <c r="AMA6" s="36"/>
      <c r="AMB6" s="36"/>
      <c r="AMC6" s="36"/>
      <c r="AMD6" s="36"/>
      <c r="AME6" s="36"/>
      <c r="AMF6" s="36"/>
      <c r="AMG6" s="36"/>
      <c r="AMH6" s="36"/>
      <c r="AMI6" s="36"/>
      <c r="AMJ6" s="36"/>
      <c r="AMK6" s="36"/>
    </row>
    <row r="7" spans="1:1025" s="10" customFormat="1" x14ac:dyDescent="0.35">
      <c r="A7" s="39" t="s">
        <v>39</v>
      </c>
      <c r="B7" s="38">
        <f>B2*B43</f>
        <v>754.67857142857133</v>
      </c>
      <c r="C7" s="38">
        <f t="shared" ref="C7:P7" si="3">C2*C43</f>
        <v>535.48363636363638</v>
      </c>
      <c r="D7" s="38">
        <f t="shared" si="3"/>
        <v>549.63372093023258</v>
      </c>
      <c r="E7" s="38">
        <f t="shared" si="3"/>
        <v>613.73958333333326</v>
      </c>
      <c r="F7" s="38">
        <f t="shared" si="3"/>
        <v>728.2058823529411</v>
      </c>
      <c r="G7" s="38">
        <f t="shared" si="3"/>
        <v>586.78714859437753</v>
      </c>
      <c r="H7" s="38">
        <f t="shared" si="3"/>
        <v>508.07109004739334</v>
      </c>
      <c r="I7" s="38">
        <f t="shared" si="3"/>
        <v>427.32587859424922</v>
      </c>
      <c r="J7" s="38">
        <f t="shared" si="3"/>
        <v>395.27186009538951</v>
      </c>
      <c r="K7" s="38">
        <f t="shared" si="3"/>
        <v>433.57362459546925</v>
      </c>
      <c r="L7" s="38">
        <f t="shared" si="3"/>
        <v>345.08407994486561</v>
      </c>
      <c r="M7" s="38">
        <f t="shared" si="3"/>
        <v>329.41886792452829</v>
      </c>
      <c r="N7" s="38">
        <f t="shared" si="3"/>
        <v>149.12764908822081</v>
      </c>
      <c r="O7" s="38">
        <f t="shared" si="3"/>
        <v>1577.3593697619847</v>
      </c>
      <c r="P7" s="38">
        <f t="shared" si="3"/>
        <v>1652.7362270450751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</row>
    <row r="8" spans="1:1025" s="10" customFormat="1" x14ac:dyDescent="0.35">
      <c r="A8" s="39"/>
      <c r="B8" s="38">
        <f>B3*B44</f>
        <v>0</v>
      </c>
      <c r="C8" s="38">
        <f t="shared" ref="C8:P8" si="4">C3*C44</f>
        <v>105.31862068965518</v>
      </c>
      <c r="D8" s="38">
        <f t="shared" si="4"/>
        <v>169.32</v>
      </c>
      <c r="E8" s="38">
        <f t="shared" si="4"/>
        <v>53.56272727272728</v>
      </c>
      <c r="F8" s="38">
        <f t="shared" si="4"/>
        <v>208.05882352941177</v>
      </c>
      <c r="G8" s="38">
        <f t="shared" si="4"/>
        <v>53.632820512820508</v>
      </c>
      <c r="H8" s="38">
        <f t="shared" si="4"/>
        <v>111.30835443037974</v>
      </c>
      <c r="I8" s="38">
        <f t="shared" si="4"/>
        <v>42.821111111111108</v>
      </c>
      <c r="J8" s="38">
        <f t="shared" si="4"/>
        <v>45.252613636363634</v>
      </c>
      <c r="K8" s="38">
        <f t="shared" si="4"/>
        <v>46.886269841269836</v>
      </c>
      <c r="L8" s="38">
        <f t="shared" si="4"/>
        <v>77.131034482758608</v>
      </c>
      <c r="M8" s="38">
        <f t="shared" si="4"/>
        <v>46.662524271844667</v>
      </c>
      <c r="N8" s="38">
        <f t="shared" si="4"/>
        <v>34.91949152542373</v>
      </c>
      <c r="O8" s="38">
        <f t="shared" si="4"/>
        <v>203.74599542334099</v>
      </c>
      <c r="P8" s="38">
        <f t="shared" si="4"/>
        <v>261.32599999999996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</row>
    <row r="9" spans="1:1025" s="41" customFormat="1" x14ac:dyDescent="0.35">
      <c r="A9" s="24"/>
      <c r="B9" s="36">
        <f>B8/B7</f>
        <v>0</v>
      </c>
      <c r="C9" s="36">
        <f t="shared" ref="C9" si="5">C8/C7</f>
        <v>0.19667943805874841</v>
      </c>
      <c r="D9" s="36">
        <f t="shared" ref="D9" si="6">D8/D7</f>
        <v>0.30805970149253731</v>
      </c>
      <c r="E9" s="36">
        <f t="shared" ref="E9" si="7">E8/E7</f>
        <v>8.7272727272727293E-2</v>
      </c>
      <c r="F9" s="36">
        <f t="shared" ref="F9" si="8">F8/F7</f>
        <v>0.28571428571428575</v>
      </c>
      <c r="G9" s="36">
        <f t="shared" ref="G9" si="9">G8/G7</f>
        <v>9.1400809716599182E-2</v>
      </c>
      <c r="H9" s="36">
        <f t="shared" ref="H9" si="10">H8/H7</f>
        <v>0.21908027559685947</v>
      </c>
      <c r="I9" s="36">
        <f t="shared" ref="I9" si="11">I8/I7</f>
        <v>0.10020715630885121</v>
      </c>
      <c r="J9" s="36">
        <f t="shared" ref="J9" si="12">J8/J7</f>
        <v>0.11448478428351309</v>
      </c>
      <c r="K9" s="36">
        <f t="shared" ref="K9" si="13">K8/K7</f>
        <v>0.1081391191288802</v>
      </c>
      <c r="L9" s="36">
        <f t="shared" ref="L9" si="14">L8/L7</f>
        <v>0.22351374336098584</v>
      </c>
      <c r="M9" s="36">
        <f t="shared" ref="M9" si="15">M8/M7</f>
        <v>0.14165103706972643</v>
      </c>
      <c r="N9" s="36">
        <f t="shared" ref="N9" si="16">N8/N7</f>
        <v>0.23415839878737771</v>
      </c>
      <c r="O9" s="36">
        <f t="shared" ref="O9" si="17">O8/O7</f>
        <v>0.12916903993418138</v>
      </c>
      <c r="P9" s="36">
        <f t="shared" ref="P9" si="18">P8/P7</f>
        <v>0.15811718514044093</v>
      </c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/>
      <c r="MI9" s="36"/>
      <c r="MJ9" s="36"/>
      <c r="MK9" s="36"/>
      <c r="ML9" s="36"/>
      <c r="MM9" s="36"/>
      <c r="MN9" s="36"/>
      <c r="MO9" s="36"/>
      <c r="MP9" s="36"/>
      <c r="MQ9" s="36"/>
      <c r="MR9" s="36"/>
      <c r="MS9" s="36"/>
      <c r="MT9" s="36"/>
      <c r="MU9" s="36"/>
      <c r="MV9" s="36"/>
      <c r="MW9" s="36"/>
      <c r="MX9" s="36"/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/>
      <c r="NN9" s="36"/>
      <c r="NO9" s="36"/>
      <c r="NP9" s="36"/>
      <c r="NQ9" s="36"/>
      <c r="NR9" s="36"/>
      <c r="NS9" s="36"/>
      <c r="NT9" s="36"/>
      <c r="NU9" s="36"/>
      <c r="NV9" s="36"/>
      <c r="NW9" s="36"/>
      <c r="NX9" s="36"/>
      <c r="NY9" s="36"/>
      <c r="NZ9" s="36"/>
      <c r="OA9" s="36"/>
      <c r="OB9" s="36"/>
      <c r="OC9" s="36"/>
      <c r="OD9" s="36"/>
      <c r="OE9" s="36"/>
      <c r="OF9" s="36"/>
      <c r="OG9" s="36"/>
      <c r="OH9" s="36"/>
      <c r="OI9" s="36"/>
      <c r="OJ9" s="36"/>
      <c r="OK9" s="36"/>
      <c r="OL9" s="36"/>
      <c r="OM9" s="36"/>
      <c r="ON9" s="36"/>
      <c r="OO9" s="36"/>
      <c r="OP9" s="36"/>
      <c r="OQ9" s="36"/>
      <c r="OR9" s="36"/>
      <c r="OS9" s="36"/>
      <c r="OT9" s="36"/>
      <c r="OU9" s="36"/>
      <c r="OV9" s="36"/>
      <c r="OW9" s="36"/>
      <c r="OX9" s="36"/>
      <c r="OY9" s="36"/>
      <c r="OZ9" s="36"/>
      <c r="PA9" s="36"/>
      <c r="PB9" s="36"/>
      <c r="PC9" s="36"/>
      <c r="PD9" s="36"/>
      <c r="PE9" s="36"/>
      <c r="PF9" s="36"/>
      <c r="PG9" s="36"/>
      <c r="PH9" s="36"/>
      <c r="PI9" s="36"/>
      <c r="PJ9" s="36"/>
      <c r="PK9" s="36"/>
      <c r="PL9" s="36"/>
      <c r="PM9" s="36"/>
      <c r="PN9" s="36"/>
      <c r="PO9" s="36"/>
      <c r="PP9" s="36"/>
      <c r="PQ9" s="36"/>
      <c r="PR9" s="36"/>
      <c r="PS9" s="36"/>
      <c r="PT9" s="36"/>
      <c r="PU9" s="36"/>
      <c r="PV9" s="36"/>
      <c r="PW9" s="36"/>
      <c r="PX9" s="36"/>
      <c r="PY9" s="36"/>
      <c r="PZ9" s="36"/>
      <c r="QA9" s="36"/>
      <c r="QB9" s="36"/>
      <c r="QC9" s="36"/>
      <c r="QD9" s="36"/>
      <c r="QE9" s="36"/>
      <c r="QF9" s="36"/>
      <c r="QG9" s="36"/>
      <c r="QH9" s="36"/>
      <c r="QI9" s="36"/>
      <c r="QJ9" s="36"/>
      <c r="QK9" s="36"/>
      <c r="QL9" s="36"/>
      <c r="QM9" s="36"/>
      <c r="QN9" s="36"/>
      <c r="QO9" s="36"/>
      <c r="QP9" s="36"/>
      <c r="QQ9" s="36"/>
      <c r="QR9" s="36"/>
      <c r="QS9" s="36"/>
      <c r="QT9" s="36"/>
      <c r="QU9" s="36"/>
      <c r="QV9" s="36"/>
      <c r="QW9" s="36"/>
      <c r="QX9" s="36"/>
      <c r="QY9" s="36"/>
      <c r="QZ9" s="36"/>
      <c r="RA9" s="36"/>
      <c r="RB9" s="36"/>
      <c r="RC9" s="36"/>
      <c r="RD9" s="36"/>
      <c r="RE9" s="36"/>
      <c r="RF9" s="36"/>
      <c r="RG9" s="36"/>
      <c r="RH9" s="36"/>
      <c r="RI9" s="36"/>
      <c r="RJ9" s="36"/>
      <c r="RK9" s="36"/>
      <c r="RL9" s="36"/>
      <c r="RM9" s="36"/>
      <c r="RN9" s="36"/>
      <c r="RO9" s="36"/>
      <c r="RP9" s="36"/>
      <c r="RQ9" s="36"/>
      <c r="RR9" s="36"/>
      <c r="RS9" s="36"/>
      <c r="RT9" s="36"/>
      <c r="RU9" s="36"/>
      <c r="RV9" s="36"/>
      <c r="RW9" s="36"/>
      <c r="RX9" s="36"/>
      <c r="RY9" s="36"/>
      <c r="RZ9" s="36"/>
      <c r="SA9" s="36"/>
      <c r="SB9" s="36"/>
      <c r="SC9" s="36"/>
      <c r="SD9" s="36"/>
      <c r="SE9" s="36"/>
      <c r="SF9" s="36"/>
      <c r="SG9" s="36"/>
      <c r="SH9" s="36"/>
      <c r="SI9" s="36"/>
      <c r="SJ9" s="36"/>
      <c r="SK9" s="36"/>
      <c r="SL9" s="36"/>
      <c r="SM9" s="36"/>
      <c r="SN9" s="36"/>
      <c r="SO9" s="36"/>
      <c r="SP9" s="36"/>
      <c r="SQ9" s="36"/>
      <c r="SR9" s="36"/>
      <c r="SS9" s="36"/>
      <c r="ST9" s="36"/>
      <c r="SU9" s="36"/>
      <c r="SV9" s="36"/>
      <c r="SW9" s="36"/>
      <c r="SX9" s="36"/>
      <c r="SY9" s="36"/>
      <c r="SZ9" s="36"/>
      <c r="TA9" s="36"/>
      <c r="TB9" s="36"/>
      <c r="TC9" s="36"/>
      <c r="TD9" s="36"/>
      <c r="TE9" s="36"/>
      <c r="TF9" s="36"/>
      <c r="TG9" s="36"/>
      <c r="TH9" s="36"/>
      <c r="TI9" s="36"/>
      <c r="TJ9" s="36"/>
      <c r="TK9" s="36"/>
      <c r="TL9" s="36"/>
      <c r="TM9" s="36"/>
      <c r="TN9" s="36"/>
      <c r="TO9" s="36"/>
      <c r="TP9" s="36"/>
      <c r="TQ9" s="36"/>
      <c r="TR9" s="36"/>
      <c r="TS9" s="36"/>
      <c r="TT9" s="36"/>
      <c r="TU9" s="36"/>
      <c r="TV9" s="36"/>
      <c r="TW9" s="36"/>
      <c r="TX9" s="36"/>
      <c r="TY9" s="36"/>
      <c r="TZ9" s="36"/>
      <c r="UA9" s="36"/>
      <c r="UB9" s="36"/>
      <c r="UC9" s="36"/>
      <c r="UD9" s="36"/>
      <c r="UE9" s="36"/>
      <c r="UF9" s="36"/>
      <c r="UG9" s="36"/>
      <c r="UH9" s="36"/>
      <c r="UI9" s="36"/>
      <c r="UJ9" s="36"/>
      <c r="UK9" s="36"/>
      <c r="UL9" s="36"/>
      <c r="UM9" s="36"/>
      <c r="UN9" s="36"/>
      <c r="UO9" s="36"/>
      <c r="UP9" s="36"/>
      <c r="UQ9" s="36"/>
      <c r="UR9" s="36"/>
      <c r="US9" s="36"/>
      <c r="UT9" s="36"/>
      <c r="UU9" s="36"/>
      <c r="UV9" s="36"/>
      <c r="UW9" s="36"/>
      <c r="UX9" s="36"/>
      <c r="UY9" s="36"/>
      <c r="UZ9" s="36"/>
      <c r="VA9" s="36"/>
      <c r="VB9" s="36"/>
      <c r="VC9" s="36"/>
      <c r="VD9" s="36"/>
      <c r="VE9" s="36"/>
      <c r="VF9" s="36"/>
      <c r="VG9" s="36"/>
      <c r="VH9" s="36"/>
      <c r="VI9" s="36"/>
      <c r="VJ9" s="36"/>
      <c r="VK9" s="36"/>
      <c r="VL9" s="36"/>
      <c r="VM9" s="36"/>
      <c r="VN9" s="36"/>
      <c r="VO9" s="36"/>
      <c r="VP9" s="36"/>
      <c r="VQ9" s="36"/>
      <c r="VR9" s="36"/>
      <c r="VS9" s="36"/>
      <c r="VT9" s="36"/>
      <c r="VU9" s="36"/>
      <c r="VV9" s="36"/>
      <c r="VW9" s="36"/>
      <c r="VX9" s="36"/>
      <c r="VY9" s="36"/>
      <c r="VZ9" s="36"/>
      <c r="WA9" s="36"/>
      <c r="WB9" s="36"/>
      <c r="WC9" s="36"/>
      <c r="WD9" s="36"/>
      <c r="WE9" s="36"/>
      <c r="WF9" s="36"/>
      <c r="WG9" s="36"/>
      <c r="WH9" s="36"/>
      <c r="WI9" s="36"/>
      <c r="WJ9" s="36"/>
      <c r="WK9" s="36"/>
      <c r="WL9" s="36"/>
      <c r="WM9" s="36"/>
      <c r="WN9" s="36"/>
      <c r="WO9" s="36"/>
      <c r="WP9" s="36"/>
      <c r="WQ9" s="36"/>
      <c r="WR9" s="36"/>
      <c r="WS9" s="36"/>
      <c r="WT9" s="36"/>
      <c r="WU9" s="36"/>
      <c r="WV9" s="36"/>
      <c r="WW9" s="36"/>
      <c r="WX9" s="36"/>
      <c r="WY9" s="36"/>
      <c r="WZ9" s="36"/>
      <c r="XA9" s="36"/>
      <c r="XB9" s="36"/>
      <c r="XC9" s="36"/>
      <c r="XD9" s="36"/>
      <c r="XE9" s="36"/>
      <c r="XF9" s="36"/>
      <c r="XG9" s="36"/>
      <c r="XH9" s="36"/>
      <c r="XI9" s="36"/>
      <c r="XJ9" s="36"/>
      <c r="XK9" s="36"/>
      <c r="XL9" s="36"/>
      <c r="XM9" s="36"/>
      <c r="XN9" s="36"/>
      <c r="XO9" s="36"/>
      <c r="XP9" s="36"/>
      <c r="XQ9" s="36"/>
      <c r="XR9" s="36"/>
      <c r="XS9" s="36"/>
      <c r="XT9" s="36"/>
      <c r="XU9" s="36"/>
      <c r="XV9" s="36"/>
      <c r="XW9" s="36"/>
      <c r="XX9" s="36"/>
      <c r="XY9" s="36"/>
      <c r="XZ9" s="36"/>
      <c r="YA9" s="36"/>
      <c r="YB9" s="36"/>
      <c r="YC9" s="36"/>
      <c r="YD9" s="36"/>
      <c r="YE9" s="36"/>
      <c r="YF9" s="36"/>
      <c r="YG9" s="36"/>
      <c r="YH9" s="36"/>
      <c r="YI9" s="36"/>
      <c r="YJ9" s="36"/>
      <c r="YK9" s="36"/>
      <c r="YL9" s="36"/>
      <c r="YM9" s="36"/>
      <c r="YN9" s="36"/>
      <c r="YO9" s="36"/>
      <c r="YP9" s="36"/>
      <c r="YQ9" s="36"/>
      <c r="YR9" s="36"/>
      <c r="YS9" s="36"/>
      <c r="YT9" s="36"/>
      <c r="YU9" s="36"/>
      <c r="YV9" s="36"/>
      <c r="YW9" s="36"/>
      <c r="YX9" s="36"/>
      <c r="YY9" s="36"/>
      <c r="YZ9" s="36"/>
      <c r="ZA9" s="36"/>
      <c r="ZB9" s="36"/>
      <c r="ZC9" s="36"/>
      <c r="ZD9" s="36"/>
      <c r="ZE9" s="36"/>
      <c r="ZF9" s="36"/>
      <c r="ZG9" s="36"/>
      <c r="ZH9" s="36"/>
      <c r="ZI9" s="36"/>
      <c r="ZJ9" s="36"/>
      <c r="ZK9" s="36"/>
      <c r="ZL9" s="36"/>
      <c r="ZM9" s="36"/>
      <c r="ZN9" s="36"/>
      <c r="ZO9" s="36"/>
      <c r="ZP9" s="36"/>
      <c r="ZQ9" s="36"/>
      <c r="ZR9" s="36"/>
      <c r="ZS9" s="36"/>
      <c r="ZT9" s="36"/>
      <c r="ZU9" s="36"/>
      <c r="ZV9" s="36"/>
      <c r="ZW9" s="36"/>
      <c r="ZX9" s="36"/>
      <c r="ZY9" s="36"/>
      <c r="ZZ9" s="36"/>
      <c r="AAA9" s="36"/>
      <c r="AAB9" s="36"/>
      <c r="AAC9" s="36"/>
      <c r="AAD9" s="36"/>
      <c r="AAE9" s="36"/>
      <c r="AAF9" s="36"/>
      <c r="AAG9" s="36"/>
      <c r="AAH9" s="36"/>
      <c r="AAI9" s="36"/>
      <c r="AAJ9" s="36"/>
      <c r="AAK9" s="36"/>
      <c r="AAL9" s="36"/>
      <c r="AAM9" s="36"/>
      <c r="AAN9" s="36"/>
      <c r="AAO9" s="36"/>
      <c r="AAP9" s="36"/>
      <c r="AAQ9" s="36"/>
      <c r="AAR9" s="36"/>
      <c r="AAS9" s="36"/>
      <c r="AAT9" s="36"/>
      <c r="AAU9" s="36"/>
      <c r="AAV9" s="36"/>
      <c r="AAW9" s="36"/>
      <c r="AAX9" s="36"/>
      <c r="AAY9" s="36"/>
      <c r="AAZ9" s="36"/>
      <c r="ABA9" s="36"/>
      <c r="ABB9" s="36"/>
      <c r="ABC9" s="36"/>
      <c r="ABD9" s="36"/>
      <c r="ABE9" s="36"/>
      <c r="ABF9" s="36"/>
      <c r="ABG9" s="36"/>
      <c r="ABH9" s="36"/>
      <c r="ABI9" s="36"/>
      <c r="ABJ9" s="36"/>
      <c r="ABK9" s="36"/>
      <c r="ABL9" s="36"/>
      <c r="ABM9" s="36"/>
      <c r="ABN9" s="36"/>
      <c r="ABO9" s="36"/>
      <c r="ABP9" s="36"/>
      <c r="ABQ9" s="36"/>
      <c r="ABR9" s="36"/>
      <c r="ABS9" s="36"/>
      <c r="ABT9" s="36"/>
      <c r="ABU9" s="36"/>
      <c r="ABV9" s="36"/>
      <c r="ABW9" s="36"/>
      <c r="ABX9" s="36"/>
      <c r="ABY9" s="36"/>
      <c r="ABZ9" s="36"/>
      <c r="ACA9" s="36"/>
      <c r="ACB9" s="36"/>
      <c r="ACC9" s="36"/>
      <c r="ACD9" s="36"/>
      <c r="ACE9" s="36"/>
      <c r="ACF9" s="36"/>
      <c r="ACG9" s="36"/>
      <c r="ACH9" s="36"/>
      <c r="ACI9" s="36"/>
      <c r="ACJ9" s="36"/>
      <c r="ACK9" s="36"/>
      <c r="ACL9" s="36"/>
      <c r="ACM9" s="36"/>
      <c r="ACN9" s="36"/>
      <c r="ACO9" s="36"/>
      <c r="ACP9" s="36"/>
      <c r="ACQ9" s="36"/>
      <c r="ACR9" s="36"/>
      <c r="ACS9" s="36"/>
      <c r="ACT9" s="36"/>
      <c r="ACU9" s="36"/>
      <c r="ACV9" s="36"/>
      <c r="ACW9" s="36"/>
      <c r="ACX9" s="36"/>
      <c r="ACY9" s="36"/>
      <c r="ACZ9" s="36"/>
      <c r="ADA9" s="36"/>
      <c r="ADB9" s="36"/>
      <c r="ADC9" s="36"/>
      <c r="ADD9" s="36"/>
      <c r="ADE9" s="36"/>
      <c r="ADF9" s="36"/>
      <c r="ADG9" s="36"/>
      <c r="ADH9" s="36"/>
      <c r="ADI9" s="36"/>
      <c r="ADJ9" s="36"/>
      <c r="ADK9" s="36"/>
      <c r="ADL9" s="36"/>
      <c r="ADM9" s="36"/>
      <c r="ADN9" s="36"/>
      <c r="ADO9" s="36"/>
      <c r="ADP9" s="36"/>
      <c r="ADQ9" s="36"/>
      <c r="ADR9" s="36"/>
      <c r="ADS9" s="36"/>
      <c r="ADT9" s="36"/>
      <c r="ADU9" s="36"/>
      <c r="ADV9" s="36"/>
      <c r="ADW9" s="36"/>
      <c r="ADX9" s="36"/>
      <c r="ADY9" s="36"/>
      <c r="ADZ9" s="36"/>
      <c r="AEA9" s="36"/>
      <c r="AEB9" s="36"/>
      <c r="AEC9" s="36"/>
      <c r="AED9" s="36"/>
      <c r="AEE9" s="36"/>
      <c r="AEF9" s="36"/>
      <c r="AEG9" s="36"/>
      <c r="AEH9" s="36"/>
      <c r="AEI9" s="36"/>
      <c r="AEJ9" s="36"/>
      <c r="AEK9" s="36"/>
      <c r="AEL9" s="36"/>
      <c r="AEM9" s="36"/>
      <c r="AEN9" s="36"/>
      <c r="AEO9" s="36"/>
      <c r="AEP9" s="36"/>
      <c r="AEQ9" s="36"/>
      <c r="AER9" s="36"/>
      <c r="AES9" s="36"/>
      <c r="AET9" s="36"/>
      <c r="AEU9" s="36"/>
      <c r="AEV9" s="36"/>
      <c r="AEW9" s="36"/>
      <c r="AEX9" s="36"/>
      <c r="AEY9" s="36"/>
      <c r="AEZ9" s="36"/>
      <c r="AFA9" s="36"/>
      <c r="AFB9" s="36"/>
      <c r="AFC9" s="36"/>
      <c r="AFD9" s="36"/>
      <c r="AFE9" s="36"/>
      <c r="AFF9" s="36"/>
      <c r="AFG9" s="36"/>
      <c r="AFH9" s="36"/>
      <c r="AFI9" s="36"/>
      <c r="AFJ9" s="36"/>
      <c r="AFK9" s="36"/>
      <c r="AFL9" s="36"/>
      <c r="AFM9" s="36"/>
      <c r="AFN9" s="36"/>
      <c r="AFO9" s="36"/>
      <c r="AFP9" s="36"/>
      <c r="AFQ9" s="36"/>
      <c r="AFR9" s="36"/>
      <c r="AFS9" s="36"/>
      <c r="AFT9" s="36"/>
      <c r="AFU9" s="36"/>
      <c r="AFV9" s="36"/>
      <c r="AFW9" s="36"/>
      <c r="AFX9" s="36"/>
      <c r="AFY9" s="36"/>
      <c r="AFZ9" s="36"/>
      <c r="AGA9" s="36"/>
      <c r="AGB9" s="36"/>
      <c r="AGC9" s="36"/>
      <c r="AGD9" s="36"/>
      <c r="AGE9" s="36"/>
      <c r="AGF9" s="36"/>
      <c r="AGG9" s="36"/>
      <c r="AGH9" s="36"/>
      <c r="AGI9" s="36"/>
      <c r="AGJ9" s="36"/>
      <c r="AGK9" s="36"/>
      <c r="AGL9" s="36"/>
      <c r="AGM9" s="36"/>
      <c r="AGN9" s="36"/>
      <c r="AGO9" s="36"/>
      <c r="AGP9" s="36"/>
      <c r="AGQ9" s="36"/>
      <c r="AGR9" s="36"/>
      <c r="AGS9" s="36"/>
      <c r="AGT9" s="36"/>
      <c r="AGU9" s="36"/>
      <c r="AGV9" s="36"/>
      <c r="AGW9" s="36"/>
      <c r="AGX9" s="36"/>
      <c r="AGY9" s="36"/>
      <c r="AGZ9" s="36"/>
      <c r="AHA9" s="36"/>
      <c r="AHB9" s="36"/>
      <c r="AHC9" s="36"/>
      <c r="AHD9" s="36"/>
      <c r="AHE9" s="36"/>
      <c r="AHF9" s="36"/>
      <c r="AHG9" s="36"/>
      <c r="AHH9" s="36"/>
      <c r="AHI9" s="36"/>
      <c r="AHJ9" s="36"/>
      <c r="AHK9" s="36"/>
      <c r="AHL9" s="36"/>
      <c r="AHM9" s="36"/>
      <c r="AHN9" s="36"/>
      <c r="AHO9" s="36"/>
      <c r="AHP9" s="36"/>
      <c r="AHQ9" s="36"/>
      <c r="AHR9" s="36"/>
      <c r="AHS9" s="36"/>
      <c r="AHT9" s="36"/>
      <c r="AHU9" s="36"/>
      <c r="AHV9" s="36"/>
      <c r="AHW9" s="36"/>
      <c r="AHX9" s="36"/>
      <c r="AHY9" s="36"/>
      <c r="AHZ9" s="36"/>
      <c r="AIA9" s="36"/>
      <c r="AIB9" s="36"/>
      <c r="AIC9" s="36"/>
      <c r="AID9" s="36"/>
      <c r="AIE9" s="36"/>
      <c r="AIF9" s="36"/>
      <c r="AIG9" s="36"/>
      <c r="AIH9" s="36"/>
      <c r="AII9" s="36"/>
      <c r="AIJ9" s="36"/>
      <c r="AIK9" s="36"/>
      <c r="AIL9" s="36"/>
      <c r="AIM9" s="36"/>
      <c r="AIN9" s="36"/>
      <c r="AIO9" s="36"/>
      <c r="AIP9" s="36"/>
      <c r="AIQ9" s="36"/>
      <c r="AIR9" s="36"/>
      <c r="AIS9" s="36"/>
      <c r="AIT9" s="36"/>
      <c r="AIU9" s="36"/>
      <c r="AIV9" s="36"/>
      <c r="AIW9" s="36"/>
      <c r="AIX9" s="36"/>
      <c r="AIY9" s="36"/>
      <c r="AIZ9" s="36"/>
      <c r="AJA9" s="36"/>
      <c r="AJB9" s="36"/>
      <c r="AJC9" s="36"/>
      <c r="AJD9" s="36"/>
      <c r="AJE9" s="36"/>
      <c r="AJF9" s="36"/>
      <c r="AJG9" s="36"/>
      <c r="AJH9" s="36"/>
      <c r="AJI9" s="36"/>
      <c r="AJJ9" s="36"/>
      <c r="AJK9" s="36"/>
      <c r="AJL9" s="36"/>
      <c r="AJM9" s="36"/>
      <c r="AJN9" s="36"/>
      <c r="AJO9" s="36"/>
      <c r="AJP9" s="36"/>
      <c r="AJQ9" s="36"/>
      <c r="AJR9" s="36"/>
      <c r="AJS9" s="36"/>
      <c r="AJT9" s="36"/>
      <c r="AJU9" s="36"/>
      <c r="AJV9" s="36"/>
      <c r="AJW9" s="36"/>
      <c r="AJX9" s="36"/>
      <c r="AJY9" s="36"/>
      <c r="AJZ9" s="36"/>
      <c r="AKA9" s="36"/>
      <c r="AKB9" s="36"/>
      <c r="AKC9" s="36"/>
      <c r="AKD9" s="36"/>
      <c r="AKE9" s="36"/>
      <c r="AKF9" s="36"/>
      <c r="AKG9" s="36"/>
      <c r="AKH9" s="36"/>
      <c r="AKI9" s="36"/>
      <c r="AKJ9" s="36"/>
      <c r="AKK9" s="36"/>
      <c r="AKL9" s="36"/>
      <c r="AKM9" s="36"/>
      <c r="AKN9" s="36"/>
      <c r="AKO9" s="36"/>
      <c r="AKP9" s="36"/>
      <c r="AKQ9" s="36"/>
      <c r="AKR9" s="36"/>
      <c r="AKS9" s="36"/>
      <c r="AKT9" s="36"/>
      <c r="AKU9" s="36"/>
      <c r="AKV9" s="36"/>
      <c r="AKW9" s="36"/>
      <c r="AKX9" s="36"/>
      <c r="AKY9" s="36"/>
      <c r="AKZ9" s="36"/>
      <c r="ALA9" s="36"/>
      <c r="ALB9" s="36"/>
      <c r="ALC9" s="36"/>
      <c r="ALD9" s="36"/>
      <c r="ALE9" s="36"/>
      <c r="ALF9" s="36"/>
      <c r="ALG9" s="36"/>
      <c r="ALH9" s="36"/>
      <c r="ALI9" s="36"/>
      <c r="ALJ9" s="36"/>
      <c r="ALK9" s="36"/>
      <c r="ALL9" s="36"/>
      <c r="ALM9" s="36"/>
      <c r="ALN9" s="36"/>
      <c r="ALO9" s="36"/>
      <c r="ALP9" s="36"/>
      <c r="ALQ9" s="36"/>
      <c r="ALR9" s="36"/>
      <c r="ALS9" s="36"/>
      <c r="ALT9" s="36"/>
      <c r="ALU9" s="36"/>
      <c r="ALV9" s="36"/>
      <c r="ALW9" s="36"/>
      <c r="ALX9" s="36"/>
      <c r="ALY9" s="36"/>
      <c r="ALZ9" s="36"/>
      <c r="AMA9" s="36"/>
      <c r="AMB9" s="36"/>
      <c r="AMC9" s="36"/>
      <c r="AMD9" s="36"/>
      <c r="AME9" s="36"/>
      <c r="AMF9" s="36"/>
      <c r="AMG9" s="36"/>
      <c r="AMH9" s="36"/>
      <c r="AMI9" s="36"/>
      <c r="AMJ9" s="36"/>
      <c r="AMK9" s="36"/>
    </row>
    <row r="10" spans="1:1025" s="10" customFormat="1" x14ac:dyDescent="0.35">
      <c r="A10" s="39" t="s">
        <v>36</v>
      </c>
      <c r="B10" s="38">
        <f>B2*B45</f>
        <v>221.96428571428572</v>
      </c>
      <c r="C10" s="38">
        <f t="shared" ref="C10:P10" si="19">C2*C45</f>
        <v>337.15636363636366</v>
      </c>
      <c r="D10" s="38">
        <f t="shared" si="19"/>
        <v>467.5988372093023</v>
      </c>
      <c r="E10" s="38">
        <f t="shared" si="19"/>
        <v>452.22916666666669</v>
      </c>
      <c r="F10" s="38">
        <f t="shared" si="19"/>
        <v>693.52941176470586</v>
      </c>
      <c r="G10" s="38">
        <f t="shared" si="19"/>
        <v>518.84337349397583</v>
      </c>
      <c r="H10" s="38">
        <f t="shared" si="19"/>
        <v>559.52132701421795</v>
      </c>
      <c r="I10" s="38">
        <f t="shared" si="19"/>
        <v>422.49733759318423</v>
      </c>
      <c r="J10" s="38">
        <f t="shared" si="19"/>
        <v>457.24244833068366</v>
      </c>
      <c r="K10" s="38">
        <f t="shared" si="19"/>
        <v>315.19174757281553</v>
      </c>
      <c r="L10" s="38">
        <f t="shared" si="19"/>
        <v>251.78773259820812</v>
      </c>
      <c r="M10" s="38">
        <f t="shared" si="19"/>
        <v>246.12830188679243</v>
      </c>
      <c r="N10" s="38">
        <f t="shared" si="19"/>
        <v>97.599802858551016</v>
      </c>
      <c r="O10" s="38">
        <f t="shared" si="19"/>
        <v>1175.5574924572579</v>
      </c>
      <c r="P10" s="38">
        <f t="shared" si="19"/>
        <v>1167.7139677239845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</row>
    <row r="11" spans="1:1025" s="10" customFormat="1" x14ac:dyDescent="0.35">
      <c r="A11" s="39"/>
      <c r="B11" s="38">
        <f>B3*B46</f>
        <v>92.337142857142851</v>
      </c>
      <c r="C11" s="38">
        <f t="shared" ref="C11:P11" si="20">C3*C46</f>
        <v>30.091034482758619</v>
      </c>
      <c r="D11" s="38">
        <f t="shared" si="20"/>
        <v>0</v>
      </c>
      <c r="E11" s="38">
        <f t="shared" si="20"/>
        <v>107.12545454545456</v>
      </c>
      <c r="F11" s="38">
        <f t="shared" si="20"/>
        <v>124.83529411764707</v>
      </c>
      <c r="G11" s="38">
        <f t="shared" si="20"/>
        <v>40.224615384615383</v>
      </c>
      <c r="H11" s="38">
        <f t="shared" si="20"/>
        <v>92.756962025316454</v>
      </c>
      <c r="I11" s="38">
        <f t="shared" si="20"/>
        <v>97.876825396825382</v>
      </c>
      <c r="J11" s="38">
        <f t="shared" si="20"/>
        <v>71.111249999999998</v>
      </c>
      <c r="K11" s="38">
        <f t="shared" si="20"/>
        <v>41.950873015873015</v>
      </c>
      <c r="L11" s="38">
        <f t="shared" si="20"/>
        <v>40.172413793103445</v>
      </c>
      <c r="M11" s="38">
        <f t="shared" si="20"/>
        <v>41.172815533980582</v>
      </c>
      <c r="N11" s="38">
        <f t="shared" si="20"/>
        <v>21.368644067796609</v>
      </c>
      <c r="O11" s="38">
        <f t="shared" si="20"/>
        <v>206.88054919908473</v>
      </c>
      <c r="P11" s="38">
        <f t="shared" si="20"/>
        <v>165.8852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</row>
    <row r="12" spans="1:1025" s="41" customFormat="1" x14ac:dyDescent="0.35">
      <c r="A12" s="24"/>
      <c r="B12" s="36">
        <f>B11/B10</f>
        <v>0.41599999999999998</v>
      </c>
      <c r="C12" s="36">
        <f t="shared" ref="C12" si="21">C11/C10</f>
        <v>8.9249492900608504E-2</v>
      </c>
      <c r="D12" s="36">
        <f t="shared" ref="D12" si="22">D11/D10</f>
        <v>0</v>
      </c>
      <c r="E12" s="36">
        <f t="shared" ref="E12" si="23">E11/E10</f>
        <v>0.23688311688311689</v>
      </c>
      <c r="F12" s="36">
        <f t="shared" ref="F12" si="24">F11/F10</f>
        <v>0.18000000000000002</v>
      </c>
      <c r="G12" s="36">
        <f t="shared" ref="G12" si="25">G11/G10</f>
        <v>7.7527472527472538E-2</v>
      </c>
      <c r="H12" s="36">
        <f t="shared" ref="H12" si="26">H11/H10</f>
        <v>0.16577913574858141</v>
      </c>
      <c r="I12" s="36">
        <f t="shared" ref="I12" si="27">I11/I10</f>
        <v>0.23166258503401357</v>
      </c>
      <c r="J12" s="36">
        <f t="shared" ref="J12" si="28">J11/J10</f>
        <v>0.15552197802197801</v>
      </c>
      <c r="K12" s="36">
        <f t="shared" ref="K12" si="29">K11/K10</f>
        <v>0.13309635591325733</v>
      </c>
      <c r="L12" s="36">
        <f t="shared" ref="L12" si="30">L11/L10</f>
        <v>0.159548733286418</v>
      </c>
      <c r="M12" s="36">
        <f t="shared" ref="M12" si="31">M11/M10</f>
        <v>0.16728192255158922</v>
      </c>
      <c r="N12" s="36">
        <f t="shared" ref="N12" si="32">N11/N10</f>
        <v>0.21894146752289712</v>
      </c>
      <c r="O12" s="36">
        <f t="shared" ref="O12" si="33">O11/O10</f>
        <v>0.1759850543478261</v>
      </c>
      <c r="P12" s="36">
        <f t="shared" ref="P12" si="34">P11/P10</f>
        <v>0.14205978911370759</v>
      </c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/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  <c r="JY12" s="36"/>
      <c r="JZ12" s="36"/>
      <c r="KA12" s="36"/>
      <c r="KB12" s="36"/>
      <c r="KC12" s="36"/>
      <c r="KD12" s="36"/>
      <c r="KE12" s="36"/>
      <c r="KF12" s="36"/>
      <c r="KG12" s="36"/>
      <c r="KH12" s="36"/>
      <c r="KI12" s="36"/>
      <c r="KJ12" s="36"/>
      <c r="KK12" s="36"/>
      <c r="KL12" s="36"/>
      <c r="KM12" s="36"/>
      <c r="KN12" s="36"/>
      <c r="KO12" s="36"/>
      <c r="KP12" s="36"/>
      <c r="KQ12" s="36"/>
      <c r="KR12" s="36"/>
      <c r="KS12" s="36"/>
      <c r="KT12" s="36"/>
      <c r="KU12" s="36"/>
      <c r="KV12" s="36"/>
      <c r="KW12" s="36"/>
      <c r="KX12" s="36"/>
      <c r="KY12" s="36"/>
      <c r="KZ12" s="36"/>
      <c r="LA12" s="36"/>
      <c r="LB12" s="36"/>
      <c r="LC12" s="36"/>
      <c r="LD12" s="36"/>
      <c r="LE12" s="36"/>
      <c r="LF12" s="36"/>
      <c r="LG12" s="36"/>
      <c r="LH12" s="36"/>
      <c r="LI12" s="36"/>
      <c r="LJ12" s="36"/>
      <c r="LK12" s="36"/>
      <c r="LL12" s="36"/>
      <c r="LM12" s="36"/>
      <c r="LN12" s="36"/>
      <c r="LO12" s="36"/>
      <c r="LP12" s="36"/>
      <c r="LQ12" s="36"/>
      <c r="LR12" s="36"/>
      <c r="LS12" s="36"/>
      <c r="LT12" s="36"/>
      <c r="LU12" s="36"/>
      <c r="LV12" s="36"/>
      <c r="LW12" s="36"/>
      <c r="LX12" s="36"/>
      <c r="LY12" s="36"/>
      <c r="LZ12" s="36"/>
      <c r="MA12" s="36"/>
      <c r="MB12" s="36"/>
      <c r="MC12" s="36"/>
      <c r="MD12" s="36"/>
      <c r="ME12" s="36"/>
      <c r="MF12" s="36"/>
      <c r="MG12" s="36"/>
      <c r="MH12" s="36"/>
      <c r="MI12" s="36"/>
      <c r="MJ12" s="36"/>
      <c r="MK12" s="36"/>
      <c r="ML12" s="36"/>
      <c r="MM12" s="36"/>
      <c r="MN12" s="36"/>
      <c r="MO12" s="36"/>
      <c r="MP12" s="36"/>
      <c r="MQ12" s="36"/>
      <c r="MR12" s="36"/>
      <c r="MS12" s="36"/>
      <c r="MT12" s="36"/>
      <c r="MU12" s="36"/>
      <c r="MV12" s="36"/>
      <c r="MW12" s="36"/>
      <c r="MX12" s="36"/>
      <c r="MY12" s="36"/>
      <c r="MZ12" s="36"/>
      <c r="NA12" s="36"/>
      <c r="NB12" s="36"/>
      <c r="NC12" s="36"/>
      <c r="ND12" s="36"/>
      <c r="NE12" s="36"/>
      <c r="NF12" s="36"/>
      <c r="NG12" s="36"/>
      <c r="NH12" s="36"/>
      <c r="NI12" s="36"/>
      <c r="NJ12" s="36"/>
      <c r="NK12" s="36"/>
      <c r="NL12" s="36"/>
      <c r="NM12" s="36"/>
      <c r="NN12" s="36"/>
      <c r="NO12" s="36"/>
      <c r="NP12" s="36"/>
      <c r="NQ12" s="36"/>
      <c r="NR12" s="36"/>
      <c r="NS12" s="36"/>
      <c r="NT12" s="36"/>
      <c r="NU12" s="36"/>
      <c r="NV12" s="36"/>
      <c r="NW12" s="36"/>
      <c r="NX12" s="36"/>
      <c r="NY12" s="36"/>
      <c r="NZ12" s="36"/>
      <c r="OA12" s="36"/>
      <c r="OB12" s="36"/>
      <c r="OC12" s="36"/>
      <c r="OD12" s="36"/>
      <c r="OE12" s="36"/>
      <c r="OF12" s="36"/>
      <c r="OG12" s="36"/>
      <c r="OH12" s="36"/>
      <c r="OI12" s="36"/>
      <c r="OJ12" s="36"/>
      <c r="OK12" s="36"/>
      <c r="OL12" s="36"/>
      <c r="OM12" s="36"/>
      <c r="ON12" s="36"/>
      <c r="OO12" s="36"/>
      <c r="OP12" s="36"/>
      <c r="OQ12" s="36"/>
      <c r="OR12" s="36"/>
      <c r="OS12" s="36"/>
      <c r="OT12" s="36"/>
      <c r="OU12" s="36"/>
      <c r="OV12" s="36"/>
      <c r="OW12" s="36"/>
      <c r="OX12" s="36"/>
      <c r="OY12" s="36"/>
      <c r="OZ12" s="36"/>
      <c r="PA12" s="36"/>
      <c r="PB12" s="36"/>
      <c r="PC12" s="36"/>
      <c r="PD12" s="36"/>
      <c r="PE12" s="36"/>
      <c r="PF12" s="36"/>
      <c r="PG12" s="36"/>
      <c r="PH12" s="36"/>
      <c r="PI12" s="36"/>
      <c r="PJ12" s="36"/>
      <c r="PK12" s="36"/>
      <c r="PL12" s="36"/>
      <c r="PM12" s="36"/>
      <c r="PN12" s="36"/>
      <c r="PO12" s="36"/>
      <c r="PP12" s="36"/>
      <c r="PQ12" s="36"/>
      <c r="PR12" s="36"/>
      <c r="PS12" s="36"/>
      <c r="PT12" s="36"/>
      <c r="PU12" s="36"/>
      <c r="PV12" s="36"/>
      <c r="PW12" s="36"/>
      <c r="PX12" s="36"/>
      <c r="PY12" s="36"/>
      <c r="PZ12" s="36"/>
      <c r="QA12" s="36"/>
      <c r="QB12" s="36"/>
      <c r="QC12" s="36"/>
      <c r="QD12" s="36"/>
      <c r="QE12" s="36"/>
      <c r="QF12" s="36"/>
      <c r="QG12" s="36"/>
      <c r="QH12" s="36"/>
      <c r="QI12" s="36"/>
      <c r="QJ12" s="36"/>
      <c r="QK12" s="36"/>
      <c r="QL12" s="36"/>
      <c r="QM12" s="36"/>
      <c r="QN12" s="36"/>
      <c r="QO12" s="36"/>
      <c r="QP12" s="36"/>
      <c r="QQ12" s="36"/>
      <c r="QR12" s="36"/>
      <c r="QS12" s="36"/>
      <c r="QT12" s="36"/>
      <c r="QU12" s="36"/>
      <c r="QV12" s="36"/>
      <c r="QW12" s="36"/>
      <c r="QX12" s="36"/>
      <c r="QY12" s="36"/>
      <c r="QZ12" s="36"/>
      <c r="RA12" s="36"/>
      <c r="RB12" s="36"/>
      <c r="RC12" s="36"/>
      <c r="RD12" s="36"/>
      <c r="RE12" s="36"/>
      <c r="RF12" s="36"/>
      <c r="RG12" s="36"/>
      <c r="RH12" s="36"/>
      <c r="RI12" s="36"/>
      <c r="RJ12" s="36"/>
      <c r="RK12" s="36"/>
      <c r="RL12" s="36"/>
      <c r="RM12" s="36"/>
      <c r="RN12" s="36"/>
      <c r="RO12" s="36"/>
      <c r="RP12" s="36"/>
      <c r="RQ12" s="36"/>
      <c r="RR12" s="36"/>
      <c r="RS12" s="36"/>
      <c r="RT12" s="36"/>
      <c r="RU12" s="36"/>
      <c r="RV12" s="36"/>
      <c r="RW12" s="36"/>
      <c r="RX12" s="36"/>
      <c r="RY12" s="36"/>
      <c r="RZ12" s="36"/>
      <c r="SA12" s="36"/>
      <c r="SB12" s="36"/>
      <c r="SC12" s="36"/>
      <c r="SD12" s="36"/>
      <c r="SE12" s="36"/>
      <c r="SF12" s="36"/>
      <c r="SG12" s="36"/>
      <c r="SH12" s="36"/>
      <c r="SI12" s="36"/>
      <c r="SJ12" s="36"/>
      <c r="SK12" s="36"/>
      <c r="SL12" s="36"/>
      <c r="SM12" s="36"/>
      <c r="SN12" s="36"/>
      <c r="SO12" s="36"/>
      <c r="SP12" s="36"/>
      <c r="SQ12" s="36"/>
      <c r="SR12" s="36"/>
      <c r="SS12" s="36"/>
      <c r="ST12" s="36"/>
      <c r="SU12" s="36"/>
      <c r="SV12" s="36"/>
      <c r="SW12" s="36"/>
      <c r="SX12" s="36"/>
      <c r="SY12" s="36"/>
      <c r="SZ12" s="36"/>
      <c r="TA12" s="36"/>
      <c r="TB12" s="36"/>
      <c r="TC12" s="36"/>
      <c r="TD12" s="36"/>
      <c r="TE12" s="36"/>
      <c r="TF12" s="36"/>
      <c r="TG12" s="36"/>
      <c r="TH12" s="36"/>
      <c r="TI12" s="36"/>
      <c r="TJ12" s="36"/>
      <c r="TK12" s="36"/>
      <c r="TL12" s="36"/>
      <c r="TM12" s="36"/>
      <c r="TN12" s="36"/>
      <c r="TO12" s="36"/>
      <c r="TP12" s="36"/>
      <c r="TQ12" s="36"/>
      <c r="TR12" s="36"/>
      <c r="TS12" s="36"/>
      <c r="TT12" s="36"/>
      <c r="TU12" s="36"/>
      <c r="TV12" s="36"/>
      <c r="TW12" s="36"/>
      <c r="TX12" s="36"/>
      <c r="TY12" s="36"/>
      <c r="TZ12" s="36"/>
      <c r="UA12" s="36"/>
      <c r="UB12" s="36"/>
      <c r="UC12" s="36"/>
      <c r="UD12" s="36"/>
      <c r="UE12" s="36"/>
      <c r="UF12" s="36"/>
      <c r="UG12" s="36"/>
      <c r="UH12" s="36"/>
      <c r="UI12" s="36"/>
      <c r="UJ12" s="36"/>
      <c r="UK12" s="36"/>
      <c r="UL12" s="36"/>
      <c r="UM12" s="36"/>
      <c r="UN12" s="36"/>
      <c r="UO12" s="36"/>
      <c r="UP12" s="36"/>
      <c r="UQ12" s="36"/>
      <c r="UR12" s="36"/>
      <c r="US12" s="36"/>
      <c r="UT12" s="36"/>
      <c r="UU12" s="36"/>
      <c r="UV12" s="36"/>
      <c r="UW12" s="36"/>
      <c r="UX12" s="36"/>
      <c r="UY12" s="36"/>
      <c r="UZ12" s="36"/>
      <c r="VA12" s="36"/>
      <c r="VB12" s="36"/>
      <c r="VC12" s="36"/>
      <c r="VD12" s="36"/>
      <c r="VE12" s="36"/>
      <c r="VF12" s="36"/>
      <c r="VG12" s="36"/>
      <c r="VH12" s="36"/>
      <c r="VI12" s="36"/>
      <c r="VJ12" s="36"/>
      <c r="VK12" s="36"/>
      <c r="VL12" s="36"/>
      <c r="VM12" s="36"/>
      <c r="VN12" s="36"/>
      <c r="VO12" s="36"/>
      <c r="VP12" s="36"/>
      <c r="VQ12" s="36"/>
      <c r="VR12" s="36"/>
      <c r="VS12" s="36"/>
      <c r="VT12" s="36"/>
      <c r="VU12" s="36"/>
      <c r="VV12" s="36"/>
      <c r="VW12" s="36"/>
      <c r="VX12" s="36"/>
      <c r="VY12" s="36"/>
      <c r="VZ12" s="36"/>
      <c r="WA12" s="36"/>
      <c r="WB12" s="36"/>
      <c r="WC12" s="36"/>
      <c r="WD12" s="36"/>
      <c r="WE12" s="36"/>
      <c r="WF12" s="36"/>
      <c r="WG12" s="36"/>
      <c r="WH12" s="36"/>
      <c r="WI12" s="36"/>
      <c r="WJ12" s="36"/>
      <c r="WK12" s="36"/>
      <c r="WL12" s="36"/>
      <c r="WM12" s="36"/>
      <c r="WN12" s="36"/>
      <c r="WO12" s="36"/>
      <c r="WP12" s="36"/>
      <c r="WQ12" s="36"/>
      <c r="WR12" s="36"/>
      <c r="WS12" s="36"/>
      <c r="WT12" s="36"/>
      <c r="WU12" s="36"/>
      <c r="WV12" s="36"/>
      <c r="WW12" s="36"/>
      <c r="WX12" s="36"/>
      <c r="WY12" s="36"/>
      <c r="WZ12" s="36"/>
      <c r="XA12" s="36"/>
      <c r="XB12" s="36"/>
      <c r="XC12" s="36"/>
      <c r="XD12" s="36"/>
      <c r="XE12" s="36"/>
      <c r="XF12" s="36"/>
      <c r="XG12" s="36"/>
      <c r="XH12" s="36"/>
      <c r="XI12" s="36"/>
      <c r="XJ12" s="36"/>
      <c r="XK12" s="36"/>
      <c r="XL12" s="36"/>
      <c r="XM12" s="36"/>
      <c r="XN12" s="36"/>
      <c r="XO12" s="36"/>
      <c r="XP12" s="36"/>
      <c r="XQ12" s="36"/>
      <c r="XR12" s="36"/>
      <c r="XS12" s="36"/>
      <c r="XT12" s="36"/>
      <c r="XU12" s="36"/>
      <c r="XV12" s="36"/>
      <c r="XW12" s="36"/>
      <c r="XX12" s="36"/>
      <c r="XY12" s="36"/>
      <c r="XZ12" s="36"/>
      <c r="YA12" s="36"/>
      <c r="YB12" s="36"/>
      <c r="YC12" s="36"/>
      <c r="YD12" s="36"/>
      <c r="YE12" s="36"/>
      <c r="YF12" s="36"/>
      <c r="YG12" s="36"/>
      <c r="YH12" s="36"/>
      <c r="YI12" s="36"/>
      <c r="YJ12" s="36"/>
      <c r="YK12" s="36"/>
      <c r="YL12" s="36"/>
      <c r="YM12" s="36"/>
      <c r="YN12" s="36"/>
      <c r="YO12" s="36"/>
      <c r="YP12" s="36"/>
      <c r="YQ12" s="36"/>
      <c r="YR12" s="36"/>
      <c r="YS12" s="36"/>
      <c r="YT12" s="36"/>
      <c r="YU12" s="36"/>
      <c r="YV12" s="36"/>
      <c r="YW12" s="36"/>
      <c r="YX12" s="36"/>
      <c r="YY12" s="36"/>
      <c r="YZ12" s="36"/>
      <c r="ZA12" s="36"/>
      <c r="ZB12" s="36"/>
      <c r="ZC12" s="36"/>
      <c r="ZD12" s="36"/>
      <c r="ZE12" s="36"/>
      <c r="ZF12" s="36"/>
      <c r="ZG12" s="36"/>
      <c r="ZH12" s="36"/>
      <c r="ZI12" s="36"/>
      <c r="ZJ12" s="36"/>
      <c r="ZK12" s="36"/>
      <c r="ZL12" s="36"/>
      <c r="ZM12" s="36"/>
      <c r="ZN12" s="36"/>
      <c r="ZO12" s="36"/>
      <c r="ZP12" s="36"/>
      <c r="ZQ12" s="36"/>
      <c r="ZR12" s="36"/>
      <c r="ZS12" s="36"/>
      <c r="ZT12" s="36"/>
      <c r="ZU12" s="36"/>
      <c r="ZV12" s="36"/>
      <c r="ZW12" s="36"/>
      <c r="ZX12" s="36"/>
      <c r="ZY12" s="36"/>
      <c r="ZZ12" s="36"/>
      <c r="AAA12" s="36"/>
      <c r="AAB12" s="36"/>
      <c r="AAC12" s="36"/>
      <c r="AAD12" s="36"/>
      <c r="AAE12" s="36"/>
      <c r="AAF12" s="36"/>
      <c r="AAG12" s="36"/>
      <c r="AAH12" s="36"/>
      <c r="AAI12" s="36"/>
      <c r="AAJ12" s="36"/>
      <c r="AAK12" s="36"/>
      <c r="AAL12" s="36"/>
      <c r="AAM12" s="36"/>
      <c r="AAN12" s="36"/>
      <c r="AAO12" s="36"/>
      <c r="AAP12" s="36"/>
      <c r="AAQ12" s="36"/>
      <c r="AAR12" s="36"/>
      <c r="AAS12" s="36"/>
      <c r="AAT12" s="36"/>
      <c r="AAU12" s="36"/>
      <c r="AAV12" s="36"/>
      <c r="AAW12" s="36"/>
      <c r="AAX12" s="36"/>
      <c r="AAY12" s="36"/>
      <c r="AAZ12" s="36"/>
      <c r="ABA12" s="36"/>
      <c r="ABB12" s="36"/>
      <c r="ABC12" s="36"/>
      <c r="ABD12" s="36"/>
      <c r="ABE12" s="36"/>
      <c r="ABF12" s="36"/>
      <c r="ABG12" s="36"/>
      <c r="ABH12" s="36"/>
      <c r="ABI12" s="36"/>
      <c r="ABJ12" s="36"/>
      <c r="ABK12" s="36"/>
      <c r="ABL12" s="36"/>
      <c r="ABM12" s="36"/>
      <c r="ABN12" s="36"/>
      <c r="ABO12" s="36"/>
      <c r="ABP12" s="36"/>
      <c r="ABQ12" s="36"/>
      <c r="ABR12" s="36"/>
      <c r="ABS12" s="36"/>
      <c r="ABT12" s="36"/>
      <c r="ABU12" s="36"/>
      <c r="ABV12" s="36"/>
      <c r="ABW12" s="36"/>
      <c r="ABX12" s="36"/>
      <c r="ABY12" s="36"/>
      <c r="ABZ12" s="36"/>
      <c r="ACA12" s="36"/>
      <c r="ACB12" s="36"/>
      <c r="ACC12" s="36"/>
      <c r="ACD12" s="36"/>
      <c r="ACE12" s="36"/>
      <c r="ACF12" s="36"/>
      <c r="ACG12" s="36"/>
      <c r="ACH12" s="36"/>
      <c r="ACI12" s="36"/>
      <c r="ACJ12" s="36"/>
      <c r="ACK12" s="36"/>
      <c r="ACL12" s="36"/>
      <c r="ACM12" s="36"/>
      <c r="ACN12" s="36"/>
      <c r="ACO12" s="36"/>
      <c r="ACP12" s="36"/>
      <c r="ACQ12" s="36"/>
      <c r="ACR12" s="36"/>
      <c r="ACS12" s="36"/>
      <c r="ACT12" s="36"/>
      <c r="ACU12" s="36"/>
      <c r="ACV12" s="36"/>
      <c r="ACW12" s="36"/>
      <c r="ACX12" s="36"/>
      <c r="ACY12" s="36"/>
      <c r="ACZ12" s="36"/>
      <c r="ADA12" s="36"/>
      <c r="ADB12" s="36"/>
      <c r="ADC12" s="36"/>
      <c r="ADD12" s="36"/>
      <c r="ADE12" s="36"/>
      <c r="ADF12" s="36"/>
      <c r="ADG12" s="36"/>
      <c r="ADH12" s="36"/>
      <c r="ADI12" s="36"/>
      <c r="ADJ12" s="36"/>
      <c r="ADK12" s="36"/>
      <c r="ADL12" s="36"/>
      <c r="ADM12" s="36"/>
      <c r="ADN12" s="36"/>
      <c r="ADO12" s="36"/>
      <c r="ADP12" s="36"/>
      <c r="ADQ12" s="36"/>
      <c r="ADR12" s="36"/>
      <c r="ADS12" s="36"/>
      <c r="ADT12" s="36"/>
      <c r="ADU12" s="36"/>
      <c r="ADV12" s="36"/>
      <c r="ADW12" s="36"/>
      <c r="ADX12" s="36"/>
      <c r="ADY12" s="36"/>
      <c r="ADZ12" s="36"/>
      <c r="AEA12" s="36"/>
      <c r="AEB12" s="36"/>
      <c r="AEC12" s="36"/>
      <c r="AED12" s="36"/>
      <c r="AEE12" s="36"/>
      <c r="AEF12" s="36"/>
      <c r="AEG12" s="36"/>
      <c r="AEH12" s="36"/>
      <c r="AEI12" s="36"/>
      <c r="AEJ12" s="36"/>
      <c r="AEK12" s="36"/>
      <c r="AEL12" s="36"/>
      <c r="AEM12" s="36"/>
      <c r="AEN12" s="36"/>
      <c r="AEO12" s="36"/>
      <c r="AEP12" s="36"/>
      <c r="AEQ12" s="36"/>
      <c r="AER12" s="36"/>
      <c r="AES12" s="36"/>
      <c r="AET12" s="36"/>
      <c r="AEU12" s="36"/>
      <c r="AEV12" s="36"/>
      <c r="AEW12" s="36"/>
      <c r="AEX12" s="36"/>
      <c r="AEY12" s="36"/>
      <c r="AEZ12" s="36"/>
      <c r="AFA12" s="36"/>
      <c r="AFB12" s="36"/>
      <c r="AFC12" s="36"/>
      <c r="AFD12" s="36"/>
      <c r="AFE12" s="36"/>
      <c r="AFF12" s="36"/>
      <c r="AFG12" s="36"/>
      <c r="AFH12" s="36"/>
      <c r="AFI12" s="36"/>
      <c r="AFJ12" s="36"/>
      <c r="AFK12" s="36"/>
      <c r="AFL12" s="36"/>
      <c r="AFM12" s="36"/>
      <c r="AFN12" s="36"/>
      <c r="AFO12" s="36"/>
      <c r="AFP12" s="36"/>
      <c r="AFQ12" s="36"/>
      <c r="AFR12" s="36"/>
      <c r="AFS12" s="36"/>
      <c r="AFT12" s="36"/>
      <c r="AFU12" s="36"/>
      <c r="AFV12" s="36"/>
      <c r="AFW12" s="36"/>
      <c r="AFX12" s="36"/>
      <c r="AFY12" s="36"/>
      <c r="AFZ12" s="36"/>
      <c r="AGA12" s="36"/>
      <c r="AGB12" s="36"/>
      <c r="AGC12" s="36"/>
      <c r="AGD12" s="36"/>
      <c r="AGE12" s="36"/>
      <c r="AGF12" s="36"/>
      <c r="AGG12" s="36"/>
      <c r="AGH12" s="36"/>
      <c r="AGI12" s="36"/>
      <c r="AGJ12" s="36"/>
      <c r="AGK12" s="36"/>
      <c r="AGL12" s="36"/>
      <c r="AGM12" s="36"/>
      <c r="AGN12" s="36"/>
      <c r="AGO12" s="36"/>
      <c r="AGP12" s="36"/>
      <c r="AGQ12" s="36"/>
      <c r="AGR12" s="36"/>
      <c r="AGS12" s="36"/>
      <c r="AGT12" s="36"/>
      <c r="AGU12" s="36"/>
      <c r="AGV12" s="36"/>
      <c r="AGW12" s="36"/>
      <c r="AGX12" s="36"/>
      <c r="AGY12" s="36"/>
      <c r="AGZ12" s="36"/>
      <c r="AHA12" s="36"/>
      <c r="AHB12" s="36"/>
      <c r="AHC12" s="36"/>
      <c r="AHD12" s="36"/>
      <c r="AHE12" s="36"/>
      <c r="AHF12" s="36"/>
      <c r="AHG12" s="36"/>
      <c r="AHH12" s="36"/>
      <c r="AHI12" s="36"/>
      <c r="AHJ12" s="36"/>
      <c r="AHK12" s="36"/>
      <c r="AHL12" s="36"/>
      <c r="AHM12" s="36"/>
      <c r="AHN12" s="36"/>
      <c r="AHO12" s="36"/>
      <c r="AHP12" s="36"/>
      <c r="AHQ12" s="36"/>
      <c r="AHR12" s="36"/>
      <c r="AHS12" s="36"/>
      <c r="AHT12" s="36"/>
      <c r="AHU12" s="36"/>
      <c r="AHV12" s="36"/>
      <c r="AHW12" s="36"/>
      <c r="AHX12" s="36"/>
      <c r="AHY12" s="36"/>
      <c r="AHZ12" s="36"/>
      <c r="AIA12" s="36"/>
      <c r="AIB12" s="36"/>
      <c r="AIC12" s="36"/>
      <c r="AID12" s="36"/>
      <c r="AIE12" s="36"/>
      <c r="AIF12" s="36"/>
      <c r="AIG12" s="36"/>
      <c r="AIH12" s="36"/>
      <c r="AII12" s="36"/>
      <c r="AIJ12" s="36"/>
      <c r="AIK12" s="36"/>
      <c r="AIL12" s="36"/>
      <c r="AIM12" s="36"/>
      <c r="AIN12" s="36"/>
      <c r="AIO12" s="36"/>
      <c r="AIP12" s="36"/>
      <c r="AIQ12" s="36"/>
      <c r="AIR12" s="36"/>
      <c r="AIS12" s="36"/>
      <c r="AIT12" s="36"/>
      <c r="AIU12" s="36"/>
      <c r="AIV12" s="36"/>
      <c r="AIW12" s="36"/>
      <c r="AIX12" s="36"/>
      <c r="AIY12" s="36"/>
      <c r="AIZ12" s="36"/>
      <c r="AJA12" s="36"/>
      <c r="AJB12" s="36"/>
      <c r="AJC12" s="36"/>
      <c r="AJD12" s="36"/>
      <c r="AJE12" s="36"/>
      <c r="AJF12" s="36"/>
      <c r="AJG12" s="36"/>
      <c r="AJH12" s="36"/>
      <c r="AJI12" s="36"/>
      <c r="AJJ12" s="36"/>
      <c r="AJK12" s="36"/>
      <c r="AJL12" s="36"/>
      <c r="AJM12" s="36"/>
      <c r="AJN12" s="36"/>
      <c r="AJO12" s="36"/>
      <c r="AJP12" s="36"/>
      <c r="AJQ12" s="36"/>
      <c r="AJR12" s="36"/>
      <c r="AJS12" s="36"/>
      <c r="AJT12" s="36"/>
      <c r="AJU12" s="36"/>
      <c r="AJV12" s="36"/>
      <c r="AJW12" s="36"/>
      <c r="AJX12" s="36"/>
      <c r="AJY12" s="36"/>
      <c r="AJZ12" s="36"/>
      <c r="AKA12" s="36"/>
      <c r="AKB12" s="36"/>
      <c r="AKC12" s="36"/>
      <c r="AKD12" s="36"/>
      <c r="AKE12" s="36"/>
      <c r="AKF12" s="36"/>
      <c r="AKG12" s="36"/>
      <c r="AKH12" s="36"/>
      <c r="AKI12" s="36"/>
      <c r="AKJ12" s="36"/>
      <c r="AKK12" s="36"/>
      <c r="AKL12" s="36"/>
      <c r="AKM12" s="36"/>
      <c r="AKN12" s="36"/>
      <c r="AKO12" s="36"/>
      <c r="AKP12" s="36"/>
      <c r="AKQ12" s="36"/>
      <c r="AKR12" s="36"/>
      <c r="AKS12" s="36"/>
      <c r="AKT12" s="36"/>
      <c r="AKU12" s="36"/>
      <c r="AKV12" s="36"/>
      <c r="AKW12" s="36"/>
      <c r="AKX12" s="36"/>
      <c r="AKY12" s="36"/>
      <c r="AKZ12" s="36"/>
      <c r="ALA12" s="36"/>
      <c r="ALB12" s="36"/>
      <c r="ALC12" s="36"/>
      <c r="ALD12" s="36"/>
      <c r="ALE12" s="36"/>
      <c r="ALF12" s="36"/>
      <c r="ALG12" s="36"/>
      <c r="ALH12" s="36"/>
      <c r="ALI12" s="36"/>
      <c r="ALJ12" s="36"/>
      <c r="ALK12" s="36"/>
      <c r="ALL12" s="36"/>
      <c r="ALM12" s="36"/>
      <c r="ALN12" s="36"/>
      <c r="ALO12" s="36"/>
      <c r="ALP12" s="36"/>
      <c r="ALQ12" s="36"/>
      <c r="ALR12" s="36"/>
      <c r="ALS12" s="36"/>
      <c r="ALT12" s="36"/>
      <c r="ALU12" s="36"/>
      <c r="ALV12" s="36"/>
      <c r="ALW12" s="36"/>
      <c r="ALX12" s="36"/>
      <c r="ALY12" s="36"/>
      <c r="ALZ12" s="36"/>
      <c r="AMA12" s="36"/>
      <c r="AMB12" s="36"/>
      <c r="AMC12" s="36"/>
      <c r="AMD12" s="36"/>
      <c r="AME12" s="36"/>
      <c r="AMF12" s="36"/>
      <c r="AMG12" s="36"/>
      <c r="AMH12" s="36"/>
      <c r="AMI12" s="36"/>
      <c r="AMJ12" s="36"/>
      <c r="AMK12" s="36"/>
    </row>
    <row r="13" spans="1:1025" s="41" customFormat="1" x14ac:dyDescent="0.35">
      <c r="A13" s="24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36"/>
      <c r="IT13" s="36"/>
      <c r="IU13" s="36"/>
      <c r="IV13" s="36"/>
      <c r="IW13" s="36"/>
      <c r="IX13" s="36"/>
      <c r="IY13" s="36"/>
      <c r="IZ13" s="36"/>
      <c r="JA13" s="36"/>
      <c r="JB13" s="36"/>
      <c r="JC13" s="36"/>
      <c r="JD13" s="36"/>
      <c r="JE13" s="36"/>
      <c r="JF13" s="36"/>
      <c r="JG13" s="36"/>
      <c r="JH13" s="36"/>
      <c r="JI13" s="36"/>
      <c r="JJ13" s="36"/>
      <c r="JK13" s="36"/>
      <c r="JL13" s="36"/>
      <c r="JM13" s="36"/>
      <c r="JN13" s="36"/>
      <c r="JO13" s="36"/>
      <c r="JP13" s="36"/>
      <c r="JQ13" s="36"/>
      <c r="JR13" s="36"/>
      <c r="JS13" s="36"/>
      <c r="JT13" s="36"/>
      <c r="JU13" s="36"/>
      <c r="JV13" s="36"/>
      <c r="JW13" s="36"/>
      <c r="JX13" s="36"/>
      <c r="JY13" s="36"/>
      <c r="JZ13" s="36"/>
      <c r="KA13" s="36"/>
      <c r="KB13" s="36"/>
      <c r="KC13" s="36"/>
      <c r="KD13" s="36"/>
      <c r="KE13" s="36"/>
      <c r="KF13" s="36"/>
      <c r="KG13" s="36"/>
      <c r="KH13" s="36"/>
      <c r="KI13" s="36"/>
      <c r="KJ13" s="36"/>
      <c r="KK13" s="36"/>
      <c r="KL13" s="36"/>
      <c r="KM13" s="36"/>
      <c r="KN13" s="36"/>
      <c r="KO13" s="36"/>
      <c r="KP13" s="36"/>
      <c r="KQ13" s="36"/>
      <c r="KR13" s="36"/>
      <c r="KS13" s="36"/>
      <c r="KT13" s="36"/>
      <c r="KU13" s="36"/>
      <c r="KV13" s="36"/>
      <c r="KW13" s="36"/>
      <c r="KX13" s="36"/>
      <c r="KY13" s="36"/>
      <c r="KZ13" s="36"/>
      <c r="LA13" s="36"/>
      <c r="LB13" s="36"/>
      <c r="LC13" s="36"/>
      <c r="LD13" s="36"/>
      <c r="LE13" s="36"/>
      <c r="LF13" s="36"/>
      <c r="LG13" s="36"/>
      <c r="LH13" s="36"/>
      <c r="LI13" s="36"/>
      <c r="LJ13" s="36"/>
      <c r="LK13" s="36"/>
      <c r="LL13" s="36"/>
      <c r="LM13" s="36"/>
      <c r="LN13" s="36"/>
      <c r="LO13" s="36"/>
      <c r="LP13" s="36"/>
      <c r="LQ13" s="36"/>
      <c r="LR13" s="36"/>
      <c r="LS13" s="36"/>
      <c r="LT13" s="36"/>
      <c r="LU13" s="36"/>
      <c r="LV13" s="36"/>
      <c r="LW13" s="36"/>
      <c r="LX13" s="36"/>
      <c r="LY13" s="36"/>
      <c r="LZ13" s="36"/>
      <c r="MA13" s="36"/>
      <c r="MB13" s="36"/>
      <c r="MC13" s="36"/>
      <c r="MD13" s="36"/>
      <c r="ME13" s="36"/>
      <c r="MF13" s="36"/>
      <c r="MG13" s="36"/>
      <c r="MH13" s="36"/>
      <c r="MI13" s="36"/>
      <c r="MJ13" s="36"/>
      <c r="MK13" s="36"/>
      <c r="ML13" s="36"/>
      <c r="MM13" s="36"/>
      <c r="MN13" s="36"/>
      <c r="MO13" s="36"/>
      <c r="MP13" s="36"/>
      <c r="MQ13" s="36"/>
      <c r="MR13" s="36"/>
      <c r="MS13" s="36"/>
      <c r="MT13" s="36"/>
      <c r="MU13" s="36"/>
      <c r="MV13" s="36"/>
      <c r="MW13" s="36"/>
      <c r="MX13" s="36"/>
      <c r="MY13" s="36"/>
      <c r="MZ13" s="36"/>
      <c r="NA13" s="36"/>
      <c r="NB13" s="36"/>
      <c r="NC13" s="36"/>
      <c r="ND13" s="36"/>
      <c r="NE13" s="36"/>
      <c r="NF13" s="36"/>
      <c r="NG13" s="36"/>
      <c r="NH13" s="36"/>
      <c r="NI13" s="36"/>
      <c r="NJ13" s="36"/>
      <c r="NK13" s="36"/>
      <c r="NL13" s="36"/>
      <c r="NM13" s="36"/>
      <c r="NN13" s="36"/>
      <c r="NO13" s="36"/>
      <c r="NP13" s="36"/>
      <c r="NQ13" s="36"/>
      <c r="NR13" s="36"/>
      <c r="NS13" s="36"/>
      <c r="NT13" s="36"/>
      <c r="NU13" s="36"/>
      <c r="NV13" s="36"/>
      <c r="NW13" s="36"/>
      <c r="NX13" s="36"/>
      <c r="NY13" s="36"/>
      <c r="NZ13" s="36"/>
      <c r="OA13" s="36"/>
      <c r="OB13" s="36"/>
      <c r="OC13" s="36"/>
      <c r="OD13" s="36"/>
      <c r="OE13" s="36"/>
      <c r="OF13" s="36"/>
      <c r="OG13" s="36"/>
      <c r="OH13" s="36"/>
      <c r="OI13" s="36"/>
      <c r="OJ13" s="36"/>
      <c r="OK13" s="36"/>
      <c r="OL13" s="36"/>
      <c r="OM13" s="36"/>
      <c r="ON13" s="36"/>
      <c r="OO13" s="36"/>
      <c r="OP13" s="36"/>
      <c r="OQ13" s="36"/>
      <c r="OR13" s="36"/>
      <c r="OS13" s="36"/>
      <c r="OT13" s="36"/>
      <c r="OU13" s="36"/>
      <c r="OV13" s="36"/>
      <c r="OW13" s="36"/>
      <c r="OX13" s="36"/>
      <c r="OY13" s="36"/>
      <c r="OZ13" s="36"/>
      <c r="PA13" s="36"/>
      <c r="PB13" s="36"/>
      <c r="PC13" s="36"/>
      <c r="PD13" s="36"/>
      <c r="PE13" s="36"/>
      <c r="PF13" s="36"/>
      <c r="PG13" s="36"/>
      <c r="PH13" s="36"/>
      <c r="PI13" s="36"/>
      <c r="PJ13" s="36"/>
      <c r="PK13" s="36"/>
      <c r="PL13" s="36"/>
      <c r="PM13" s="36"/>
      <c r="PN13" s="36"/>
      <c r="PO13" s="36"/>
      <c r="PP13" s="36"/>
      <c r="PQ13" s="36"/>
      <c r="PR13" s="36"/>
      <c r="PS13" s="36"/>
      <c r="PT13" s="36"/>
      <c r="PU13" s="36"/>
      <c r="PV13" s="36"/>
      <c r="PW13" s="36"/>
      <c r="PX13" s="36"/>
      <c r="PY13" s="36"/>
      <c r="PZ13" s="36"/>
      <c r="QA13" s="36"/>
      <c r="QB13" s="36"/>
      <c r="QC13" s="36"/>
      <c r="QD13" s="36"/>
      <c r="QE13" s="36"/>
      <c r="QF13" s="36"/>
      <c r="QG13" s="36"/>
      <c r="QH13" s="36"/>
      <c r="QI13" s="36"/>
      <c r="QJ13" s="36"/>
      <c r="QK13" s="36"/>
      <c r="QL13" s="36"/>
      <c r="QM13" s="36"/>
      <c r="QN13" s="36"/>
      <c r="QO13" s="36"/>
      <c r="QP13" s="36"/>
      <c r="QQ13" s="36"/>
      <c r="QR13" s="36"/>
      <c r="QS13" s="36"/>
      <c r="QT13" s="36"/>
      <c r="QU13" s="36"/>
      <c r="QV13" s="36"/>
      <c r="QW13" s="36"/>
      <c r="QX13" s="36"/>
      <c r="QY13" s="36"/>
      <c r="QZ13" s="36"/>
      <c r="RA13" s="36"/>
      <c r="RB13" s="36"/>
      <c r="RC13" s="36"/>
      <c r="RD13" s="36"/>
      <c r="RE13" s="36"/>
      <c r="RF13" s="36"/>
      <c r="RG13" s="36"/>
      <c r="RH13" s="36"/>
      <c r="RI13" s="36"/>
      <c r="RJ13" s="36"/>
      <c r="RK13" s="36"/>
      <c r="RL13" s="36"/>
      <c r="RM13" s="36"/>
      <c r="RN13" s="36"/>
      <c r="RO13" s="36"/>
      <c r="RP13" s="36"/>
      <c r="RQ13" s="36"/>
      <c r="RR13" s="36"/>
      <c r="RS13" s="36"/>
      <c r="RT13" s="36"/>
      <c r="RU13" s="36"/>
      <c r="RV13" s="36"/>
      <c r="RW13" s="36"/>
      <c r="RX13" s="36"/>
      <c r="RY13" s="36"/>
      <c r="RZ13" s="36"/>
      <c r="SA13" s="36"/>
      <c r="SB13" s="36"/>
      <c r="SC13" s="36"/>
      <c r="SD13" s="36"/>
      <c r="SE13" s="36"/>
      <c r="SF13" s="36"/>
      <c r="SG13" s="36"/>
      <c r="SH13" s="36"/>
      <c r="SI13" s="36"/>
      <c r="SJ13" s="36"/>
      <c r="SK13" s="36"/>
      <c r="SL13" s="36"/>
      <c r="SM13" s="36"/>
      <c r="SN13" s="36"/>
      <c r="SO13" s="36"/>
      <c r="SP13" s="36"/>
      <c r="SQ13" s="36"/>
      <c r="SR13" s="36"/>
      <c r="SS13" s="36"/>
      <c r="ST13" s="36"/>
      <c r="SU13" s="36"/>
      <c r="SV13" s="36"/>
      <c r="SW13" s="36"/>
      <c r="SX13" s="36"/>
      <c r="SY13" s="36"/>
      <c r="SZ13" s="36"/>
      <c r="TA13" s="36"/>
      <c r="TB13" s="36"/>
      <c r="TC13" s="36"/>
      <c r="TD13" s="36"/>
      <c r="TE13" s="36"/>
      <c r="TF13" s="36"/>
      <c r="TG13" s="36"/>
      <c r="TH13" s="36"/>
      <c r="TI13" s="36"/>
      <c r="TJ13" s="36"/>
      <c r="TK13" s="36"/>
      <c r="TL13" s="36"/>
      <c r="TM13" s="36"/>
      <c r="TN13" s="36"/>
      <c r="TO13" s="36"/>
      <c r="TP13" s="36"/>
      <c r="TQ13" s="36"/>
      <c r="TR13" s="36"/>
      <c r="TS13" s="36"/>
      <c r="TT13" s="36"/>
      <c r="TU13" s="36"/>
      <c r="TV13" s="36"/>
      <c r="TW13" s="36"/>
      <c r="TX13" s="36"/>
      <c r="TY13" s="36"/>
      <c r="TZ13" s="36"/>
      <c r="UA13" s="36"/>
      <c r="UB13" s="36"/>
      <c r="UC13" s="36"/>
      <c r="UD13" s="36"/>
      <c r="UE13" s="36"/>
      <c r="UF13" s="36"/>
      <c r="UG13" s="36"/>
      <c r="UH13" s="36"/>
      <c r="UI13" s="36"/>
      <c r="UJ13" s="36"/>
      <c r="UK13" s="36"/>
      <c r="UL13" s="36"/>
      <c r="UM13" s="36"/>
      <c r="UN13" s="36"/>
      <c r="UO13" s="36"/>
      <c r="UP13" s="36"/>
      <c r="UQ13" s="36"/>
      <c r="UR13" s="36"/>
      <c r="US13" s="36"/>
      <c r="UT13" s="36"/>
      <c r="UU13" s="36"/>
      <c r="UV13" s="36"/>
      <c r="UW13" s="36"/>
      <c r="UX13" s="36"/>
      <c r="UY13" s="36"/>
      <c r="UZ13" s="36"/>
      <c r="VA13" s="36"/>
      <c r="VB13" s="36"/>
      <c r="VC13" s="36"/>
      <c r="VD13" s="36"/>
      <c r="VE13" s="36"/>
      <c r="VF13" s="36"/>
      <c r="VG13" s="36"/>
      <c r="VH13" s="36"/>
      <c r="VI13" s="36"/>
      <c r="VJ13" s="36"/>
      <c r="VK13" s="36"/>
      <c r="VL13" s="36"/>
      <c r="VM13" s="36"/>
      <c r="VN13" s="36"/>
      <c r="VO13" s="36"/>
      <c r="VP13" s="36"/>
      <c r="VQ13" s="36"/>
      <c r="VR13" s="36"/>
      <c r="VS13" s="36"/>
      <c r="VT13" s="36"/>
      <c r="VU13" s="36"/>
      <c r="VV13" s="36"/>
      <c r="VW13" s="36"/>
      <c r="VX13" s="36"/>
      <c r="VY13" s="36"/>
      <c r="VZ13" s="36"/>
      <c r="WA13" s="36"/>
      <c r="WB13" s="36"/>
      <c r="WC13" s="36"/>
      <c r="WD13" s="36"/>
      <c r="WE13" s="36"/>
      <c r="WF13" s="36"/>
      <c r="WG13" s="36"/>
      <c r="WH13" s="36"/>
      <c r="WI13" s="36"/>
      <c r="WJ13" s="36"/>
      <c r="WK13" s="36"/>
      <c r="WL13" s="36"/>
      <c r="WM13" s="36"/>
      <c r="WN13" s="36"/>
      <c r="WO13" s="36"/>
      <c r="WP13" s="36"/>
      <c r="WQ13" s="36"/>
      <c r="WR13" s="36"/>
      <c r="WS13" s="36"/>
      <c r="WT13" s="36"/>
      <c r="WU13" s="36"/>
      <c r="WV13" s="36"/>
      <c r="WW13" s="36"/>
      <c r="WX13" s="36"/>
      <c r="WY13" s="36"/>
      <c r="WZ13" s="36"/>
      <c r="XA13" s="36"/>
      <c r="XB13" s="36"/>
      <c r="XC13" s="36"/>
      <c r="XD13" s="36"/>
      <c r="XE13" s="36"/>
      <c r="XF13" s="36"/>
      <c r="XG13" s="36"/>
      <c r="XH13" s="36"/>
      <c r="XI13" s="36"/>
      <c r="XJ13" s="36"/>
      <c r="XK13" s="36"/>
      <c r="XL13" s="36"/>
      <c r="XM13" s="36"/>
      <c r="XN13" s="36"/>
      <c r="XO13" s="36"/>
      <c r="XP13" s="36"/>
      <c r="XQ13" s="36"/>
      <c r="XR13" s="36"/>
      <c r="XS13" s="36"/>
      <c r="XT13" s="36"/>
      <c r="XU13" s="36"/>
      <c r="XV13" s="36"/>
      <c r="XW13" s="36"/>
      <c r="XX13" s="36"/>
      <c r="XY13" s="36"/>
      <c r="XZ13" s="36"/>
      <c r="YA13" s="36"/>
      <c r="YB13" s="36"/>
      <c r="YC13" s="36"/>
      <c r="YD13" s="36"/>
      <c r="YE13" s="36"/>
      <c r="YF13" s="36"/>
      <c r="YG13" s="36"/>
      <c r="YH13" s="36"/>
      <c r="YI13" s="36"/>
      <c r="YJ13" s="36"/>
      <c r="YK13" s="36"/>
      <c r="YL13" s="36"/>
      <c r="YM13" s="36"/>
      <c r="YN13" s="36"/>
      <c r="YO13" s="36"/>
      <c r="YP13" s="36"/>
      <c r="YQ13" s="36"/>
      <c r="YR13" s="36"/>
      <c r="YS13" s="36"/>
      <c r="YT13" s="36"/>
      <c r="YU13" s="36"/>
      <c r="YV13" s="36"/>
      <c r="YW13" s="36"/>
      <c r="YX13" s="36"/>
      <c r="YY13" s="36"/>
      <c r="YZ13" s="36"/>
      <c r="ZA13" s="36"/>
      <c r="ZB13" s="36"/>
      <c r="ZC13" s="36"/>
      <c r="ZD13" s="36"/>
      <c r="ZE13" s="36"/>
      <c r="ZF13" s="36"/>
      <c r="ZG13" s="36"/>
      <c r="ZH13" s="36"/>
      <c r="ZI13" s="36"/>
      <c r="ZJ13" s="36"/>
      <c r="ZK13" s="36"/>
      <c r="ZL13" s="36"/>
      <c r="ZM13" s="36"/>
      <c r="ZN13" s="36"/>
      <c r="ZO13" s="36"/>
      <c r="ZP13" s="36"/>
      <c r="ZQ13" s="36"/>
      <c r="ZR13" s="36"/>
      <c r="ZS13" s="36"/>
      <c r="ZT13" s="36"/>
      <c r="ZU13" s="36"/>
      <c r="ZV13" s="36"/>
      <c r="ZW13" s="36"/>
      <c r="ZX13" s="36"/>
      <c r="ZY13" s="36"/>
      <c r="ZZ13" s="36"/>
      <c r="AAA13" s="36"/>
      <c r="AAB13" s="36"/>
      <c r="AAC13" s="36"/>
      <c r="AAD13" s="36"/>
      <c r="AAE13" s="36"/>
      <c r="AAF13" s="36"/>
      <c r="AAG13" s="36"/>
      <c r="AAH13" s="36"/>
      <c r="AAI13" s="36"/>
      <c r="AAJ13" s="36"/>
      <c r="AAK13" s="36"/>
      <c r="AAL13" s="36"/>
      <c r="AAM13" s="36"/>
      <c r="AAN13" s="36"/>
      <c r="AAO13" s="36"/>
      <c r="AAP13" s="36"/>
      <c r="AAQ13" s="36"/>
      <c r="AAR13" s="36"/>
      <c r="AAS13" s="36"/>
      <c r="AAT13" s="36"/>
      <c r="AAU13" s="36"/>
      <c r="AAV13" s="36"/>
      <c r="AAW13" s="36"/>
      <c r="AAX13" s="36"/>
      <c r="AAY13" s="36"/>
      <c r="AAZ13" s="36"/>
      <c r="ABA13" s="36"/>
      <c r="ABB13" s="36"/>
      <c r="ABC13" s="36"/>
      <c r="ABD13" s="36"/>
      <c r="ABE13" s="36"/>
      <c r="ABF13" s="36"/>
      <c r="ABG13" s="36"/>
      <c r="ABH13" s="36"/>
      <c r="ABI13" s="36"/>
      <c r="ABJ13" s="36"/>
      <c r="ABK13" s="36"/>
      <c r="ABL13" s="36"/>
      <c r="ABM13" s="36"/>
      <c r="ABN13" s="36"/>
      <c r="ABO13" s="36"/>
      <c r="ABP13" s="36"/>
      <c r="ABQ13" s="36"/>
      <c r="ABR13" s="36"/>
      <c r="ABS13" s="36"/>
      <c r="ABT13" s="36"/>
      <c r="ABU13" s="36"/>
      <c r="ABV13" s="36"/>
      <c r="ABW13" s="36"/>
      <c r="ABX13" s="36"/>
      <c r="ABY13" s="36"/>
      <c r="ABZ13" s="36"/>
      <c r="ACA13" s="36"/>
      <c r="ACB13" s="36"/>
      <c r="ACC13" s="36"/>
      <c r="ACD13" s="36"/>
      <c r="ACE13" s="36"/>
      <c r="ACF13" s="36"/>
      <c r="ACG13" s="36"/>
      <c r="ACH13" s="36"/>
      <c r="ACI13" s="36"/>
      <c r="ACJ13" s="36"/>
      <c r="ACK13" s="36"/>
      <c r="ACL13" s="36"/>
      <c r="ACM13" s="36"/>
      <c r="ACN13" s="36"/>
      <c r="ACO13" s="36"/>
      <c r="ACP13" s="36"/>
      <c r="ACQ13" s="36"/>
      <c r="ACR13" s="36"/>
      <c r="ACS13" s="36"/>
      <c r="ACT13" s="36"/>
      <c r="ACU13" s="36"/>
      <c r="ACV13" s="36"/>
      <c r="ACW13" s="36"/>
      <c r="ACX13" s="36"/>
      <c r="ACY13" s="36"/>
      <c r="ACZ13" s="36"/>
      <c r="ADA13" s="36"/>
      <c r="ADB13" s="36"/>
      <c r="ADC13" s="36"/>
      <c r="ADD13" s="36"/>
      <c r="ADE13" s="36"/>
      <c r="ADF13" s="36"/>
      <c r="ADG13" s="36"/>
      <c r="ADH13" s="36"/>
      <c r="ADI13" s="36"/>
      <c r="ADJ13" s="36"/>
      <c r="ADK13" s="36"/>
      <c r="ADL13" s="36"/>
      <c r="ADM13" s="36"/>
      <c r="ADN13" s="36"/>
      <c r="ADO13" s="36"/>
      <c r="ADP13" s="36"/>
      <c r="ADQ13" s="36"/>
      <c r="ADR13" s="36"/>
      <c r="ADS13" s="36"/>
      <c r="ADT13" s="36"/>
      <c r="ADU13" s="36"/>
      <c r="ADV13" s="36"/>
      <c r="ADW13" s="36"/>
      <c r="ADX13" s="36"/>
      <c r="ADY13" s="36"/>
      <c r="ADZ13" s="36"/>
      <c r="AEA13" s="36"/>
      <c r="AEB13" s="36"/>
      <c r="AEC13" s="36"/>
      <c r="AED13" s="36"/>
      <c r="AEE13" s="36"/>
      <c r="AEF13" s="36"/>
      <c r="AEG13" s="36"/>
      <c r="AEH13" s="36"/>
      <c r="AEI13" s="36"/>
      <c r="AEJ13" s="36"/>
      <c r="AEK13" s="36"/>
      <c r="AEL13" s="36"/>
      <c r="AEM13" s="36"/>
      <c r="AEN13" s="36"/>
      <c r="AEO13" s="36"/>
      <c r="AEP13" s="36"/>
      <c r="AEQ13" s="36"/>
      <c r="AER13" s="36"/>
      <c r="AES13" s="36"/>
      <c r="AET13" s="36"/>
      <c r="AEU13" s="36"/>
      <c r="AEV13" s="36"/>
      <c r="AEW13" s="36"/>
      <c r="AEX13" s="36"/>
      <c r="AEY13" s="36"/>
      <c r="AEZ13" s="36"/>
      <c r="AFA13" s="36"/>
      <c r="AFB13" s="36"/>
      <c r="AFC13" s="36"/>
      <c r="AFD13" s="36"/>
      <c r="AFE13" s="36"/>
      <c r="AFF13" s="36"/>
      <c r="AFG13" s="36"/>
      <c r="AFH13" s="36"/>
      <c r="AFI13" s="36"/>
      <c r="AFJ13" s="36"/>
      <c r="AFK13" s="36"/>
      <c r="AFL13" s="36"/>
      <c r="AFM13" s="36"/>
      <c r="AFN13" s="36"/>
      <c r="AFO13" s="36"/>
      <c r="AFP13" s="36"/>
      <c r="AFQ13" s="36"/>
      <c r="AFR13" s="36"/>
      <c r="AFS13" s="36"/>
      <c r="AFT13" s="36"/>
      <c r="AFU13" s="36"/>
      <c r="AFV13" s="36"/>
      <c r="AFW13" s="36"/>
      <c r="AFX13" s="36"/>
      <c r="AFY13" s="36"/>
      <c r="AFZ13" s="36"/>
      <c r="AGA13" s="36"/>
      <c r="AGB13" s="36"/>
      <c r="AGC13" s="36"/>
      <c r="AGD13" s="36"/>
      <c r="AGE13" s="36"/>
      <c r="AGF13" s="36"/>
      <c r="AGG13" s="36"/>
      <c r="AGH13" s="36"/>
      <c r="AGI13" s="36"/>
      <c r="AGJ13" s="36"/>
      <c r="AGK13" s="36"/>
      <c r="AGL13" s="36"/>
      <c r="AGM13" s="36"/>
      <c r="AGN13" s="36"/>
      <c r="AGO13" s="36"/>
      <c r="AGP13" s="36"/>
      <c r="AGQ13" s="36"/>
      <c r="AGR13" s="36"/>
      <c r="AGS13" s="36"/>
      <c r="AGT13" s="36"/>
      <c r="AGU13" s="36"/>
      <c r="AGV13" s="36"/>
      <c r="AGW13" s="36"/>
      <c r="AGX13" s="36"/>
      <c r="AGY13" s="36"/>
      <c r="AGZ13" s="36"/>
      <c r="AHA13" s="36"/>
      <c r="AHB13" s="36"/>
      <c r="AHC13" s="36"/>
      <c r="AHD13" s="36"/>
      <c r="AHE13" s="36"/>
      <c r="AHF13" s="36"/>
      <c r="AHG13" s="36"/>
      <c r="AHH13" s="36"/>
      <c r="AHI13" s="36"/>
      <c r="AHJ13" s="36"/>
      <c r="AHK13" s="36"/>
      <c r="AHL13" s="36"/>
      <c r="AHM13" s="36"/>
      <c r="AHN13" s="36"/>
      <c r="AHO13" s="36"/>
      <c r="AHP13" s="36"/>
      <c r="AHQ13" s="36"/>
      <c r="AHR13" s="36"/>
      <c r="AHS13" s="36"/>
      <c r="AHT13" s="36"/>
      <c r="AHU13" s="36"/>
      <c r="AHV13" s="36"/>
      <c r="AHW13" s="36"/>
      <c r="AHX13" s="36"/>
      <c r="AHY13" s="36"/>
      <c r="AHZ13" s="36"/>
      <c r="AIA13" s="36"/>
      <c r="AIB13" s="36"/>
      <c r="AIC13" s="36"/>
      <c r="AID13" s="36"/>
      <c r="AIE13" s="36"/>
      <c r="AIF13" s="36"/>
      <c r="AIG13" s="36"/>
      <c r="AIH13" s="36"/>
      <c r="AII13" s="36"/>
      <c r="AIJ13" s="36"/>
      <c r="AIK13" s="36"/>
      <c r="AIL13" s="36"/>
      <c r="AIM13" s="36"/>
      <c r="AIN13" s="36"/>
      <c r="AIO13" s="36"/>
      <c r="AIP13" s="36"/>
      <c r="AIQ13" s="36"/>
      <c r="AIR13" s="36"/>
      <c r="AIS13" s="36"/>
      <c r="AIT13" s="36"/>
      <c r="AIU13" s="36"/>
      <c r="AIV13" s="36"/>
      <c r="AIW13" s="36"/>
      <c r="AIX13" s="36"/>
      <c r="AIY13" s="36"/>
      <c r="AIZ13" s="36"/>
      <c r="AJA13" s="36"/>
      <c r="AJB13" s="36"/>
      <c r="AJC13" s="36"/>
      <c r="AJD13" s="36"/>
      <c r="AJE13" s="36"/>
      <c r="AJF13" s="36"/>
      <c r="AJG13" s="36"/>
      <c r="AJH13" s="36"/>
      <c r="AJI13" s="36"/>
      <c r="AJJ13" s="36"/>
      <c r="AJK13" s="36"/>
      <c r="AJL13" s="36"/>
      <c r="AJM13" s="36"/>
      <c r="AJN13" s="36"/>
      <c r="AJO13" s="36"/>
      <c r="AJP13" s="36"/>
      <c r="AJQ13" s="36"/>
      <c r="AJR13" s="36"/>
      <c r="AJS13" s="36"/>
      <c r="AJT13" s="36"/>
      <c r="AJU13" s="36"/>
      <c r="AJV13" s="36"/>
      <c r="AJW13" s="36"/>
      <c r="AJX13" s="36"/>
      <c r="AJY13" s="36"/>
      <c r="AJZ13" s="36"/>
      <c r="AKA13" s="36"/>
      <c r="AKB13" s="36"/>
      <c r="AKC13" s="36"/>
      <c r="AKD13" s="36"/>
      <c r="AKE13" s="36"/>
      <c r="AKF13" s="36"/>
      <c r="AKG13" s="36"/>
      <c r="AKH13" s="36"/>
      <c r="AKI13" s="36"/>
      <c r="AKJ13" s="36"/>
      <c r="AKK13" s="36"/>
      <c r="AKL13" s="36"/>
      <c r="AKM13" s="36"/>
      <c r="AKN13" s="36"/>
      <c r="AKO13" s="36"/>
      <c r="AKP13" s="36"/>
      <c r="AKQ13" s="36"/>
      <c r="AKR13" s="36"/>
      <c r="AKS13" s="36"/>
      <c r="AKT13" s="36"/>
      <c r="AKU13" s="36"/>
      <c r="AKV13" s="36"/>
      <c r="AKW13" s="36"/>
      <c r="AKX13" s="36"/>
      <c r="AKY13" s="36"/>
      <c r="AKZ13" s="36"/>
      <c r="ALA13" s="36"/>
      <c r="ALB13" s="36"/>
      <c r="ALC13" s="36"/>
      <c r="ALD13" s="36"/>
      <c r="ALE13" s="36"/>
      <c r="ALF13" s="36"/>
      <c r="ALG13" s="36"/>
      <c r="ALH13" s="36"/>
      <c r="ALI13" s="36"/>
      <c r="ALJ13" s="36"/>
      <c r="ALK13" s="36"/>
      <c r="ALL13" s="36"/>
      <c r="ALM13" s="36"/>
      <c r="ALN13" s="36"/>
      <c r="ALO13" s="36"/>
      <c r="ALP13" s="36"/>
      <c r="ALQ13" s="36"/>
      <c r="ALR13" s="36"/>
      <c r="ALS13" s="36"/>
      <c r="ALT13" s="36"/>
      <c r="ALU13" s="36"/>
      <c r="ALV13" s="36"/>
      <c r="ALW13" s="36"/>
      <c r="ALX13" s="36"/>
      <c r="ALY13" s="36"/>
      <c r="ALZ13" s="36"/>
      <c r="AMA13" s="36"/>
      <c r="AMB13" s="36"/>
      <c r="AMC13" s="36"/>
      <c r="AMD13" s="36"/>
      <c r="AME13" s="36"/>
      <c r="AMF13" s="36"/>
      <c r="AMG13" s="36"/>
      <c r="AMH13" s="36"/>
      <c r="AMI13" s="36"/>
      <c r="AMJ13" s="36"/>
      <c r="AMK13" s="36"/>
    </row>
    <row r="14" spans="1:1025" s="10" customFormat="1" x14ac:dyDescent="0.35">
      <c r="A14" s="39" t="s">
        <v>3</v>
      </c>
      <c r="B14" s="38">
        <v>681</v>
      </c>
      <c r="C14" s="38">
        <v>887</v>
      </c>
      <c r="D14" s="38">
        <v>955</v>
      </c>
      <c r="E14" s="38">
        <v>998</v>
      </c>
      <c r="F14" s="38">
        <v>1187</v>
      </c>
      <c r="G14" s="38">
        <v>1143</v>
      </c>
      <c r="H14" s="38">
        <v>890</v>
      </c>
      <c r="I14" s="38">
        <v>860</v>
      </c>
      <c r="J14" s="38">
        <v>757</v>
      </c>
      <c r="K14" s="38">
        <v>603</v>
      </c>
      <c r="L14" s="38">
        <v>419</v>
      </c>
      <c r="M14" s="38">
        <v>365</v>
      </c>
      <c r="N14" s="38">
        <v>163</v>
      </c>
      <c r="O14" s="38">
        <v>831</v>
      </c>
      <c r="P14" s="38">
        <v>738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  <c r="AMK14" s="8"/>
    </row>
    <row r="15" spans="1:1025" s="10" customFormat="1" x14ac:dyDescent="0.35">
      <c r="A15" s="39" t="s">
        <v>4</v>
      </c>
      <c r="B15" s="38">
        <v>61.29</v>
      </c>
      <c r="C15" s="38">
        <v>124.18</v>
      </c>
      <c r="D15" s="38">
        <v>191</v>
      </c>
      <c r="E15" s="38">
        <v>179.64</v>
      </c>
      <c r="F15" s="38">
        <v>213.66</v>
      </c>
      <c r="G15" s="38">
        <v>262.89</v>
      </c>
      <c r="H15" s="38">
        <v>186.9</v>
      </c>
      <c r="I15" s="38">
        <v>301</v>
      </c>
      <c r="J15" s="38">
        <v>295.23</v>
      </c>
      <c r="K15" s="38">
        <v>301.5</v>
      </c>
      <c r="L15" s="38">
        <v>184.36</v>
      </c>
      <c r="M15" s="38">
        <v>135.05000000000001</v>
      </c>
      <c r="N15" s="38">
        <v>70.09</v>
      </c>
      <c r="O15" s="38">
        <f>0.54*O14</f>
        <v>448.74</v>
      </c>
      <c r="P15" s="38">
        <f>0.49*P14</f>
        <v>361.62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  <c r="AMK15" s="8"/>
    </row>
    <row r="16" spans="1:1025" s="10" customFormat="1" x14ac:dyDescent="0.35">
      <c r="A16" s="39" t="s">
        <v>38</v>
      </c>
      <c r="B16" s="38">
        <f>B14*B41</f>
        <v>413.46428571428567</v>
      </c>
      <c r="C16" s="38">
        <f t="shared" ref="C16:P16" si="35">C14*C41</f>
        <v>603.16000000000008</v>
      </c>
      <c r="D16" s="38">
        <f t="shared" si="35"/>
        <v>610.75581395348843</v>
      </c>
      <c r="E16" s="38">
        <f t="shared" si="35"/>
        <v>654.9375</v>
      </c>
      <c r="F16" s="38">
        <f t="shared" si="35"/>
        <v>709.87254901960785</v>
      </c>
      <c r="G16" s="38">
        <f t="shared" si="35"/>
        <v>732.1626506024096</v>
      </c>
      <c r="H16" s="38">
        <f t="shared" si="35"/>
        <v>539.90521327014221</v>
      </c>
      <c r="I16" s="38">
        <f t="shared" si="35"/>
        <v>537.61448349307773</v>
      </c>
      <c r="J16" s="38">
        <f t="shared" si="35"/>
        <v>450.70985691573924</v>
      </c>
      <c r="K16" s="38">
        <f t="shared" si="35"/>
        <v>356.14077669902917</v>
      </c>
      <c r="L16" s="38">
        <f t="shared" si="35"/>
        <v>265.66505858028944</v>
      </c>
      <c r="M16" s="38">
        <f t="shared" si="35"/>
        <v>223.82075471698113</v>
      </c>
      <c r="N16" s="38">
        <f t="shared" si="35"/>
        <v>97.607195662888117</v>
      </c>
      <c r="O16" s="38">
        <f t="shared" si="35"/>
        <v>496.98424404961452</v>
      </c>
      <c r="P16" s="38">
        <f t="shared" si="35"/>
        <v>421.56761268781298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  <c r="AMK16" s="8"/>
    </row>
    <row r="17" spans="1:1025" s="10" customFormat="1" x14ac:dyDescent="0.35">
      <c r="A17" s="39"/>
      <c r="B17" s="38">
        <f>B15*B42</f>
        <v>43.778571428571432</v>
      </c>
      <c r="C17" s="38">
        <f t="shared" ref="C17:P17" si="36">C15*C42</f>
        <v>85.641379310344831</v>
      </c>
      <c r="D17" s="38">
        <f t="shared" si="36"/>
        <v>127.33333333333333</v>
      </c>
      <c r="E17" s="38">
        <f t="shared" si="36"/>
        <v>130.64727272727271</v>
      </c>
      <c r="F17" s="38">
        <f t="shared" si="36"/>
        <v>113.11411764705882</v>
      </c>
      <c r="G17" s="38">
        <f t="shared" si="36"/>
        <v>215.70461538461538</v>
      </c>
      <c r="H17" s="38">
        <f t="shared" si="36"/>
        <v>108.82784810126583</v>
      </c>
      <c r="I17" s="38">
        <f t="shared" si="36"/>
        <v>191.11111111111111</v>
      </c>
      <c r="J17" s="38">
        <f t="shared" si="36"/>
        <v>204.64806818181822</v>
      </c>
      <c r="K17" s="38">
        <f t="shared" si="36"/>
        <v>215.35714285714286</v>
      </c>
      <c r="L17" s="38">
        <f t="shared" si="36"/>
        <v>118.06305418719212</v>
      </c>
      <c r="M17" s="38">
        <f t="shared" si="36"/>
        <v>93.09271844660195</v>
      </c>
      <c r="N17" s="38">
        <f t="shared" si="36"/>
        <v>44.429932203389832</v>
      </c>
      <c r="O17" s="38">
        <f t="shared" si="36"/>
        <v>314.2206864988558</v>
      </c>
      <c r="P17" s="38">
        <f t="shared" si="36"/>
        <v>238.01170909090911</v>
      </c>
      <c r="Q17" s="8"/>
      <c r="R17" s="8" t="s">
        <v>40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  <c r="AMK17" s="8"/>
    </row>
    <row r="18" spans="1:1025" s="10" customFormat="1" x14ac:dyDescent="0.35">
      <c r="A18" s="24"/>
      <c r="B18" s="36">
        <f>B17/B16</f>
        <v>0.1058823529411765</v>
      </c>
      <c r="C18" s="36">
        <f t="shared" ref="C18" si="37">C17/C16</f>
        <v>0.14198782961460446</v>
      </c>
      <c r="D18" s="36">
        <f t="shared" ref="D18" si="38">D17/D16</f>
        <v>0.20848484848484847</v>
      </c>
      <c r="E18" s="36">
        <f t="shared" ref="E18" si="39">E17/E16</f>
        <v>0.19948051948051945</v>
      </c>
      <c r="F18" s="36">
        <f t="shared" ref="F18" si="40">F17/F16</f>
        <v>0.15934426229508197</v>
      </c>
      <c r="G18" s="36">
        <f t="shared" ref="G18" si="41">G17/G16</f>
        <v>0.29461297323366292</v>
      </c>
      <c r="H18" s="36">
        <f t="shared" ref="H18" si="42">H17/H16</f>
        <v>0.20156843354430379</v>
      </c>
      <c r="I18" s="36">
        <f t="shared" ref="I18" si="43">I17/I16</f>
        <v>0.35547984099943214</v>
      </c>
      <c r="J18" s="36">
        <f t="shared" ref="J18" si="44">J17/J16</f>
        <v>0.45405722781891017</v>
      </c>
      <c r="K18" s="36">
        <f t="shared" ref="K18" si="45">K17/K16</f>
        <v>0.60469667318982379</v>
      </c>
      <c r="L18" s="36">
        <f t="shared" ref="L18" si="46">L17/L16</f>
        <v>0.44440565431569934</v>
      </c>
      <c r="M18" s="36">
        <f t="shared" ref="M18" si="47">M17/M16</f>
        <v>0.4159253174010456</v>
      </c>
      <c r="N18" s="36">
        <f t="shared" ref="N18" si="48">N17/N16</f>
        <v>0.45519115575085445</v>
      </c>
      <c r="O18" s="36">
        <f t="shared" ref="O18" si="49">O17/O16</f>
        <v>0.63225482550204704</v>
      </c>
      <c r="P18" s="36">
        <f t="shared" ref="P18" si="50">P17/P16</f>
        <v>0.56458727361289474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  <c r="AMK18" s="8"/>
    </row>
    <row r="19" spans="1:1025" s="10" customFormat="1" x14ac:dyDescent="0.35">
      <c r="A19" s="39" t="s">
        <v>39</v>
      </c>
      <c r="B19" s="38">
        <f>B14*B43</f>
        <v>206.73214285714283</v>
      </c>
      <c r="C19" s="38">
        <f t="shared" ref="C19:P19" si="51">C14*C43</f>
        <v>174.17454545454544</v>
      </c>
      <c r="D19" s="38">
        <f t="shared" si="51"/>
        <v>186.00290697674419</v>
      </c>
      <c r="E19" s="38">
        <f t="shared" si="51"/>
        <v>197.52083333333331</v>
      </c>
      <c r="F19" s="38">
        <f t="shared" si="51"/>
        <v>244.38235294117646</v>
      </c>
      <c r="G19" s="38">
        <f t="shared" si="51"/>
        <v>218.04216867469881</v>
      </c>
      <c r="H19" s="38">
        <f t="shared" si="51"/>
        <v>166.61137440758293</v>
      </c>
      <c r="I19" s="38">
        <f t="shared" si="51"/>
        <v>162.10862619808307</v>
      </c>
      <c r="J19" s="38">
        <f t="shared" si="51"/>
        <v>142.01271860095389</v>
      </c>
      <c r="K19" s="38">
        <f t="shared" si="51"/>
        <v>142.94417475728156</v>
      </c>
      <c r="L19" s="38">
        <f t="shared" si="51"/>
        <v>88.651274982770502</v>
      </c>
      <c r="M19" s="38">
        <f t="shared" si="51"/>
        <v>80.80503144654088</v>
      </c>
      <c r="N19" s="38">
        <f t="shared" si="51"/>
        <v>39.524889107934939</v>
      </c>
      <c r="O19" s="38">
        <f t="shared" si="51"/>
        <v>191.38350653704325</v>
      </c>
      <c r="P19" s="38">
        <f t="shared" si="51"/>
        <v>185.42404006677796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  <c r="AMK19" s="8"/>
    </row>
    <row r="20" spans="1:1025" s="10" customFormat="1" x14ac:dyDescent="0.35">
      <c r="A20" s="39"/>
      <c r="B20" s="38">
        <f>B15*B44</f>
        <v>0</v>
      </c>
      <c r="C20" s="38">
        <f t="shared" ref="C20:P20" si="52">C15*C44</f>
        <v>29.974482758620692</v>
      </c>
      <c r="D20" s="38">
        <f t="shared" si="52"/>
        <v>63.666666666666664</v>
      </c>
      <c r="E20" s="38">
        <f t="shared" si="52"/>
        <v>16.330909090909088</v>
      </c>
      <c r="F20" s="38">
        <f t="shared" si="52"/>
        <v>62.841176470588238</v>
      </c>
      <c r="G20" s="38">
        <f t="shared" si="52"/>
        <v>26.963076923076922</v>
      </c>
      <c r="H20" s="38">
        <f t="shared" si="52"/>
        <v>42.584810126582276</v>
      </c>
      <c r="I20" s="38">
        <f t="shared" si="52"/>
        <v>33.444444444444443</v>
      </c>
      <c r="J20" s="38">
        <f t="shared" si="52"/>
        <v>35.226306818181818</v>
      </c>
      <c r="K20" s="38">
        <f t="shared" si="52"/>
        <v>45.464285714285715</v>
      </c>
      <c r="L20" s="38">
        <f t="shared" si="52"/>
        <v>43.592512315270938</v>
      </c>
      <c r="M20" s="38">
        <f t="shared" si="52"/>
        <v>22.289805825242723</v>
      </c>
      <c r="N20" s="38">
        <f t="shared" si="52"/>
        <v>15.918745762711865</v>
      </c>
      <c r="O20" s="38">
        <f t="shared" si="52"/>
        <v>66.746224256292905</v>
      </c>
      <c r="P20" s="38">
        <f t="shared" si="52"/>
        <v>75.611454545454535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  <c r="ALP20" s="8"/>
      <c r="ALQ20" s="8"/>
      <c r="ALR20" s="8"/>
      <c r="ALS20" s="8"/>
      <c r="ALT20" s="8"/>
      <c r="ALU20" s="8"/>
      <c r="ALV20" s="8"/>
      <c r="ALW20" s="8"/>
      <c r="ALX20" s="8"/>
      <c r="ALY20" s="8"/>
      <c r="ALZ20" s="8"/>
      <c r="AMA20" s="8"/>
      <c r="AMB20" s="8"/>
      <c r="AMC20" s="8"/>
      <c r="AMD20" s="8"/>
      <c r="AME20" s="8"/>
      <c r="AMF20" s="8"/>
      <c r="AMG20" s="8"/>
      <c r="AMH20" s="8"/>
      <c r="AMI20" s="8"/>
      <c r="AMJ20" s="8"/>
      <c r="AMK20" s="8"/>
    </row>
    <row r="21" spans="1:1025" s="10" customFormat="1" x14ac:dyDescent="0.35">
      <c r="A21" s="24"/>
      <c r="B21" s="36">
        <f>B20/B19</f>
        <v>0</v>
      </c>
      <c r="C21" s="36">
        <f t="shared" ref="C21" si="53">C20/C19</f>
        <v>0.17209450830140488</v>
      </c>
      <c r="D21" s="36">
        <f t="shared" ref="D21" si="54">D20/D19</f>
        <v>0.34228855721393031</v>
      </c>
      <c r="E21" s="36">
        <f t="shared" ref="E21" si="55">E20/E19</f>
        <v>8.2679425837320575E-2</v>
      </c>
      <c r="F21" s="36">
        <f t="shared" ref="F21" si="56">F20/F19</f>
        <v>0.25714285714285717</v>
      </c>
      <c r="G21" s="36">
        <f t="shared" ref="G21" si="57">G20/G19</f>
        <v>0.12365991902834007</v>
      </c>
      <c r="H21" s="36">
        <f t="shared" ref="H21" si="58">H20/H19</f>
        <v>0.25559365486300273</v>
      </c>
      <c r="I21" s="36">
        <f t="shared" ref="I21" si="59">I20/I19</f>
        <v>0.20630885122410544</v>
      </c>
      <c r="J21" s="36">
        <f t="shared" ref="J21" si="60">J20/J19</f>
        <v>0.24805036594761173</v>
      </c>
      <c r="K21" s="36">
        <f t="shared" ref="K21" si="61">K20/K19</f>
        <v>0.31805623273200062</v>
      </c>
      <c r="L21" s="36">
        <f t="shared" ref="L21" si="62">L20/L19</f>
        <v>0.49173023539416894</v>
      </c>
      <c r="M21" s="36">
        <f t="shared" ref="M21" si="63">M20/M19</f>
        <v>0.27584675639894091</v>
      </c>
      <c r="N21" s="36">
        <f t="shared" ref="N21" si="64">N20/N19</f>
        <v>0.40275244591428971</v>
      </c>
      <c r="O21" s="36">
        <f t="shared" ref="O21" si="65">O20/O19</f>
        <v>0.34875640782228973</v>
      </c>
      <c r="P21" s="36">
        <f t="shared" ref="P21" si="66">P20/P19</f>
        <v>0.4077758985200845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  <c r="ALP21" s="8"/>
      <c r="ALQ21" s="8"/>
      <c r="ALR21" s="8"/>
      <c r="ALS21" s="8"/>
      <c r="ALT21" s="8"/>
      <c r="ALU21" s="8"/>
      <c r="ALV21" s="8"/>
      <c r="ALW21" s="8"/>
      <c r="ALX21" s="8"/>
      <c r="ALY21" s="8"/>
      <c r="ALZ21" s="8"/>
      <c r="AMA21" s="8"/>
      <c r="AMB21" s="8"/>
      <c r="AMC21" s="8"/>
      <c r="AMD21" s="8"/>
      <c r="AME21" s="8"/>
      <c r="AMF21" s="8"/>
      <c r="AMG21" s="8"/>
      <c r="AMH21" s="8"/>
      <c r="AMI21" s="8"/>
      <c r="AMJ21" s="8"/>
      <c r="AMK21" s="8"/>
    </row>
    <row r="22" spans="1:1025" s="10" customFormat="1" x14ac:dyDescent="0.35">
      <c r="A22" s="39" t="s">
        <v>36</v>
      </c>
      <c r="B22" s="38">
        <f>B14*B45</f>
        <v>60.803571428571431</v>
      </c>
      <c r="C22" s="38">
        <f t="shared" ref="C22:O22" si="67">C14*C45</f>
        <v>109.66545454545455</v>
      </c>
      <c r="D22" s="38">
        <f t="shared" si="67"/>
        <v>158.24127906976744</v>
      </c>
      <c r="E22" s="38">
        <f t="shared" si="67"/>
        <v>145.54166666666669</v>
      </c>
      <c r="F22" s="38">
        <f t="shared" si="67"/>
        <v>232.74509803921569</v>
      </c>
      <c r="G22" s="38">
        <f t="shared" si="67"/>
        <v>192.79518072289156</v>
      </c>
      <c r="H22" s="38">
        <f t="shared" si="67"/>
        <v>183.48341232227489</v>
      </c>
      <c r="I22" s="38">
        <f t="shared" si="67"/>
        <v>160.27689030883917</v>
      </c>
      <c r="J22" s="38">
        <f t="shared" si="67"/>
        <v>164.27742448330685</v>
      </c>
      <c r="K22" s="38">
        <f t="shared" si="67"/>
        <v>103.91504854368932</v>
      </c>
      <c r="L22" s="38">
        <f t="shared" si="67"/>
        <v>64.683666436940044</v>
      </c>
      <c r="M22" s="38">
        <f t="shared" si="67"/>
        <v>60.374213836477985</v>
      </c>
      <c r="N22" s="38">
        <f t="shared" si="67"/>
        <v>25.867915229176933</v>
      </c>
      <c r="O22" s="38">
        <f t="shared" si="67"/>
        <v>142.63224941334229</v>
      </c>
      <c r="P22" s="38">
        <f>P14*P45</f>
        <v>131.00834724540903</v>
      </c>
      <c r="Q22" s="8"/>
      <c r="R22" s="8" t="s">
        <v>41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  <c r="ALP22" s="8"/>
      <c r="ALQ22" s="8"/>
      <c r="ALR22" s="8"/>
      <c r="ALS22" s="8"/>
      <c r="ALT22" s="8"/>
      <c r="ALU22" s="8"/>
      <c r="ALV22" s="8"/>
      <c r="ALW22" s="8"/>
      <c r="ALX22" s="8"/>
      <c r="ALY22" s="8"/>
      <c r="ALZ22" s="8"/>
      <c r="AMA22" s="8"/>
      <c r="AMB22" s="8"/>
      <c r="AMC22" s="8"/>
      <c r="AMD22" s="8"/>
      <c r="AME22" s="8"/>
      <c r="AMF22" s="8"/>
      <c r="AMG22" s="8"/>
      <c r="AMH22" s="8"/>
      <c r="AMI22" s="8"/>
      <c r="AMJ22" s="8"/>
      <c r="AMK22" s="8"/>
    </row>
    <row r="23" spans="1:1025" s="10" customFormat="1" x14ac:dyDescent="0.35">
      <c r="A23" s="39"/>
      <c r="B23" s="38">
        <f>B15*B46</f>
        <v>17.511428571428571</v>
      </c>
      <c r="C23" s="38">
        <f t="shared" ref="C23:P23" si="68">C15*C46</f>
        <v>8.5641379310344838</v>
      </c>
      <c r="D23" s="38">
        <f t="shared" si="68"/>
        <v>0</v>
      </c>
      <c r="E23" s="38">
        <f t="shared" si="68"/>
        <v>32.661818181818177</v>
      </c>
      <c r="F23" s="38">
        <f t="shared" si="68"/>
        <v>37.70470588235294</v>
      </c>
      <c r="G23" s="38">
        <f t="shared" si="68"/>
        <v>20.222307692307691</v>
      </c>
      <c r="H23" s="38">
        <f t="shared" si="68"/>
        <v>35.4873417721519</v>
      </c>
      <c r="I23" s="38">
        <f t="shared" si="68"/>
        <v>76.444444444444443</v>
      </c>
      <c r="J23" s="38">
        <f t="shared" si="68"/>
        <v>55.355625000000003</v>
      </c>
      <c r="K23" s="38">
        <f t="shared" si="68"/>
        <v>40.678571428571423</v>
      </c>
      <c r="L23" s="38">
        <f t="shared" si="68"/>
        <v>22.704433497536947</v>
      </c>
      <c r="M23" s="38">
        <f t="shared" si="68"/>
        <v>19.667475728155342</v>
      </c>
      <c r="N23" s="38">
        <f t="shared" si="68"/>
        <v>9.7413220338983049</v>
      </c>
      <c r="O23" s="38">
        <f t="shared" si="68"/>
        <v>67.773089244851263</v>
      </c>
      <c r="P23" s="38">
        <f t="shared" si="68"/>
        <v>47.996836363636362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  <c r="ALP23" s="8"/>
      <c r="ALQ23" s="8"/>
      <c r="ALR23" s="8"/>
      <c r="ALS23" s="8"/>
      <c r="ALT23" s="8"/>
      <c r="ALU23" s="8"/>
      <c r="ALV23" s="8"/>
      <c r="ALW23" s="8"/>
      <c r="ALX23" s="8"/>
      <c r="ALY23" s="8"/>
      <c r="ALZ23" s="8"/>
      <c r="AMA23" s="8"/>
      <c r="AMB23" s="8"/>
      <c r="AMC23" s="8"/>
      <c r="AMD23" s="8"/>
      <c r="AME23" s="8"/>
      <c r="AMF23" s="8"/>
      <c r="AMG23" s="8"/>
      <c r="AMH23" s="8"/>
      <c r="AMI23" s="8"/>
      <c r="AMJ23" s="8"/>
      <c r="AMK23" s="8"/>
    </row>
    <row r="24" spans="1:1025" s="10" customFormat="1" x14ac:dyDescent="0.35">
      <c r="A24" s="39"/>
      <c r="B24" s="36">
        <f>B23/B22</f>
        <v>0.28799999999999998</v>
      </c>
      <c r="C24" s="36">
        <f t="shared" ref="C24" si="69">C23/C22</f>
        <v>7.809330628803246E-2</v>
      </c>
      <c r="D24" s="36">
        <f t="shared" ref="D24" si="70">D23/D22</f>
        <v>0</v>
      </c>
      <c r="E24" s="36">
        <f t="shared" ref="E24" si="71">E23/E22</f>
        <v>0.22441558441558435</v>
      </c>
      <c r="F24" s="36">
        <f t="shared" ref="F24" si="72">F23/F22</f>
        <v>0.16199999999999998</v>
      </c>
      <c r="G24" s="36">
        <f t="shared" ref="G24" si="73">G23/G22</f>
        <v>0.10489010989010988</v>
      </c>
      <c r="H24" s="36">
        <f t="shared" ref="H24" si="74">H23/H22</f>
        <v>0.1934089917066783</v>
      </c>
      <c r="I24" s="36">
        <f t="shared" ref="I24" si="75">I23/I22</f>
        <v>0.47695238095238102</v>
      </c>
      <c r="J24" s="36">
        <f t="shared" ref="J24" si="76">J23/J22</f>
        <v>0.33696428571428572</v>
      </c>
      <c r="K24" s="36">
        <f t="shared" ref="K24" si="77">K23/K22</f>
        <v>0.39145987033310969</v>
      </c>
      <c r="L24" s="36">
        <f t="shared" ref="L24" si="78">L23/L22</f>
        <v>0.35100721323011963</v>
      </c>
      <c r="M24" s="36">
        <f t="shared" ref="M24" si="79">M23/M22</f>
        <v>0.32575953338993691</v>
      </c>
      <c r="N24" s="36">
        <f t="shared" ref="N24" si="80">N23/N22</f>
        <v>0.37657932413938311</v>
      </c>
      <c r="O24" s="36">
        <f t="shared" ref="O24" si="81">O23/O22</f>
        <v>0.47515964673913041</v>
      </c>
      <c r="P24" s="36">
        <f t="shared" ref="P24" si="82">P23/P22</f>
        <v>0.36636471929324588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  <c r="AMG24" s="8"/>
      <c r="AMH24" s="8"/>
      <c r="AMI24" s="8"/>
      <c r="AMJ24" s="8"/>
      <c r="AMK24" s="8"/>
    </row>
    <row r="25" spans="1:1025" s="10" customFormat="1" x14ac:dyDescent="0.35">
      <c r="A25" s="39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  <c r="ALP25" s="8"/>
      <c r="ALQ25" s="8"/>
      <c r="ALR25" s="8"/>
      <c r="ALS25" s="8"/>
      <c r="ALT25" s="8"/>
      <c r="ALU25" s="8"/>
      <c r="ALV25" s="8"/>
      <c r="ALW25" s="8"/>
      <c r="ALX25" s="8"/>
      <c r="ALY25" s="8"/>
      <c r="ALZ25" s="8"/>
      <c r="AMA25" s="8"/>
      <c r="AMB25" s="8"/>
      <c r="AMC25" s="8"/>
      <c r="AMD25" s="8"/>
      <c r="AME25" s="8"/>
      <c r="AMF25" s="8"/>
      <c r="AMG25" s="8"/>
      <c r="AMH25" s="8"/>
      <c r="AMI25" s="8"/>
      <c r="AMJ25" s="8"/>
      <c r="AMK25" s="8"/>
    </row>
    <row r="26" spans="1:1025" s="10" customFormat="1" x14ac:dyDescent="0.35">
      <c r="A26" s="39" t="s">
        <v>5</v>
      </c>
      <c r="B26" s="38">
        <v>3230</v>
      </c>
      <c r="C26" s="38">
        <v>3459</v>
      </c>
      <c r="D26" s="38">
        <v>3697</v>
      </c>
      <c r="E26" s="38">
        <v>3733</v>
      </c>
      <c r="F26" s="38">
        <v>4616</v>
      </c>
      <c r="G26" s="38">
        <v>4696</v>
      </c>
      <c r="H26" s="38">
        <v>4158</v>
      </c>
      <c r="I26" s="38">
        <v>3732</v>
      </c>
      <c r="J26" s="38">
        <v>3745</v>
      </c>
      <c r="K26" s="38">
        <v>3286</v>
      </c>
      <c r="L26" s="38">
        <v>3039</v>
      </c>
      <c r="M26" s="38">
        <v>2503</v>
      </c>
      <c r="N26" s="38">
        <v>1173</v>
      </c>
      <c r="O26" s="38">
        <v>6162</v>
      </c>
      <c r="P26" s="38">
        <v>6395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  <c r="AMK26" s="8"/>
    </row>
    <row r="27" spans="1:1025" s="10" customFormat="1" x14ac:dyDescent="0.35">
      <c r="A27" s="39" t="s">
        <v>6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46.96</v>
      </c>
      <c r="H27" s="38">
        <v>41.58</v>
      </c>
      <c r="I27" s="38">
        <v>74.64</v>
      </c>
      <c r="J27" s="38">
        <v>187.25</v>
      </c>
      <c r="K27" s="38">
        <v>164.3</v>
      </c>
      <c r="L27" s="38">
        <v>151.94999999999999</v>
      </c>
      <c r="M27" s="38">
        <v>175.21</v>
      </c>
      <c r="N27" s="38">
        <v>117.3</v>
      </c>
      <c r="O27" s="38">
        <f>0.1*O26</f>
        <v>616.20000000000005</v>
      </c>
      <c r="P27" s="38">
        <f>0.08*P26</f>
        <v>511.6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  <c r="AMK27" s="8"/>
    </row>
    <row r="28" spans="1:1025" s="10" customFormat="1" x14ac:dyDescent="0.35">
      <c r="A28" s="39" t="s">
        <v>38</v>
      </c>
      <c r="B28" s="38">
        <f>B26*B55</f>
        <v>933.11111111111097</v>
      </c>
      <c r="C28" s="38">
        <f t="shared" ref="C28:P28" si="83">C26*C55</f>
        <v>1168.2715231788079</v>
      </c>
      <c r="D28" s="38">
        <f t="shared" si="83"/>
        <v>1270.251282051282</v>
      </c>
      <c r="E28" s="38">
        <f t="shared" si="83"/>
        <v>1066.5714285714284</v>
      </c>
      <c r="F28" s="38">
        <f t="shared" si="83"/>
        <v>1775.3846153846155</v>
      </c>
      <c r="G28" s="38">
        <f t="shared" si="83"/>
        <v>1983.9689922480618</v>
      </c>
      <c r="H28" s="38">
        <f t="shared" si="83"/>
        <v>1654.6268041237113</v>
      </c>
      <c r="I28" s="38">
        <f t="shared" si="83"/>
        <v>1256.3168316831684</v>
      </c>
      <c r="J28" s="38">
        <f t="shared" si="83"/>
        <v>1312.0067114093961</v>
      </c>
      <c r="K28" s="38">
        <f t="shared" si="83"/>
        <v>1201.5970149253731</v>
      </c>
      <c r="L28" s="38">
        <f t="shared" si="83"/>
        <v>1095.6482910694597</v>
      </c>
      <c r="M28" s="38">
        <f t="shared" si="83"/>
        <v>975.03451676528596</v>
      </c>
      <c r="N28" s="38">
        <f t="shared" si="83"/>
        <v>485.64234104046244</v>
      </c>
      <c r="O28" s="38">
        <f t="shared" si="83"/>
        <v>2384.932493249325</v>
      </c>
      <c r="P28" s="38">
        <f t="shared" si="83"/>
        <v>2510.2972673559821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F28" s="8"/>
      <c r="RG28" s="8"/>
      <c r="RH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B28" s="8"/>
      <c r="SC28" s="8"/>
      <c r="SD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B28" s="8"/>
      <c r="TC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TW28" s="8"/>
      <c r="TX28" s="8"/>
      <c r="TY28" s="8"/>
      <c r="TZ28" s="8"/>
      <c r="UA28" s="8"/>
      <c r="UB28" s="8"/>
      <c r="UC28" s="8"/>
      <c r="UD28" s="8"/>
      <c r="UE28" s="8"/>
      <c r="UF28" s="8"/>
      <c r="UG28" s="8"/>
      <c r="UH28" s="8"/>
      <c r="UI28" s="8"/>
      <c r="UJ28" s="8"/>
      <c r="UK28" s="8"/>
      <c r="UL28" s="8"/>
      <c r="UM28" s="8"/>
      <c r="UN28" s="8"/>
      <c r="UO28" s="8"/>
      <c r="UP28" s="8"/>
      <c r="UQ28" s="8"/>
      <c r="UR28" s="8"/>
      <c r="US28" s="8"/>
      <c r="UT28" s="8"/>
      <c r="UU28" s="8"/>
      <c r="UV28" s="8"/>
      <c r="UW28" s="8"/>
      <c r="UX28" s="8"/>
      <c r="UY28" s="8"/>
      <c r="UZ28" s="8"/>
      <c r="VA28" s="8"/>
      <c r="VB28" s="8"/>
      <c r="VC28" s="8"/>
      <c r="VD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O28" s="8"/>
      <c r="VP28" s="8"/>
      <c r="VQ28" s="8"/>
      <c r="VR28" s="8"/>
      <c r="VS28" s="8"/>
      <c r="VT28" s="8"/>
      <c r="VU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I28" s="8"/>
      <c r="WJ28" s="8"/>
      <c r="WK28" s="8"/>
      <c r="WL28" s="8"/>
      <c r="WM28" s="8"/>
      <c r="WN28" s="8"/>
      <c r="WO28" s="8"/>
      <c r="WP28" s="8"/>
      <c r="WQ28" s="8"/>
      <c r="WR28" s="8"/>
      <c r="WS28" s="8"/>
      <c r="WT28" s="8"/>
      <c r="WU28" s="8"/>
      <c r="WV28" s="8"/>
      <c r="WW28" s="8"/>
      <c r="WX28" s="8"/>
      <c r="WY28" s="8"/>
      <c r="WZ28" s="8"/>
      <c r="XA28" s="8"/>
      <c r="XB28" s="8"/>
      <c r="XC28" s="8"/>
      <c r="XD28" s="8"/>
      <c r="XE28" s="8"/>
      <c r="XF28" s="8"/>
      <c r="XG28" s="8"/>
      <c r="XH28" s="8"/>
      <c r="XI28" s="8"/>
      <c r="XJ28" s="8"/>
      <c r="XK28" s="8"/>
      <c r="XL28" s="8"/>
      <c r="XM28" s="8"/>
      <c r="XN28" s="8"/>
      <c r="XO28" s="8"/>
      <c r="XP28" s="8"/>
      <c r="XQ28" s="8"/>
      <c r="XR28" s="8"/>
      <c r="XS28" s="8"/>
      <c r="XT28" s="8"/>
      <c r="XU28" s="8"/>
      <c r="XV28" s="8"/>
      <c r="XW28" s="8"/>
      <c r="XX28" s="8"/>
      <c r="XY28" s="8"/>
      <c r="XZ28" s="8"/>
      <c r="YA28" s="8"/>
      <c r="YB28" s="8"/>
      <c r="YC28" s="8"/>
      <c r="YD28" s="8"/>
      <c r="YE28" s="8"/>
      <c r="YF28" s="8"/>
      <c r="YG28" s="8"/>
      <c r="YH28" s="8"/>
      <c r="YI28" s="8"/>
      <c r="YJ28" s="8"/>
      <c r="YK28" s="8"/>
      <c r="YL28" s="8"/>
      <c r="YM28" s="8"/>
      <c r="YN28" s="8"/>
      <c r="YO28" s="8"/>
      <c r="YP28" s="8"/>
      <c r="YQ28" s="8"/>
      <c r="YR28" s="8"/>
      <c r="YS28" s="8"/>
      <c r="YT28" s="8"/>
      <c r="YU28" s="8"/>
      <c r="YV28" s="8"/>
      <c r="YW28" s="8"/>
      <c r="YX28" s="8"/>
      <c r="YY28" s="8"/>
      <c r="YZ28" s="8"/>
      <c r="ZA28" s="8"/>
      <c r="ZB28" s="8"/>
      <c r="ZC28" s="8"/>
      <c r="ZD28" s="8"/>
      <c r="ZE28" s="8"/>
      <c r="ZF28" s="8"/>
      <c r="ZG28" s="8"/>
      <c r="ZH28" s="8"/>
      <c r="ZI28" s="8"/>
      <c r="ZJ28" s="8"/>
      <c r="ZK28" s="8"/>
      <c r="ZL28" s="8"/>
      <c r="ZM28" s="8"/>
      <c r="ZN28" s="8"/>
      <c r="ZO28" s="8"/>
      <c r="ZP28" s="8"/>
      <c r="ZQ28" s="8"/>
      <c r="ZR28" s="8"/>
      <c r="ZS28" s="8"/>
      <c r="ZT28" s="8"/>
      <c r="ZU28" s="8"/>
      <c r="ZV28" s="8"/>
      <c r="ZW28" s="8"/>
      <c r="ZX28" s="8"/>
      <c r="ZY28" s="8"/>
      <c r="ZZ28" s="8"/>
      <c r="AAA28" s="8"/>
      <c r="AAB28" s="8"/>
      <c r="AAC28" s="8"/>
      <c r="AAD28" s="8"/>
      <c r="AAE28" s="8"/>
      <c r="AAF28" s="8"/>
      <c r="AAG28" s="8"/>
      <c r="AAH28" s="8"/>
      <c r="AAI28" s="8"/>
      <c r="AAJ28" s="8"/>
      <c r="AAK28" s="8"/>
      <c r="AAL28" s="8"/>
      <c r="AAM28" s="8"/>
      <c r="AAN28" s="8"/>
      <c r="AAO28" s="8"/>
      <c r="AAP28" s="8"/>
      <c r="AAQ28" s="8"/>
      <c r="AAR28" s="8"/>
      <c r="AAS28" s="8"/>
      <c r="AAT28" s="8"/>
      <c r="AAU28" s="8"/>
      <c r="AAV28" s="8"/>
      <c r="AAW28" s="8"/>
      <c r="AAX28" s="8"/>
      <c r="AAY28" s="8"/>
      <c r="AAZ28" s="8"/>
      <c r="ABA28" s="8"/>
      <c r="ABB28" s="8"/>
      <c r="ABC28" s="8"/>
      <c r="ABD28" s="8"/>
      <c r="ABE28" s="8"/>
      <c r="ABF28" s="8"/>
      <c r="ABG28" s="8"/>
      <c r="ABH28" s="8"/>
      <c r="ABI28" s="8"/>
      <c r="ABJ28" s="8"/>
      <c r="ABK28" s="8"/>
      <c r="ABL28" s="8"/>
      <c r="ABM28" s="8"/>
      <c r="ABN28" s="8"/>
      <c r="ABO28" s="8"/>
      <c r="ABP28" s="8"/>
      <c r="ABQ28" s="8"/>
      <c r="ABR28" s="8"/>
      <c r="ABS28" s="8"/>
      <c r="ABT28" s="8"/>
      <c r="ABU28" s="8"/>
      <c r="ABV28" s="8"/>
      <c r="ABW28" s="8"/>
      <c r="ABX28" s="8"/>
      <c r="ABY28" s="8"/>
      <c r="ABZ28" s="8"/>
      <c r="ACA28" s="8"/>
      <c r="ACB28" s="8"/>
      <c r="ACC28" s="8"/>
      <c r="ACD28" s="8"/>
      <c r="ACE28" s="8"/>
      <c r="ACF28" s="8"/>
      <c r="ACG28" s="8"/>
      <c r="ACH28" s="8"/>
      <c r="ACI28" s="8"/>
      <c r="ACJ28" s="8"/>
      <c r="ACK28" s="8"/>
      <c r="ACL28" s="8"/>
      <c r="ACM28" s="8"/>
      <c r="ACN28" s="8"/>
      <c r="ACO28" s="8"/>
      <c r="ACP28" s="8"/>
      <c r="ACQ28" s="8"/>
      <c r="ACR28" s="8"/>
      <c r="ACS28" s="8"/>
      <c r="ACT28" s="8"/>
      <c r="ACU28" s="8"/>
      <c r="ACV28" s="8"/>
      <c r="ACW28" s="8"/>
      <c r="ACX28" s="8"/>
      <c r="ACY28" s="8"/>
      <c r="ACZ28" s="8"/>
      <c r="ADA28" s="8"/>
      <c r="ADB28" s="8"/>
      <c r="ADC28" s="8"/>
      <c r="ADD28" s="8"/>
      <c r="ADE28" s="8"/>
      <c r="ADF28" s="8"/>
      <c r="ADG28" s="8"/>
      <c r="ADH28" s="8"/>
      <c r="ADI28" s="8"/>
      <c r="ADJ28" s="8"/>
      <c r="ADK28" s="8"/>
      <c r="ADL28" s="8"/>
      <c r="ADM28" s="8"/>
      <c r="ADN28" s="8"/>
      <c r="ADO28" s="8"/>
      <c r="ADP28" s="8"/>
      <c r="ADQ28" s="8"/>
      <c r="ADR28" s="8"/>
      <c r="ADS28" s="8"/>
      <c r="ADT28" s="8"/>
      <c r="ADU28" s="8"/>
      <c r="ADV28" s="8"/>
      <c r="ADW28" s="8"/>
      <c r="ADX28" s="8"/>
      <c r="ADY28" s="8"/>
      <c r="ADZ28" s="8"/>
      <c r="AEA28" s="8"/>
      <c r="AEB28" s="8"/>
      <c r="AEC28" s="8"/>
      <c r="AED28" s="8"/>
      <c r="AEE28" s="8"/>
      <c r="AEF28" s="8"/>
      <c r="AEG28" s="8"/>
      <c r="AEH28" s="8"/>
      <c r="AEI28" s="8"/>
      <c r="AEJ28" s="8"/>
      <c r="AEK28" s="8"/>
      <c r="AEL28" s="8"/>
      <c r="AEM28" s="8"/>
      <c r="AEN28" s="8"/>
      <c r="AEO28" s="8"/>
      <c r="AEP28" s="8"/>
      <c r="AEQ28" s="8"/>
      <c r="AER28" s="8"/>
      <c r="AES28" s="8"/>
      <c r="AET28" s="8"/>
      <c r="AEU28" s="8"/>
      <c r="AEV28" s="8"/>
      <c r="AEW28" s="8"/>
      <c r="AEX28" s="8"/>
      <c r="AEY28" s="8"/>
      <c r="AEZ28" s="8"/>
      <c r="AFA28" s="8"/>
      <c r="AFB28" s="8"/>
      <c r="AFC28" s="8"/>
      <c r="AFD28" s="8"/>
      <c r="AFE28" s="8"/>
      <c r="AFF28" s="8"/>
      <c r="AFG28" s="8"/>
      <c r="AFH28" s="8"/>
      <c r="AFI28" s="8"/>
      <c r="AFJ28" s="8"/>
      <c r="AFK28" s="8"/>
      <c r="AFL28" s="8"/>
      <c r="AFM28" s="8"/>
      <c r="AFN28" s="8"/>
      <c r="AFO28" s="8"/>
      <c r="AFP28" s="8"/>
      <c r="AFQ28" s="8"/>
      <c r="AFR28" s="8"/>
      <c r="AFS28" s="8"/>
      <c r="AFT28" s="8"/>
      <c r="AFU28" s="8"/>
      <c r="AFV28" s="8"/>
      <c r="AFW28" s="8"/>
      <c r="AFX28" s="8"/>
      <c r="AFY28" s="8"/>
      <c r="AFZ28" s="8"/>
      <c r="AGA28" s="8"/>
      <c r="AGB28" s="8"/>
      <c r="AGC28" s="8"/>
      <c r="AGD28" s="8"/>
      <c r="AGE28" s="8"/>
      <c r="AGF28" s="8"/>
      <c r="AGG28" s="8"/>
      <c r="AGH28" s="8"/>
      <c r="AGI28" s="8"/>
      <c r="AGJ28" s="8"/>
      <c r="AGK28" s="8"/>
      <c r="AGL28" s="8"/>
      <c r="AGM28" s="8"/>
      <c r="AGN28" s="8"/>
      <c r="AGO28" s="8"/>
      <c r="AGP28" s="8"/>
      <c r="AGQ28" s="8"/>
      <c r="AGR28" s="8"/>
      <c r="AGS28" s="8"/>
      <c r="AGT28" s="8"/>
      <c r="AGU28" s="8"/>
      <c r="AGV28" s="8"/>
      <c r="AGW28" s="8"/>
      <c r="AGX28" s="8"/>
      <c r="AGY28" s="8"/>
      <c r="AGZ28" s="8"/>
      <c r="AHA28" s="8"/>
      <c r="AHB28" s="8"/>
      <c r="AHC28" s="8"/>
      <c r="AHD28" s="8"/>
      <c r="AHE28" s="8"/>
      <c r="AHF28" s="8"/>
      <c r="AHG28" s="8"/>
      <c r="AHH28" s="8"/>
      <c r="AHI28" s="8"/>
      <c r="AHJ28" s="8"/>
      <c r="AHK28" s="8"/>
      <c r="AHL28" s="8"/>
      <c r="AHM28" s="8"/>
      <c r="AHN28" s="8"/>
      <c r="AHO28" s="8"/>
      <c r="AHP28" s="8"/>
      <c r="AHQ28" s="8"/>
      <c r="AHR28" s="8"/>
      <c r="AHS28" s="8"/>
      <c r="AHT28" s="8"/>
      <c r="AHU28" s="8"/>
      <c r="AHV28" s="8"/>
      <c r="AHW28" s="8"/>
      <c r="AHX28" s="8"/>
      <c r="AHY28" s="8"/>
      <c r="AHZ28" s="8"/>
      <c r="AIA28" s="8"/>
      <c r="AIB28" s="8"/>
      <c r="AIC28" s="8"/>
      <c r="AID28" s="8"/>
      <c r="AIE28" s="8"/>
      <c r="AIF28" s="8"/>
      <c r="AIG28" s="8"/>
      <c r="AIH28" s="8"/>
      <c r="AII28" s="8"/>
      <c r="AIJ28" s="8"/>
      <c r="AIK28" s="8"/>
      <c r="AIL28" s="8"/>
      <c r="AIM28" s="8"/>
      <c r="AIN28" s="8"/>
      <c r="AIO28" s="8"/>
      <c r="AIP28" s="8"/>
      <c r="AIQ28" s="8"/>
      <c r="AIR28" s="8"/>
      <c r="AIS28" s="8"/>
      <c r="AIT28" s="8"/>
      <c r="AIU28" s="8"/>
      <c r="AIV28" s="8"/>
      <c r="AIW28" s="8"/>
      <c r="AIX28" s="8"/>
      <c r="AIY28" s="8"/>
      <c r="AIZ28" s="8"/>
      <c r="AJA28" s="8"/>
      <c r="AJB28" s="8"/>
      <c r="AJC28" s="8"/>
      <c r="AJD28" s="8"/>
      <c r="AJE28" s="8"/>
      <c r="AJF28" s="8"/>
      <c r="AJG28" s="8"/>
      <c r="AJH28" s="8"/>
      <c r="AJI28" s="8"/>
      <c r="AJJ28" s="8"/>
      <c r="AJK28" s="8"/>
      <c r="AJL28" s="8"/>
      <c r="AJM28" s="8"/>
      <c r="AJN28" s="8"/>
      <c r="AJO28" s="8"/>
      <c r="AJP28" s="8"/>
      <c r="AJQ28" s="8"/>
      <c r="AJR28" s="8"/>
      <c r="AJS28" s="8"/>
      <c r="AJT28" s="8"/>
      <c r="AJU28" s="8"/>
      <c r="AJV28" s="8"/>
      <c r="AJW28" s="8"/>
      <c r="AJX28" s="8"/>
      <c r="AJY28" s="8"/>
      <c r="AJZ28" s="8"/>
      <c r="AKA28" s="8"/>
      <c r="AKB28" s="8"/>
      <c r="AKC28" s="8"/>
      <c r="AKD28" s="8"/>
      <c r="AKE28" s="8"/>
      <c r="AKF28" s="8"/>
      <c r="AKG28" s="8"/>
      <c r="AKH28" s="8"/>
      <c r="AKI28" s="8"/>
      <c r="AKJ28" s="8"/>
      <c r="AKK28" s="8"/>
      <c r="AKL28" s="8"/>
      <c r="AKM28" s="8"/>
      <c r="AKN28" s="8"/>
      <c r="AKO28" s="8"/>
      <c r="AKP28" s="8"/>
      <c r="AKQ28" s="8"/>
      <c r="AKR28" s="8"/>
      <c r="AKS28" s="8"/>
      <c r="AKT28" s="8"/>
      <c r="AKU28" s="8"/>
      <c r="AKV28" s="8"/>
      <c r="AKW28" s="8"/>
      <c r="AKX28" s="8"/>
      <c r="AKY28" s="8"/>
      <c r="AKZ28" s="8"/>
      <c r="ALA28" s="8"/>
      <c r="ALB28" s="8"/>
      <c r="ALC28" s="8"/>
      <c r="ALD28" s="8"/>
      <c r="ALE28" s="8"/>
      <c r="ALF28" s="8"/>
      <c r="ALG28" s="8"/>
      <c r="ALH28" s="8"/>
      <c r="ALI28" s="8"/>
      <c r="ALJ28" s="8"/>
      <c r="ALK28" s="8"/>
      <c r="ALL28" s="8"/>
      <c r="ALM28" s="8"/>
      <c r="ALN28" s="8"/>
      <c r="ALO28" s="8"/>
      <c r="ALP28" s="8"/>
      <c r="ALQ28" s="8"/>
      <c r="ALR28" s="8"/>
      <c r="ALS28" s="8"/>
      <c r="ALT28" s="8"/>
      <c r="ALU28" s="8"/>
      <c r="ALV28" s="8"/>
      <c r="ALW28" s="8"/>
      <c r="ALX28" s="8"/>
      <c r="ALY28" s="8"/>
      <c r="ALZ28" s="8"/>
      <c r="AMA28" s="8"/>
      <c r="AMB28" s="8"/>
      <c r="AMC28" s="8"/>
      <c r="AMD28" s="8"/>
      <c r="AME28" s="8"/>
      <c r="AMF28" s="8"/>
      <c r="AMG28" s="8"/>
      <c r="AMH28" s="8"/>
      <c r="AMI28" s="8"/>
      <c r="AMJ28" s="8"/>
      <c r="AMK28" s="8"/>
    </row>
    <row r="29" spans="1:1025" s="10" customFormat="1" x14ac:dyDescent="0.35">
      <c r="A29" s="39"/>
      <c r="B29" s="38">
        <f>B27*B56</f>
        <v>0</v>
      </c>
      <c r="C29" s="38">
        <f t="shared" ref="C29:P29" si="84">C27*C56</f>
        <v>0</v>
      </c>
      <c r="D29" s="38">
        <f t="shared" si="84"/>
        <v>0</v>
      </c>
      <c r="E29" s="38">
        <f t="shared" si="84"/>
        <v>0</v>
      </c>
      <c r="F29" s="38">
        <f t="shared" si="84"/>
        <v>0</v>
      </c>
      <c r="G29" s="38">
        <f t="shared" si="84"/>
        <v>31.306666666666665</v>
      </c>
      <c r="H29" s="38">
        <f t="shared" si="84"/>
        <v>41.58</v>
      </c>
      <c r="I29" s="38">
        <f t="shared" si="84"/>
        <v>29.856000000000002</v>
      </c>
      <c r="J29" s="38">
        <f t="shared" si="84"/>
        <v>112.35</v>
      </c>
      <c r="K29" s="38">
        <f t="shared" si="84"/>
        <v>109.53333333333333</v>
      </c>
      <c r="L29" s="38">
        <f t="shared" si="84"/>
        <v>75.974999999999994</v>
      </c>
      <c r="M29" s="38">
        <f t="shared" si="84"/>
        <v>112.13440000000001</v>
      </c>
      <c r="N29" s="38">
        <f t="shared" si="84"/>
        <v>68.663414634146335</v>
      </c>
      <c r="O29" s="38">
        <f t="shared" si="84"/>
        <v>248.85000000000002</v>
      </c>
      <c r="P29" s="38">
        <f t="shared" si="84"/>
        <v>220.6901960784314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  <c r="ACH29" s="8"/>
      <c r="ACI29" s="8"/>
      <c r="ACJ29" s="8"/>
      <c r="ACK29" s="8"/>
      <c r="ACL29" s="8"/>
      <c r="ACM29" s="8"/>
      <c r="ACN29" s="8"/>
      <c r="ACO29" s="8"/>
      <c r="ACP29" s="8"/>
      <c r="ACQ29" s="8"/>
      <c r="ACR29" s="8"/>
      <c r="ACS29" s="8"/>
      <c r="ACT29" s="8"/>
      <c r="ACU29" s="8"/>
      <c r="ACV29" s="8"/>
      <c r="ACW29" s="8"/>
      <c r="ACX29" s="8"/>
      <c r="ACY29" s="8"/>
      <c r="ACZ29" s="8"/>
      <c r="ADA29" s="8"/>
      <c r="ADB29" s="8"/>
      <c r="ADC29" s="8"/>
      <c r="ADD29" s="8"/>
      <c r="ADE29" s="8"/>
      <c r="ADF29" s="8"/>
      <c r="ADG29" s="8"/>
      <c r="ADH29" s="8"/>
      <c r="ADI29" s="8"/>
      <c r="ADJ29" s="8"/>
      <c r="ADK29" s="8"/>
      <c r="ADL29" s="8"/>
      <c r="ADM29" s="8"/>
      <c r="ADN29" s="8"/>
      <c r="ADO29" s="8"/>
      <c r="ADP29" s="8"/>
      <c r="ADQ29" s="8"/>
      <c r="ADR29" s="8"/>
      <c r="ADS29" s="8"/>
      <c r="ADT29" s="8"/>
      <c r="ADU29" s="8"/>
      <c r="ADV29" s="8"/>
      <c r="ADW29" s="8"/>
      <c r="ADX29" s="8"/>
      <c r="ADY29" s="8"/>
      <c r="ADZ29" s="8"/>
      <c r="AEA29" s="8"/>
      <c r="AEB29" s="8"/>
      <c r="AEC29" s="8"/>
      <c r="AED29" s="8"/>
      <c r="AEE29" s="8"/>
      <c r="AEF29" s="8"/>
      <c r="AEG29" s="8"/>
      <c r="AEH29" s="8"/>
      <c r="AEI29" s="8"/>
      <c r="AEJ29" s="8"/>
      <c r="AEK29" s="8"/>
      <c r="AEL29" s="8"/>
      <c r="AEM29" s="8"/>
      <c r="AEN29" s="8"/>
      <c r="AEO29" s="8"/>
      <c r="AEP29" s="8"/>
      <c r="AEQ29" s="8"/>
      <c r="AER29" s="8"/>
      <c r="AES29" s="8"/>
      <c r="AET29" s="8"/>
      <c r="AEU29" s="8"/>
      <c r="AEV29" s="8"/>
      <c r="AEW29" s="8"/>
      <c r="AEX29" s="8"/>
      <c r="AEY29" s="8"/>
      <c r="AEZ29" s="8"/>
      <c r="AFA29" s="8"/>
      <c r="AFB29" s="8"/>
      <c r="AFC29" s="8"/>
      <c r="AFD29" s="8"/>
      <c r="AFE29" s="8"/>
      <c r="AFF29" s="8"/>
      <c r="AFG29" s="8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  <c r="AGS29" s="8"/>
      <c r="AGT29" s="8"/>
      <c r="AGU29" s="8"/>
      <c r="AGV29" s="8"/>
      <c r="AGW29" s="8"/>
      <c r="AGX29" s="8"/>
      <c r="AGY29" s="8"/>
      <c r="AGZ29" s="8"/>
      <c r="AHA29" s="8"/>
      <c r="AHB29" s="8"/>
      <c r="AHC29" s="8"/>
      <c r="AHD29" s="8"/>
      <c r="AHE29" s="8"/>
      <c r="AHF29" s="8"/>
      <c r="AHG29" s="8"/>
      <c r="AHH29" s="8"/>
      <c r="AHI29" s="8"/>
      <c r="AHJ29" s="8"/>
      <c r="AHK29" s="8"/>
      <c r="AHL29" s="8"/>
      <c r="AHM29" s="8"/>
      <c r="AHN29" s="8"/>
      <c r="AHO29" s="8"/>
      <c r="AHP29" s="8"/>
      <c r="AHQ29" s="8"/>
      <c r="AHR29" s="8"/>
      <c r="AHS29" s="8"/>
      <c r="AHT29" s="8"/>
      <c r="AHU29" s="8"/>
      <c r="AHV29" s="8"/>
      <c r="AHW29" s="8"/>
      <c r="AHX29" s="8"/>
      <c r="AHY29" s="8"/>
      <c r="AHZ29" s="8"/>
      <c r="AIA29" s="8"/>
      <c r="AIB29" s="8"/>
      <c r="AIC29" s="8"/>
      <c r="AID29" s="8"/>
      <c r="AIE29" s="8"/>
      <c r="AIF29" s="8"/>
      <c r="AIG29" s="8"/>
      <c r="AIH29" s="8"/>
      <c r="AII29" s="8"/>
      <c r="AIJ29" s="8"/>
      <c r="AIK29" s="8"/>
      <c r="AIL29" s="8"/>
      <c r="AIM29" s="8"/>
      <c r="AIN29" s="8"/>
      <c r="AIO29" s="8"/>
      <c r="AIP29" s="8"/>
      <c r="AIQ29" s="8"/>
      <c r="AIR29" s="8"/>
      <c r="AIS29" s="8"/>
      <c r="AIT29" s="8"/>
      <c r="AIU29" s="8"/>
      <c r="AIV29" s="8"/>
      <c r="AIW29" s="8"/>
      <c r="AIX29" s="8"/>
      <c r="AIY29" s="8"/>
      <c r="AIZ29" s="8"/>
      <c r="AJA29" s="8"/>
      <c r="AJB29" s="8"/>
      <c r="AJC29" s="8"/>
      <c r="AJD29" s="8"/>
      <c r="AJE29" s="8"/>
      <c r="AJF29" s="8"/>
      <c r="AJG29" s="8"/>
      <c r="AJH29" s="8"/>
      <c r="AJI29" s="8"/>
      <c r="AJJ29" s="8"/>
      <c r="AJK29" s="8"/>
      <c r="AJL29" s="8"/>
      <c r="AJM29" s="8"/>
      <c r="AJN29" s="8"/>
      <c r="AJO29" s="8"/>
      <c r="AJP29" s="8"/>
      <c r="AJQ29" s="8"/>
      <c r="AJR29" s="8"/>
      <c r="AJS29" s="8"/>
      <c r="AJT29" s="8"/>
      <c r="AJU29" s="8"/>
      <c r="AJV29" s="8"/>
      <c r="AJW29" s="8"/>
      <c r="AJX29" s="8"/>
      <c r="AJY29" s="8"/>
      <c r="AJZ29" s="8"/>
      <c r="AKA29" s="8"/>
      <c r="AKB29" s="8"/>
      <c r="AKC29" s="8"/>
      <c r="AKD29" s="8"/>
      <c r="AKE29" s="8"/>
      <c r="AKF29" s="8"/>
      <c r="AKG29" s="8"/>
      <c r="AKH29" s="8"/>
      <c r="AKI29" s="8"/>
      <c r="AKJ29" s="8"/>
      <c r="AKK29" s="8"/>
      <c r="AKL29" s="8"/>
      <c r="AKM29" s="8"/>
      <c r="AKN29" s="8"/>
      <c r="AKO29" s="8"/>
      <c r="AKP29" s="8"/>
      <c r="AKQ29" s="8"/>
      <c r="AKR29" s="8"/>
      <c r="AKS29" s="8"/>
      <c r="AKT29" s="8"/>
      <c r="AKU29" s="8"/>
      <c r="AKV29" s="8"/>
      <c r="AKW29" s="8"/>
      <c r="AKX29" s="8"/>
      <c r="AKY29" s="8"/>
      <c r="AKZ29" s="8"/>
      <c r="ALA29" s="8"/>
      <c r="ALB29" s="8"/>
      <c r="ALC29" s="8"/>
      <c r="ALD29" s="8"/>
      <c r="ALE29" s="8"/>
      <c r="ALF29" s="8"/>
      <c r="ALG29" s="8"/>
      <c r="ALH29" s="8"/>
      <c r="ALI29" s="8"/>
      <c r="ALJ29" s="8"/>
      <c r="ALK29" s="8"/>
      <c r="ALL29" s="8"/>
      <c r="ALM29" s="8"/>
      <c r="ALN29" s="8"/>
      <c r="ALO29" s="8"/>
      <c r="ALP29" s="8"/>
      <c r="ALQ29" s="8"/>
      <c r="ALR29" s="8"/>
      <c r="ALS29" s="8"/>
      <c r="ALT29" s="8"/>
      <c r="ALU29" s="8"/>
      <c r="ALV29" s="8"/>
      <c r="ALW29" s="8"/>
      <c r="ALX29" s="8"/>
      <c r="ALY29" s="8"/>
      <c r="ALZ29" s="8"/>
      <c r="AMA29" s="8"/>
      <c r="AMB29" s="8"/>
      <c r="AMC29" s="8"/>
      <c r="AMD29" s="8"/>
      <c r="AME29" s="8"/>
      <c r="AMF29" s="8"/>
      <c r="AMG29" s="8"/>
      <c r="AMH29" s="8"/>
      <c r="AMI29" s="8"/>
      <c r="AMJ29" s="8"/>
      <c r="AMK29" s="8"/>
    </row>
    <row r="30" spans="1:1025" s="10" customFormat="1" x14ac:dyDescent="0.35">
      <c r="A30" s="39"/>
      <c r="B30" s="36">
        <f>B29/B28</f>
        <v>0</v>
      </c>
      <c r="C30" s="36">
        <f t="shared" ref="C30" si="85">C29/C28</f>
        <v>0</v>
      </c>
      <c r="D30" s="36">
        <f t="shared" ref="D30" si="86">D29/D28</f>
        <v>0</v>
      </c>
      <c r="E30" s="36">
        <f t="shared" ref="E30" si="87">E29/E28</f>
        <v>0</v>
      </c>
      <c r="F30" s="36">
        <f t="shared" ref="F30" si="88">F29/F28</f>
        <v>0</v>
      </c>
      <c r="G30" s="36">
        <f t="shared" ref="G30" si="89">G29/G28</f>
        <v>1.5779816513761469E-2</v>
      </c>
      <c r="H30" s="36">
        <f t="shared" ref="H30" si="90">H29/H28</f>
        <v>2.5129533678756477E-2</v>
      </c>
      <c r="I30" s="36">
        <f t="shared" ref="I30" si="91">I29/I28</f>
        <v>2.3764705882352941E-2</v>
      </c>
      <c r="J30" s="36">
        <f t="shared" ref="J30" si="92">J29/J28</f>
        <v>8.5632183908045972E-2</v>
      </c>
      <c r="K30" s="36">
        <f t="shared" ref="K30" si="93">K29/K28</f>
        <v>9.1156462585034015E-2</v>
      </c>
      <c r="L30" s="36">
        <f t="shared" ref="L30" si="94">L29/L28</f>
        <v>6.934250764525994E-2</v>
      </c>
      <c r="M30" s="36">
        <f t="shared" ref="M30" si="95">M29/M28</f>
        <v>0.11500556962025318</v>
      </c>
      <c r="N30" s="36">
        <f t="shared" ref="N30" si="96">N29/N28</f>
        <v>0.14138679606691354</v>
      </c>
      <c r="O30" s="36">
        <f t="shared" ref="O30" si="97">O29/O28</f>
        <v>0.10434257602862254</v>
      </c>
      <c r="P30" s="36">
        <f t="shared" ref="P30" si="98">P29/P28</f>
        <v>8.7913968974231288E-2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</row>
    <row r="31" spans="1:1025" s="10" customFormat="1" x14ac:dyDescent="0.35">
      <c r="A31" s="39" t="s">
        <v>39</v>
      </c>
      <c r="B31" s="38">
        <f>B26*B57</f>
        <v>1435.5555555555554</v>
      </c>
      <c r="C31" s="38">
        <f t="shared" ref="C31:P31" si="99">C26*C57</f>
        <v>1076.6423841059602</v>
      </c>
      <c r="D31" s="38">
        <f t="shared" si="99"/>
        <v>853.15384615384619</v>
      </c>
      <c r="E31" s="38">
        <f t="shared" si="99"/>
        <v>959.9142857142856</v>
      </c>
      <c r="F31" s="38">
        <f t="shared" si="99"/>
        <v>1420.3076923076924</v>
      </c>
      <c r="G31" s="38">
        <f t="shared" si="99"/>
        <v>1092.0930232558139</v>
      </c>
      <c r="H31" s="38">
        <f t="shared" si="99"/>
        <v>943.05154639175259</v>
      </c>
      <c r="I31" s="38">
        <f t="shared" si="99"/>
        <v>948.3960396039605</v>
      </c>
      <c r="J31" s="38">
        <f t="shared" si="99"/>
        <v>924.93959731543623</v>
      </c>
      <c r="K31" s="38">
        <f t="shared" si="99"/>
        <v>968.63432835820902</v>
      </c>
      <c r="L31" s="38">
        <f t="shared" si="99"/>
        <v>871.15766262403531</v>
      </c>
      <c r="M31" s="38">
        <f t="shared" si="99"/>
        <v>782.49605522682441</v>
      </c>
      <c r="N31" s="38">
        <f t="shared" si="99"/>
        <v>345.7976878612717</v>
      </c>
      <c r="O31" s="38">
        <f t="shared" si="99"/>
        <v>1783.1530153015301</v>
      </c>
      <c r="P31" s="38">
        <f t="shared" si="99"/>
        <v>1901.0247415066467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  <c r="AMK31" s="8"/>
    </row>
    <row r="32" spans="1:1025" s="10" customFormat="1" x14ac:dyDescent="0.35">
      <c r="B32" s="38">
        <f>B27*B58</f>
        <v>0</v>
      </c>
      <c r="C32" s="38">
        <f t="shared" ref="C32:P32" si="100">C27*C58</f>
        <v>0</v>
      </c>
      <c r="D32" s="38">
        <f t="shared" si="100"/>
        <v>0</v>
      </c>
      <c r="E32" s="38">
        <f t="shared" si="100"/>
        <v>0</v>
      </c>
      <c r="F32" s="38">
        <f t="shared" si="100"/>
        <v>0</v>
      </c>
      <c r="G32" s="38">
        <f t="shared" si="100"/>
        <v>0</v>
      </c>
      <c r="H32" s="38">
        <f t="shared" si="100"/>
        <v>0</v>
      </c>
      <c r="I32" s="38">
        <f t="shared" si="100"/>
        <v>14.928000000000001</v>
      </c>
      <c r="J32" s="38">
        <f t="shared" si="100"/>
        <v>0</v>
      </c>
      <c r="K32" s="38">
        <f t="shared" si="100"/>
        <v>54.766666666666666</v>
      </c>
      <c r="L32" s="38">
        <f t="shared" si="100"/>
        <v>50.649999999999991</v>
      </c>
      <c r="M32" s="38">
        <f t="shared" si="100"/>
        <v>56.067200000000007</v>
      </c>
      <c r="N32" s="38">
        <f t="shared" si="100"/>
        <v>31.470731707317075</v>
      </c>
      <c r="O32" s="38">
        <f t="shared" si="100"/>
        <v>225.15</v>
      </c>
      <c r="P32" s="38">
        <f t="shared" si="100"/>
        <v>160.50196078431372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  <c r="AMK32" s="8"/>
    </row>
    <row r="33" spans="1:1025" s="10" customFormat="1" x14ac:dyDescent="0.35">
      <c r="A33" s="39"/>
      <c r="B33" s="36">
        <f>B32/B31</f>
        <v>0</v>
      </c>
      <c r="C33" s="36">
        <f t="shared" ref="C33" si="101">C32/C31</f>
        <v>0</v>
      </c>
      <c r="D33" s="36">
        <f t="shared" ref="D33" si="102">D32/D31</f>
        <v>0</v>
      </c>
      <c r="E33" s="36">
        <f t="shared" ref="E33" si="103">E32/E31</f>
        <v>0</v>
      </c>
      <c r="F33" s="36">
        <f t="shared" ref="F33" si="104">F32/F31</f>
        <v>0</v>
      </c>
      <c r="G33" s="36">
        <f t="shared" ref="G33" si="105">G32/G31</f>
        <v>0</v>
      </c>
      <c r="H33" s="36">
        <f t="shared" ref="H33" si="106">H32/H31</f>
        <v>0</v>
      </c>
      <c r="I33" s="36">
        <f t="shared" ref="I33" si="107">I32/I31</f>
        <v>1.5740259740259738E-2</v>
      </c>
      <c r="J33" s="36">
        <f t="shared" ref="J33" si="108">J32/J31</f>
        <v>0</v>
      </c>
      <c r="K33" s="36">
        <f t="shared" ref="K33" si="109">K32/K31</f>
        <v>5.6540084388185648E-2</v>
      </c>
      <c r="L33" s="36">
        <f t="shared" ref="L33" si="110">L32/L31</f>
        <v>5.8141025641025627E-2</v>
      </c>
      <c r="M33" s="36">
        <f t="shared" ref="M33" si="111">M32/M31</f>
        <v>7.1651735015772877E-2</v>
      </c>
      <c r="N33" s="36">
        <f t="shared" ref="N33" si="112">N32/N31</f>
        <v>9.1009086561453845E-2</v>
      </c>
      <c r="O33" s="36">
        <f t="shared" ref="O33" si="113">O32/O31</f>
        <v>0.12626510348127767</v>
      </c>
      <c r="P33" s="36">
        <f t="shared" ref="P33" si="114">P32/P31</f>
        <v>8.4429180367799311E-2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  <c r="AMK33" s="8"/>
    </row>
    <row r="34" spans="1:1025" s="10" customFormat="1" x14ac:dyDescent="0.35">
      <c r="A34" s="39" t="s">
        <v>36</v>
      </c>
      <c r="B34" s="38">
        <f>B26*B59</f>
        <v>861.33333333333337</v>
      </c>
      <c r="C34" s="38">
        <f t="shared" ref="C34:P34" si="115">C26*C59</f>
        <v>1214.0860927152319</v>
      </c>
      <c r="D34" s="38">
        <f>D26*D59</f>
        <v>1573.5948717948718</v>
      </c>
      <c r="E34" s="38">
        <f t="shared" si="115"/>
        <v>1706.5142857142857</v>
      </c>
      <c r="F34" s="38">
        <f t="shared" si="115"/>
        <v>1420.3076923076924</v>
      </c>
      <c r="G34" s="38">
        <f>G26*G59</f>
        <v>1619.937984496124</v>
      </c>
      <c r="H34" s="38">
        <f t="shared" si="115"/>
        <v>1560.321649484536</v>
      </c>
      <c r="I34" s="38">
        <f t="shared" si="115"/>
        <v>1527.2871287128714</v>
      </c>
      <c r="J34" s="38">
        <f t="shared" si="115"/>
        <v>1508.0536912751677</v>
      </c>
      <c r="K34" s="38">
        <f t="shared" si="115"/>
        <v>1115.7686567164178</v>
      </c>
      <c r="L34" s="38">
        <f t="shared" si="115"/>
        <v>1072.1940463065048</v>
      </c>
      <c r="M34" s="38">
        <f t="shared" si="115"/>
        <v>745.46942800788963</v>
      </c>
      <c r="N34" s="38">
        <f t="shared" si="115"/>
        <v>341.55997109826592</v>
      </c>
      <c r="O34" s="38">
        <f t="shared" si="115"/>
        <v>1993.9144914491451</v>
      </c>
      <c r="P34" s="38">
        <f t="shared" si="115"/>
        <v>1983.6779911373708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  <c r="AMK34" s="8"/>
    </row>
    <row r="35" spans="1:1025" s="10" customFormat="1" x14ac:dyDescent="0.35">
      <c r="A35" s="39"/>
      <c r="B35" s="38">
        <f>B27*B60</f>
        <v>0</v>
      </c>
      <c r="C35" s="38">
        <f t="shared" ref="C35:P35" si="116">C27*C60</f>
        <v>0</v>
      </c>
      <c r="D35" s="38">
        <f t="shared" si="116"/>
        <v>0</v>
      </c>
      <c r="E35" s="38">
        <f t="shared" si="116"/>
        <v>0</v>
      </c>
      <c r="F35" s="38">
        <f t="shared" si="116"/>
        <v>0</v>
      </c>
      <c r="G35" s="38">
        <f t="shared" si="116"/>
        <v>15.653333333333332</v>
      </c>
      <c r="H35" s="38">
        <f t="shared" si="116"/>
        <v>0</v>
      </c>
      <c r="I35" s="38">
        <f t="shared" si="116"/>
        <v>29.856000000000002</v>
      </c>
      <c r="J35" s="38">
        <f t="shared" si="116"/>
        <v>74.900000000000006</v>
      </c>
      <c r="K35" s="38">
        <f t="shared" si="116"/>
        <v>0</v>
      </c>
      <c r="L35" s="38">
        <f t="shared" si="116"/>
        <v>25.324999999999996</v>
      </c>
      <c r="M35" s="38">
        <f t="shared" si="116"/>
        <v>7.0084000000000009</v>
      </c>
      <c r="N35" s="38">
        <f t="shared" si="116"/>
        <v>17.165853658536584</v>
      </c>
      <c r="O35" s="38">
        <f t="shared" si="116"/>
        <v>142.20000000000002</v>
      </c>
      <c r="P35" s="38">
        <f t="shared" si="116"/>
        <v>130.4078431372549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  <c r="AMK35" s="8"/>
    </row>
    <row r="36" spans="1:1025" s="10" customFormat="1" x14ac:dyDescent="0.35">
      <c r="A36" s="24"/>
      <c r="B36" s="36">
        <f>B35/B34</f>
        <v>0</v>
      </c>
      <c r="C36" s="36">
        <f t="shared" ref="C36" si="117">C35/C34</f>
        <v>0</v>
      </c>
      <c r="D36" s="36">
        <f t="shared" ref="D36" si="118">D35/D34</f>
        <v>0</v>
      </c>
      <c r="E36" s="36">
        <f t="shared" ref="E36" si="119">E35/E34</f>
        <v>0</v>
      </c>
      <c r="F36" s="36">
        <f t="shared" ref="F36" si="120">F35/F34</f>
        <v>0</v>
      </c>
      <c r="G36" s="36">
        <f t="shared" ref="G36" si="121">G35/G34</f>
        <v>9.662921348314606E-3</v>
      </c>
      <c r="H36" s="36">
        <f t="shared" ref="H36" si="122">H35/H34</f>
        <v>0</v>
      </c>
      <c r="I36" s="36">
        <f t="shared" ref="I36" si="123">I35/I34</f>
        <v>1.9548387096774193E-2</v>
      </c>
      <c r="J36" s="36">
        <f t="shared" ref="J36" si="124">J35/J34</f>
        <v>4.9666666666666671E-2</v>
      </c>
      <c r="K36" s="36">
        <f t="shared" ref="K36" si="125">K35/K34</f>
        <v>0</v>
      </c>
      <c r="L36" s="36">
        <f t="shared" ref="L36" si="126">L35/L34</f>
        <v>2.3619791666666667E-2</v>
      </c>
      <c r="M36" s="36">
        <f t="shared" ref="M36" si="127">M35/M34</f>
        <v>9.4013245033112581E-3</v>
      </c>
      <c r="N36" s="36">
        <f t="shared" ref="N36" si="128">N35/N34</f>
        <v>5.0257217212370628E-2</v>
      </c>
      <c r="O36" s="36">
        <f t="shared" ref="O36" si="129">O35/O34</f>
        <v>7.1317000106986203E-2</v>
      </c>
      <c r="P36" s="36">
        <f t="shared" ref="P36" si="130">P35/P34</f>
        <v>6.5740429505135381E-2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  <c r="AMK36" s="8"/>
    </row>
    <row r="37" spans="1:1025" s="10" customFormat="1" x14ac:dyDescent="0.35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  <c r="AMK37" s="8"/>
    </row>
    <row r="38" spans="1:1025" s="10" customFormat="1" x14ac:dyDescent="0.35">
      <c r="A38" s="24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  <c r="AMK38" s="8"/>
    </row>
    <row r="39" spans="1:1025" s="10" customFormat="1" x14ac:dyDescent="0.35">
      <c r="A39" s="39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  <c r="AMK39" s="8"/>
    </row>
    <row r="40" spans="1:1025" s="10" customFormat="1" x14ac:dyDescent="0.35">
      <c r="A40" s="39" t="s">
        <v>14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  <c r="AMK40" s="8"/>
    </row>
    <row r="41" spans="1:1025" s="42" customFormat="1" x14ac:dyDescent="0.35">
      <c r="A41" s="42" t="s">
        <v>38</v>
      </c>
      <c r="B41" s="42">
        <v>0.6071428571428571</v>
      </c>
      <c r="C41" s="42">
        <v>0.68</v>
      </c>
      <c r="D41" s="42">
        <v>0.63953488372093026</v>
      </c>
      <c r="E41" s="42">
        <v>0.65625</v>
      </c>
      <c r="F41" s="42">
        <v>0.59803921568627449</v>
      </c>
      <c r="G41" s="42">
        <v>0.64056224899598391</v>
      </c>
      <c r="H41" s="42">
        <v>0.60663507109004744</v>
      </c>
      <c r="I41" s="42">
        <v>0.62513312034078805</v>
      </c>
      <c r="J41" s="42">
        <v>0.59538950715421302</v>
      </c>
      <c r="K41" s="42">
        <v>0.59061488673139162</v>
      </c>
      <c r="L41" s="42">
        <v>0.63404548587181253</v>
      </c>
      <c r="M41" s="42">
        <v>0.6132075471698113</v>
      </c>
      <c r="N41" s="42">
        <v>0.59881715130606206</v>
      </c>
      <c r="O41" s="42">
        <v>0.59805564867582972</v>
      </c>
      <c r="P41" s="42">
        <v>0.57122982749026152</v>
      </c>
      <c r="Q41" s="42">
        <v>0.57202360291565424</v>
      </c>
      <c r="R41" s="42">
        <v>0.66666666666666663</v>
      </c>
    </row>
    <row r="42" spans="1:1025" s="42" customFormat="1" x14ac:dyDescent="0.35">
      <c r="B42" s="42">
        <v>0.7142857142857143</v>
      </c>
      <c r="C42" s="42">
        <v>0.68965517241379315</v>
      </c>
      <c r="D42" s="42">
        <v>0.66666666666666663</v>
      </c>
      <c r="E42" s="42">
        <v>0.72727272727272729</v>
      </c>
      <c r="F42" s="42">
        <v>0.52941176470588236</v>
      </c>
      <c r="G42" s="42">
        <v>0.82051282051282048</v>
      </c>
      <c r="H42" s="42">
        <v>0.58227848101265822</v>
      </c>
      <c r="I42" s="42">
        <v>0.63492063492063489</v>
      </c>
      <c r="J42" s="42">
        <v>0.69318181818181823</v>
      </c>
      <c r="K42" s="42">
        <v>0.7142857142857143</v>
      </c>
      <c r="L42" s="42">
        <v>0.64039408866995073</v>
      </c>
      <c r="M42" s="42">
        <v>0.68932038834951459</v>
      </c>
      <c r="N42" s="42">
        <v>0.63389830508474576</v>
      </c>
      <c r="O42" s="42">
        <v>0.70022883295194505</v>
      </c>
      <c r="P42" s="42">
        <v>0.6581818181818182</v>
      </c>
      <c r="Q42" s="42">
        <v>0.61425576519916147</v>
      </c>
      <c r="R42" s="42">
        <v>1</v>
      </c>
    </row>
    <row r="43" spans="1:1025" s="42" customFormat="1" x14ac:dyDescent="0.35">
      <c r="A43" s="42" t="s">
        <v>39</v>
      </c>
      <c r="B43" s="42">
        <v>0.30357142857142855</v>
      </c>
      <c r="C43" s="42">
        <v>0.19636363636363635</v>
      </c>
      <c r="D43" s="42">
        <v>0.19476744186046513</v>
      </c>
      <c r="E43" s="42">
        <v>0.19791666666666666</v>
      </c>
      <c r="F43" s="42">
        <v>0.20588235294117646</v>
      </c>
      <c r="G43" s="42">
        <v>0.19076305220883535</v>
      </c>
      <c r="H43" s="42">
        <v>0.1872037914691943</v>
      </c>
      <c r="I43" s="42">
        <v>0.18849840255591055</v>
      </c>
      <c r="J43" s="42">
        <v>0.18759936406995231</v>
      </c>
      <c r="K43" s="42">
        <v>0.23705501618122976</v>
      </c>
      <c r="L43" s="42">
        <v>0.21157822191592005</v>
      </c>
      <c r="M43" s="42">
        <v>0.22138364779874214</v>
      </c>
      <c r="N43" s="42">
        <v>0.24248398225726958</v>
      </c>
      <c r="O43" s="42">
        <v>0.23030506201810258</v>
      </c>
      <c r="P43" s="42">
        <v>0.25125208681135225</v>
      </c>
      <c r="Q43" s="42">
        <v>0.25442554668517875</v>
      </c>
      <c r="R43" s="42">
        <v>0.33333333333333331</v>
      </c>
    </row>
    <row r="44" spans="1:1025" s="42" customFormat="1" x14ac:dyDescent="0.35">
      <c r="B44" s="42">
        <v>0</v>
      </c>
      <c r="C44" s="42">
        <v>0.2413793103448276</v>
      </c>
      <c r="D44" s="42">
        <v>0.33333333333333331</v>
      </c>
      <c r="E44" s="42">
        <v>9.0909090909090912E-2</v>
      </c>
      <c r="F44" s="42">
        <v>0.29411764705882354</v>
      </c>
      <c r="G44" s="42">
        <v>0.10256410256410256</v>
      </c>
      <c r="H44" s="42">
        <v>0.22784810126582278</v>
      </c>
      <c r="I44" s="42">
        <v>0.1111111111111111</v>
      </c>
      <c r="J44" s="42">
        <v>0.11931818181818182</v>
      </c>
      <c r="K44" s="42">
        <v>0.15079365079365079</v>
      </c>
      <c r="L44" s="42">
        <v>0.23645320197044334</v>
      </c>
      <c r="M44" s="42">
        <v>0.1650485436893204</v>
      </c>
      <c r="N44" s="42">
        <v>0.22711864406779661</v>
      </c>
      <c r="O44" s="42">
        <v>0.14874141876430205</v>
      </c>
      <c r="P44" s="42">
        <v>0.20909090909090908</v>
      </c>
      <c r="Q44" s="42">
        <v>0.24528301886792453</v>
      </c>
      <c r="R44" s="42">
        <v>0</v>
      </c>
    </row>
    <row r="45" spans="1:1025" s="42" customFormat="1" x14ac:dyDescent="0.35">
      <c r="A45" s="42" t="s">
        <v>36</v>
      </c>
      <c r="B45" s="42">
        <v>8.9285714285714288E-2</v>
      </c>
      <c r="C45" s="42">
        <v>0.12363636363636364</v>
      </c>
      <c r="D45" s="42">
        <v>0.16569767441860464</v>
      </c>
      <c r="E45" s="42">
        <v>0.14583333333333334</v>
      </c>
      <c r="F45" s="42">
        <v>0.19607843137254902</v>
      </c>
      <c r="G45" s="42">
        <v>0.16867469879518071</v>
      </c>
      <c r="H45" s="42">
        <v>0.20616113744075829</v>
      </c>
      <c r="I45" s="42">
        <v>0.18636847710330137</v>
      </c>
      <c r="J45" s="42">
        <v>0.21701112877583467</v>
      </c>
      <c r="K45" s="42">
        <v>0.17233009708737865</v>
      </c>
      <c r="L45" s="42">
        <v>0.1543762922122674</v>
      </c>
      <c r="M45" s="42">
        <v>0.16540880503144653</v>
      </c>
      <c r="N45" s="42">
        <v>0.15869886643666831</v>
      </c>
      <c r="O45" s="42">
        <v>0.17163928930606773</v>
      </c>
      <c r="P45" s="42">
        <v>0.1775180856983862</v>
      </c>
      <c r="Q45" s="42">
        <v>0.17355085039916696</v>
      </c>
      <c r="R45" s="42">
        <v>0</v>
      </c>
    </row>
    <row r="46" spans="1:1025" s="42" customFormat="1" x14ac:dyDescent="0.35">
      <c r="B46" s="42">
        <v>0.2857142857142857</v>
      </c>
      <c r="C46" s="42">
        <v>6.8965517241379309E-2</v>
      </c>
      <c r="D46" s="42">
        <v>0</v>
      </c>
      <c r="E46" s="42">
        <v>0.18181818181818182</v>
      </c>
      <c r="F46" s="42">
        <v>0.17647058823529413</v>
      </c>
      <c r="G46" s="42">
        <v>7.6923076923076927E-2</v>
      </c>
      <c r="H46" s="42">
        <v>0.189873417721519</v>
      </c>
      <c r="I46" s="42">
        <v>0.25396825396825395</v>
      </c>
      <c r="J46" s="42">
        <v>0.1875</v>
      </c>
      <c r="K46" s="42">
        <v>0.13492063492063491</v>
      </c>
      <c r="L46" s="42">
        <v>0.12315270935960591</v>
      </c>
      <c r="M46" s="42">
        <v>0.14563106796116504</v>
      </c>
      <c r="N46" s="42">
        <v>0.13898305084745763</v>
      </c>
      <c r="O46" s="42">
        <v>0.15102974828375287</v>
      </c>
      <c r="P46" s="42">
        <v>0.13272727272727272</v>
      </c>
      <c r="Q46" s="42">
        <v>0.14046121593291405</v>
      </c>
      <c r="R46" s="42">
        <v>0</v>
      </c>
    </row>
    <row r="47" spans="1:1025" s="42" customFormat="1" x14ac:dyDescent="0.35">
      <c r="A47" s="43" t="s">
        <v>15</v>
      </c>
    </row>
    <row r="48" spans="1:1025" s="42" customFormat="1" x14ac:dyDescent="0.35">
      <c r="A48" s="42" t="s">
        <v>38</v>
      </c>
      <c r="C48" s="42">
        <v>0.33333333333333331</v>
      </c>
      <c r="H48" s="42">
        <v>0.2857142857142857</v>
      </c>
      <c r="K48" s="42">
        <v>0.625</v>
      </c>
      <c r="L48" s="42">
        <v>0.44444444444444442</v>
      </c>
      <c r="M48" s="42">
        <v>0.5</v>
      </c>
      <c r="N48" s="42">
        <v>0.33333333333333331</v>
      </c>
      <c r="O48" s="42">
        <v>0.35294117647058826</v>
      </c>
      <c r="P48" s="42">
        <v>0.34782608695652173</v>
      </c>
      <c r="Q48" s="42">
        <v>0.5</v>
      </c>
      <c r="R48" s="42" t="e">
        <v>#DIV/0!</v>
      </c>
    </row>
    <row r="49" spans="1:18" s="42" customFormat="1" x14ac:dyDescent="0.35">
      <c r="K49" s="42">
        <v>1</v>
      </c>
      <c r="M49" s="42">
        <v>0</v>
      </c>
      <c r="N49" s="42">
        <v>1</v>
      </c>
      <c r="P49" s="42">
        <v>0</v>
      </c>
      <c r="Q49" s="42">
        <v>0.5</v>
      </c>
      <c r="R49" s="42" t="e">
        <v>#DIV/0!</v>
      </c>
    </row>
    <row r="50" spans="1:18" s="42" customFormat="1" x14ac:dyDescent="0.35">
      <c r="A50" s="42" t="s">
        <v>39</v>
      </c>
      <c r="C50" s="42">
        <v>0.66666666666666663</v>
      </c>
      <c r="G50" s="42">
        <v>0.33333333333333331</v>
      </c>
      <c r="H50" s="42">
        <v>0.14285714285714285</v>
      </c>
      <c r="I50" s="42">
        <v>0.5</v>
      </c>
      <c r="J50" s="42">
        <v>0.5</v>
      </c>
      <c r="K50" s="42">
        <v>0.125</v>
      </c>
      <c r="L50" s="42">
        <v>0.1111111111111111</v>
      </c>
      <c r="M50" s="42">
        <v>0.16666666666666666</v>
      </c>
      <c r="N50" s="42">
        <v>0.22222222222222221</v>
      </c>
      <c r="O50" s="42">
        <v>0.41176470588235292</v>
      </c>
      <c r="P50" s="42">
        <v>0.2608695652173913</v>
      </c>
      <c r="Q50" s="42">
        <v>0.17857142857142858</v>
      </c>
      <c r="R50" s="42" t="e">
        <v>#DIV/0!</v>
      </c>
    </row>
    <row r="51" spans="1:18" s="42" customFormat="1" x14ac:dyDescent="0.35">
      <c r="K51" s="42">
        <v>0</v>
      </c>
      <c r="M51" s="42">
        <v>0</v>
      </c>
      <c r="N51" s="42">
        <v>0</v>
      </c>
      <c r="P51" s="42">
        <v>1</v>
      </c>
      <c r="Q51" s="42">
        <v>0.5</v>
      </c>
      <c r="R51" s="42" t="e">
        <v>#DIV/0!</v>
      </c>
    </row>
    <row r="52" spans="1:18" s="42" customFormat="1" x14ac:dyDescent="0.35">
      <c r="A52" s="42" t="s">
        <v>36</v>
      </c>
      <c r="C52" s="42">
        <v>0</v>
      </c>
      <c r="G52" s="42">
        <v>0.66666666666666663</v>
      </c>
      <c r="H52" s="42">
        <v>0.5714285714285714</v>
      </c>
      <c r="I52" s="42">
        <v>0.5</v>
      </c>
      <c r="J52" s="42">
        <v>0.5</v>
      </c>
      <c r="K52" s="42">
        <v>0.25</v>
      </c>
      <c r="L52" s="42">
        <v>0.44444444444444442</v>
      </c>
      <c r="M52" s="42">
        <v>0.33333333333333331</v>
      </c>
      <c r="N52" s="42">
        <v>0.44444444444444442</v>
      </c>
      <c r="O52" s="42">
        <v>0.23529411764705882</v>
      </c>
      <c r="P52" s="42">
        <v>0.39130434782608697</v>
      </c>
      <c r="Q52" s="42">
        <v>0.32142857142857145</v>
      </c>
      <c r="R52" s="42" t="e">
        <v>#DIV/0!</v>
      </c>
    </row>
    <row r="53" spans="1:18" s="42" customFormat="1" x14ac:dyDescent="0.35"/>
    <row r="54" spans="1:18" s="42" customFormat="1" x14ac:dyDescent="0.35">
      <c r="A54" s="43" t="s">
        <v>16</v>
      </c>
    </row>
    <row r="55" spans="1:18" s="42" customFormat="1" x14ac:dyDescent="0.35">
      <c r="A55" s="42" t="s">
        <v>38</v>
      </c>
      <c r="B55" s="42">
        <v>0.28888888888888886</v>
      </c>
      <c r="C55" s="42">
        <v>0.33774834437086093</v>
      </c>
      <c r="D55" s="42">
        <v>0.34358974358974359</v>
      </c>
      <c r="E55" s="42">
        <v>0.2857142857142857</v>
      </c>
      <c r="F55" s="42">
        <v>0.38461538461538464</v>
      </c>
      <c r="G55" s="42">
        <v>0.42248062015503873</v>
      </c>
      <c r="H55" s="42">
        <v>0.39793814432989688</v>
      </c>
      <c r="I55" s="42">
        <v>0.33663366336633666</v>
      </c>
      <c r="J55" s="42">
        <v>0.35033557046979868</v>
      </c>
      <c r="K55" s="42">
        <v>0.36567164179104478</v>
      </c>
      <c r="L55" s="42">
        <v>0.36052921719955899</v>
      </c>
      <c r="M55" s="42">
        <v>0.38954635108481261</v>
      </c>
      <c r="N55" s="42">
        <v>0.41401734104046245</v>
      </c>
      <c r="O55" s="42">
        <v>0.38703870387038702</v>
      </c>
      <c r="P55" s="42">
        <v>0.39254062038404725</v>
      </c>
      <c r="Q55" s="42">
        <v>0.38428774254614295</v>
      </c>
      <c r="R55" s="42">
        <v>0.125</v>
      </c>
    </row>
    <row r="56" spans="1:18" s="42" customFormat="1" x14ac:dyDescent="0.35">
      <c r="F56" s="42">
        <v>0</v>
      </c>
      <c r="G56" s="42">
        <v>0.66666666666666663</v>
      </c>
      <c r="H56" s="42">
        <v>1</v>
      </c>
      <c r="I56" s="42">
        <v>0.4</v>
      </c>
      <c r="J56" s="42">
        <v>0.6</v>
      </c>
      <c r="K56" s="42">
        <v>0.66666666666666663</v>
      </c>
      <c r="L56" s="42">
        <v>0.5</v>
      </c>
      <c r="M56" s="42">
        <v>0.64</v>
      </c>
      <c r="N56" s="42">
        <v>0.58536585365853655</v>
      </c>
      <c r="O56" s="42">
        <v>0.40384615384615385</v>
      </c>
      <c r="P56" s="42">
        <v>0.43137254901960786</v>
      </c>
      <c r="Q56" s="42">
        <v>0.46808510638297873</v>
      </c>
      <c r="R56" s="42" t="e">
        <v>#DIV/0!</v>
      </c>
    </row>
    <row r="57" spans="1:18" s="42" customFormat="1" x14ac:dyDescent="0.35">
      <c r="A57" s="42" t="s">
        <v>39</v>
      </c>
      <c r="B57" s="42">
        <v>0.44444444444444442</v>
      </c>
      <c r="C57" s="42">
        <v>0.31125827814569534</v>
      </c>
      <c r="D57" s="42">
        <v>0.23076923076923078</v>
      </c>
      <c r="E57" s="42">
        <v>0.25714285714285712</v>
      </c>
      <c r="F57" s="42">
        <v>0.30769230769230771</v>
      </c>
      <c r="G57" s="42">
        <v>0.23255813953488372</v>
      </c>
      <c r="H57" s="42">
        <v>0.22680412371134021</v>
      </c>
      <c r="I57" s="42">
        <v>0.25412541254125415</v>
      </c>
      <c r="J57" s="42">
        <v>0.24697986577181208</v>
      </c>
      <c r="K57" s="42">
        <v>0.29477611940298509</v>
      </c>
      <c r="L57" s="42">
        <v>0.28665931642778392</v>
      </c>
      <c r="M57" s="42">
        <v>0.31262327416173569</v>
      </c>
      <c r="N57" s="42">
        <v>0.2947976878612717</v>
      </c>
      <c r="O57" s="42">
        <v>0.28937893789378938</v>
      </c>
      <c r="P57" s="42">
        <v>0.29726735598227472</v>
      </c>
      <c r="Q57" s="42">
        <v>0.30004732607666823</v>
      </c>
      <c r="R57" s="42">
        <v>0.625</v>
      </c>
    </row>
    <row r="58" spans="1:18" s="42" customFormat="1" x14ac:dyDescent="0.35">
      <c r="F58" s="42">
        <v>0</v>
      </c>
      <c r="G58" s="42">
        <v>0</v>
      </c>
      <c r="H58" s="42">
        <v>0</v>
      </c>
      <c r="I58" s="42">
        <v>0.2</v>
      </c>
      <c r="J58" s="42">
        <v>0</v>
      </c>
      <c r="K58" s="42">
        <v>0.33333333333333331</v>
      </c>
      <c r="L58" s="42">
        <v>0.33333333333333331</v>
      </c>
      <c r="M58" s="42">
        <v>0.32</v>
      </c>
      <c r="N58" s="42">
        <v>0.26829268292682928</v>
      </c>
      <c r="O58" s="42">
        <v>0.36538461538461536</v>
      </c>
      <c r="P58" s="42">
        <v>0.31372549019607843</v>
      </c>
      <c r="Q58" s="42">
        <v>0.34042553191489361</v>
      </c>
      <c r="R58" s="42" t="e">
        <v>#DIV/0!</v>
      </c>
    </row>
    <row r="59" spans="1:18" s="42" customFormat="1" x14ac:dyDescent="0.35">
      <c r="A59" s="42" t="s">
        <v>36</v>
      </c>
      <c r="B59" s="42">
        <v>0.26666666666666666</v>
      </c>
      <c r="C59" s="42">
        <v>0.35099337748344372</v>
      </c>
      <c r="D59" s="42">
        <v>0.42564102564102563</v>
      </c>
      <c r="E59" s="42">
        <v>0.45714285714285713</v>
      </c>
      <c r="F59" s="42">
        <v>0.30769230769230771</v>
      </c>
      <c r="G59" s="42">
        <v>0.34496124031007752</v>
      </c>
      <c r="H59" s="42">
        <v>0.37525773195876289</v>
      </c>
      <c r="I59" s="42">
        <v>0.40924092409240925</v>
      </c>
      <c r="J59" s="42">
        <v>0.40268456375838924</v>
      </c>
      <c r="K59" s="42">
        <v>0.33955223880597013</v>
      </c>
      <c r="L59" s="42">
        <v>0.35281146637265709</v>
      </c>
      <c r="M59" s="42">
        <v>0.2978303747534517</v>
      </c>
      <c r="N59" s="42">
        <v>0.29118497109826591</v>
      </c>
      <c r="O59" s="42">
        <v>0.3235823582358236</v>
      </c>
      <c r="P59" s="42">
        <v>0.31019202363367798</v>
      </c>
      <c r="Q59" s="42">
        <v>0.31566493137718882</v>
      </c>
      <c r="R59" s="42">
        <v>0.25</v>
      </c>
    </row>
    <row r="60" spans="1:18" s="42" customFormat="1" x14ac:dyDescent="0.35">
      <c r="F60" s="42">
        <v>1</v>
      </c>
      <c r="G60" s="42">
        <v>0.33333333333333331</v>
      </c>
      <c r="H60" s="42">
        <v>0</v>
      </c>
      <c r="I60" s="42">
        <v>0.4</v>
      </c>
      <c r="J60" s="42">
        <v>0.4</v>
      </c>
      <c r="K60" s="42">
        <v>0</v>
      </c>
      <c r="L60" s="42">
        <v>0.16666666666666666</v>
      </c>
      <c r="M60" s="42">
        <v>0.04</v>
      </c>
      <c r="N60" s="42">
        <v>0.14634146341463414</v>
      </c>
      <c r="O60" s="42">
        <v>0.23076923076923078</v>
      </c>
      <c r="P60" s="42">
        <v>0.25490196078431371</v>
      </c>
      <c r="Q60" s="42">
        <v>0.19148936170212766</v>
      </c>
      <c r="R60" s="42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Pneu_model</vt:lpstr>
      <vt:lpstr>Bacteremia_model</vt:lpstr>
      <vt:lpstr>UTI_model</vt:lpstr>
      <vt:lpstr>cIAI_model</vt:lpstr>
      <vt:lpstr>Sources</vt:lpstr>
      <vt:lpstr>Mortality</vt:lpstr>
      <vt:lpstr>LOS</vt:lpstr>
      <vt:lpstr>Resistance (CDDEP + Merck)</vt:lpstr>
      <vt:lpstr>R freq. (CDDEP + Merck)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cp:lastPrinted>2017-11-03T19:19:21Z</cp:lastPrinted>
  <dcterms:created xsi:type="dcterms:W3CDTF">2017-11-03T18:06:14Z</dcterms:created>
  <dcterms:modified xsi:type="dcterms:W3CDTF">2018-05-08T05:00:07Z</dcterms:modified>
</cp:coreProperties>
</file>