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84" windowWidth="21120" windowHeight="9876" activeTab="3"/>
  </bookViews>
  <sheets>
    <sheet name="Combined" sheetId="1" r:id="rId1"/>
    <sheet name="Enlisted by Grade" sheetId="2" r:id="rId2"/>
    <sheet name="Officer by Grade" sheetId="3" r:id="rId3"/>
    <sheet name="E4 Total Pay" sheetId="4" r:id="rId4"/>
    <sheet name="O3 Total Pay" sheetId="5" r:id="rId5"/>
    <sheet name="Sheet7" sheetId="7" r:id="rId6"/>
  </sheets>
  <calcPr calcId="125725"/>
</workbook>
</file>

<file path=xl/calcChain.xml><?xml version="1.0" encoding="utf-8"?>
<calcChain xmlns="http://schemas.openxmlformats.org/spreadsheetml/2006/main">
  <c r="G3" i="7"/>
  <c r="G2"/>
  <c r="G5"/>
  <c r="G4"/>
  <c r="F4"/>
  <c r="F5"/>
  <c r="C5"/>
  <c r="C4"/>
  <c r="F3"/>
  <c r="F2"/>
  <c r="E3"/>
  <c r="D3"/>
  <c r="C3"/>
  <c r="C2"/>
  <c r="E2"/>
  <c r="D2"/>
  <c r="X6" i="1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"/>
  <c r="I51" i="5"/>
  <c r="I51" i="4"/>
  <c r="C54" i="1"/>
  <c r="D54"/>
  <c r="M54" s="1"/>
  <c r="E54"/>
  <c r="F54"/>
  <c r="G54"/>
  <c r="F13" i="2"/>
  <c r="Q6" i="1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Q33" s="1"/>
  <c r="Q34" s="1"/>
  <c r="Q35" s="1"/>
  <c r="Q36" s="1"/>
  <c r="Q37" s="1"/>
  <c r="Q38" s="1"/>
  <c r="Q39" s="1"/>
  <c r="Q40" s="1"/>
  <c r="Q41" s="1"/>
  <c r="Q42" s="1"/>
  <c r="Q43" s="1"/>
  <c r="Q44" s="1"/>
  <c r="Q45" s="1"/>
  <c r="Q46" s="1"/>
  <c r="Q47" s="1"/>
  <c r="Q48" s="1"/>
  <c r="Q49" s="1"/>
  <c r="Q50" s="1"/>
  <c r="Q51" s="1"/>
  <c r="Q52" s="1"/>
  <c r="Q53" s="1"/>
  <c r="Q54" s="1"/>
  <c r="G11" i="2"/>
  <c r="G18" i="3"/>
  <c r="C5" i="1"/>
  <c r="C6"/>
  <c r="C7"/>
  <c r="C8"/>
  <c r="C9"/>
  <c r="C10"/>
  <c r="C11"/>
  <c r="C12"/>
  <c r="C13"/>
  <c r="C14"/>
  <c r="C15"/>
  <c r="D5"/>
  <c r="D6"/>
  <c r="D7"/>
  <c r="D8"/>
  <c r="D9"/>
  <c r="D10"/>
  <c r="D11"/>
  <c r="D12"/>
  <c r="D13"/>
  <c r="D14"/>
  <c r="D15"/>
  <c r="F5"/>
  <c r="F6"/>
  <c r="F7"/>
  <c r="F8"/>
  <c r="F9"/>
  <c r="F10"/>
  <c r="F11"/>
  <c r="F12"/>
  <c r="F13"/>
  <c r="F14"/>
  <c r="F15"/>
  <c r="E5"/>
  <c r="E6"/>
  <c r="E7"/>
  <c r="E8"/>
  <c r="E9"/>
  <c r="E10"/>
  <c r="E11"/>
  <c r="E12"/>
  <c r="E13"/>
  <c r="E14"/>
  <c r="E15"/>
  <c r="C12" i="5"/>
  <c r="C12" i="4"/>
  <c r="I12" i="5"/>
  <c r="J12"/>
  <c r="K12"/>
  <c r="I13"/>
  <c r="J13"/>
  <c r="K13"/>
  <c r="L13"/>
  <c r="H12"/>
  <c r="H13"/>
  <c r="H13" i="4"/>
  <c r="H14"/>
  <c r="L12"/>
  <c r="L13"/>
  <c r="L14"/>
  <c r="L15"/>
  <c r="K12"/>
  <c r="K13"/>
  <c r="K14"/>
  <c r="K15"/>
  <c r="J12"/>
  <c r="J13"/>
  <c r="J14"/>
  <c r="G6" i="1"/>
  <c r="P6" s="1"/>
  <c r="P7" s="1"/>
  <c r="G7"/>
  <c r="G8"/>
  <c r="G9"/>
  <c r="G10"/>
  <c r="G11"/>
  <c r="G12"/>
  <c r="G13"/>
  <c r="G14"/>
  <c r="G15"/>
  <c r="G16"/>
  <c r="G3" i="3"/>
  <c r="G4"/>
  <c r="G5"/>
  <c r="G6"/>
  <c r="G7"/>
  <c r="G8"/>
  <c r="G9"/>
  <c r="G10"/>
  <c r="G11"/>
  <c r="G12"/>
  <c r="G13"/>
  <c r="G14"/>
  <c r="G15"/>
  <c r="G16"/>
  <c r="G17"/>
  <c r="G2"/>
  <c r="G3" i="2"/>
  <c r="G4"/>
  <c r="G5"/>
  <c r="G6"/>
  <c r="G7"/>
  <c r="G8"/>
  <c r="G9"/>
  <c r="G10"/>
  <c r="G2"/>
  <c r="K51" i="5"/>
  <c r="J51"/>
  <c r="H51"/>
  <c r="C51"/>
  <c r="K50"/>
  <c r="J50"/>
  <c r="I50"/>
  <c r="H50"/>
  <c r="C50"/>
  <c r="K49"/>
  <c r="J49"/>
  <c r="I49"/>
  <c r="H49"/>
  <c r="C49"/>
  <c r="K48"/>
  <c r="J48"/>
  <c r="I48"/>
  <c r="H48"/>
  <c r="C48"/>
  <c r="E51" i="1" s="1"/>
  <c r="K47" i="5"/>
  <c r="J47"/>
  <c r="I47"/>
  <c r="C47"/>
  <c r="E50" i="1" s="1"/>
  <c r="K46" i="5"/>
  <c r="J46"/>
  <c r="I46"/>
  <c r="K45"/>
  <c r="J45"/>
  <c r="I45"/>
  <c r="D45" s="1"/>
  <c r="K44"/>
  <c r="J44"/>
  <c r="I44"/>
  <c r="H44"/>
  <c r="C44"/>
  <c r="L44" s="1"/>
  <c r="F47" i="1" s="1"/>
  <c r="L43" i="5"/>
  <c r="F46" i="1" s="1"/>
  <c r="K43" i="5"/>
  <c r="J43"/>
  <c r="I43"/>
  <c r="H43"/>
  <c r="C43"/>
  <c r="K42"/>
  <c r="J42"/>
  <c r="I42"/>
  <c r="H42"/>
  <c r="C42"/>
  <c r="K41"/>
  <c r="J41"/>
  <c r="I41"/>
  <c r="H41"/>
  <c r="C41"/>
  <c r="L41" s="1"/>
  <c r="F44" i="1" s="1"/>
  <c r="K40" i="5"/>
  <c r="J40"/>
  <c r="I40"/>
  <c r="H40"/>
  <c r="C40"/>
  <c r="K39"/>
  <c r="J39"/>
  <c r="I39"/>
  <c r="H39"/>
  <c r="C39"/>
  <c r="L39" s="1"/>
  <c r="F42" i="1" s="1"/>
  <c r="K38" i="5"/>
  <c r="J38"/>
  <c r="I38"/>
  <c r="H38"/>
  <c r="C38"/>
  <c r="L38" s="1"/>
  <c r="F41" i="1" s="1"/>
  <c r="K37" i="5"/>
  <c r="J37"/>
  <c r="I37"/>
  <c r="H37"/>
  <c r="C37"/>
  <c r="L37" s="1"/>
  <c r="F40" i="1" s="1"/>
  <c r="K36" i="5"/>
  <c r="J36"/>
  <c r="I36"/>
  <c r="H36"/>
  <c r="C36"/>
  <c r="K35"/>
  <c r="J35"/>
  <c r="I35"/>
  <c r="H35"/>
  <c r="C35"/>
  <c r="L35" s="1"/>
  <c r="F38" i="1" s="1"/>
  <c r="K34" i="5"/>
  <c r="J34"/>
  <c r="I34"/>
  <c r="H34"/>
  <c r="C34"/>
  <c r="K33"/>
  <c r="J33"/>
  <c r="I33"/>
  <c r="H33"/>
  <c r="C33"/>
  <c r="K32"/>
  <c r="J32"/>
  <c r="I32"/>
  <c r="H32"/>
  <c r="C32"/>
  <c r="K31"/>
  <c r="J31"/>
  <c r="I31"/>
  <c r="H31"/>
  <c r="C31"/>
  <c r="L31" s="1"/>
  <c r="F34" i="1" s="1"/>
  <c r="K30" i="5"/>
  <c r="J30"/>
  <c r="I30"/>
  <c r="H30"/>
  <c r="C30"/>
  <c r="L30" s="1"/>
  <c r="F33" i="1" s="1"/>
  <c r="K29" i="5"/>
  <c r="J29"/>
  <c r="I29"/>
  <c r="H29"/>
  <c r="C29"/>
  <c r="K28"/>
  <c r="J28"/>
  <c r="I28"/>
  <c r="H28"/>
  <c r="C28"/>
  <c r="K27"/>
  <c r="J27"/>
  <c r="I27"/>
  <c r="H27"/>
  <c r="C27"/>
  <c r="L27" s="1"/>
  <c r="F30" i="1" s="1"/>
  <c r="K26" i="5"/>
  <c r="J26"/>
  <c r="I26"/>
  <c r="H26"/>
  <c r="C26"/>
  <c r="K25"/>
  <c r="J25"/>
  <c r="I25"/>
  <c r="H25"/>
  <c r="C25"/>
  <c r="K24"/>
  <c r="J24"/>
  <c r="I24"/>
  <c r="H24"/>
  <c r="C24"/>
  <c r="L24" s="1"/>
  <c r="F27" i="1" s="1"/>
  <c r="K23" i="5"/>
  <c r="J23"/>
  <c r="I23"/>
  <c r="H23"/>
  <c r="C23"/>
  <c r="L23" s="1"/>
  <c r="F26" i="1" s="1"/>
  <c r="K22" i="5"/>
  <c r="J22"/>
  <c r="I22"/>
  <c r="H22"/>
  <c r="C22"/>
  <c r="K21"/>
  <c r="J21"/>
  <c r="I21"/>
  <c r="H21"/>
  <c r="C21"/>
  <c r="L21" s="1"/>
  <c r="F24" i="1" s="1"/>
  <c r="K20" i="5"/>
  <c r="J20"/>
  <c r="I20"/>
  <c r="H20"/>
  <c r="C20"/>
  <c r="K19"/>
  <c r="J19"/>
  <c r="I19"/>
  <c r="H19"/>
  <c r="C19"/>
  <c r="L19" s="1"/>
  <c r="F22" i="1" s="1"/>
  <c r="K18" i="5"/>
  <c r="J18"/>
  <c r="I18"/>
  <c r="H18"/>
  <c r="C18"/>
  <c r="L18" s="1"/>
  <c r="F21" i="1" s="1"/>
  <c r="K17" i="5"/>
  <c r="J17"/>
  <c r="I17"/>
  <c r="H17"/>
  <c r="C17"/>
  <c r="K16"/>
  <c r="J16"/>
  <c r="I16"/>
  <c r="H16"/>
  <c r="C16"/>
  <c r="L16" s="1"/>
  <c r="F19" i="1" s="1"/>
  <c r="K15" i="5"/>
  <c r="J15"/>
  <c r="I15"/>
  <c r="H15"/>
  <c r="C15"/>
  <c r="K14"/>
  <c r="J14"/>
  <c r="I14"/>
  <c r="H14"/>
  <c r="C14"/>
  <c r="L15" s="1"/>
  <c r="F18" i="1" s="1"/>
  <c r="C13" i="5"/>
  <c r="K11"/>
  <c r="J11"/>
  <c r="I11"/>
  <c r="H11"/>
  <c r="C11"/>
  <c r="L12" s="1"/>
  <c r="K10"/>
  <c r="J10"/>
  <c r="I10"/>
  <c r="H10"/>
  <c r="C10"/>
  <c r="K9"/>
  <c r="J9"/>
  <c r="I9"/>
  <c r="H9"/>
  <c r="C9"/>
  <c r="K8"/>
  <c r="J8"/>
  <c r="I8"/>
  <c r="H8"/>
  <c r="C8"/>
  <c r="K7"/>
  <c r="J7"/>
  <c r="I7"/>
  <c r="H7"/>
  <c r="C7"/>
  <c r="K6"/>
  <c r="J6"/>
  <c r="I6"/>
  <c r="H6"/>
  <c r="C6"/>
  <c r="K5"/>
  <c r="J5"/>
  <c r="I5"/>
  <c r="H5"/>
  <c r="C5"/>
  <c r="K4"/>
  <c r="J4"/>
  <c r="I4"/>
  <c r="H4"/>
  <c r="C4"/>
  <c r="K3"/>
  <c r="J3"/>
  <c r="I3"/>
  <c r="H3"/>
  <c r="C3"/>
  <c r="I2"/>
  <c r="C2"/>
  <c r="E16" i="1"/>
  <c r="E17"/>
  <c r="E18"/>
  <c r="E20"/>
  <c r="E22"/>
  <c r="E25"/>
  <c r="E26"/>
  <c r="E28"/>
  <c r="E29"/>
  <c r="E30"/>
  <c r="E32"/>
  <c r="E33"/>
  <c r="E34"/>
  <c r="E36"/>
  <c r="E37"/>
  <c r="E38"/>
  <c r="E40"/>
  <c r="E41"/>
  <c r="E42"/>
  <c r="E44"/>
  <c r="E45"/>
  <c r="E46"/>
  <c r="I45" i="4"/>
  <c r="D45" s="1"/>
  <c r="H45" s="1"/>
  <c r="I46"/>
  <c r="I47"/>
  <c r="I48"/>
  <c r="I49"/>
  <c r="I50"/>
  <c r="C7"/>
  <c r="C8"/>
  <c r="C9"/>
  <c r="C10"/>
  <c r="C11"/>
  <c r="J7"/>
  <c r="J8"/>
  <c r="J9"/>
  <c r="J10"/>
  <c r="H19"/>
  <c r="I19"/>
  <c r="J19"/>
  <c r="K19"/>
  <c r="H20"/>
  <c r="I20"/>
  <c r="J20"/>
  <c r="K20"/>
  <c r="C19"/>
  <c r="C22" i="1" s="1"/>
  <c r="H4" i="4"/>
  <c r="H5"/>
  <c r="H6"/>
  <c r="H7"/>
  <c r="H8"/>
  <c r="H9"/>
  <c r="H10"/>
  <c r="H11"/>
  <c r="H12"/>
  <c r="H15"/>
  <c r="H16"/>
  <c r="H17"/>
  <c r="H18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J3"/>
  <c r="K3"/>
  <c r="J4"/>
  <c r="K4"/>
  <c r="J5"/>
  <c r="K5"/>
  <c r="J6"/>
  <c r="K6"/>
  <c r="K7"/>
  <c r="K8"/>
  <c r="K9"/>
  <c r="K10"/>
  <c r="J11"/>
  <c r="K11"/>
  <c r="J15"/>
  <c r="J16"/>
  <c r="K16"/>
  <c r="J17"/>
  <c r="K17"/>
  <c r="J18"/>
  <c r="K18"/>
  <c r="J21"/>
  <c r="K21"/>
  <c r="J22"/>
  <c r="K22"/>
  <c r="J23"/>
  <c r="K23"/>
  <c r="J24"/>
  <c r="K24"/>
  <c r="J25"/>
  <c r="K25"/>
  <c r="J26"/>
  <c r="K26"/>
  <c r="J27"/>
  <c r="K27"/>
  <c r="J28"/>
  <c r="K28"/>
  <c r="J29"/>
  <c r="K29"/>
  <c r="J30"/>
  <c r="K30"/>
  <c r="J31"/>
  <c r="K31"/>
  <c r="J32"/>
  <c r="K32"/>
  <c r="J33"/>
  <c r="K33"/>
  <c r="J34"/>
  <c r="K34"/>
  <c r="J35"/>
  <c r="K35"/>
  <c r="J36"/>
  <c r="K36"/>
  <c r="J37"/>
  <c r="K37"/>
  <c r="J38"/>
  <c r="K38"/>
  <c r="J39"/>
  <c r="K39"/>
  <c r="J40"/>
  <c r="K40"/>
  <c r="J41"/>
  <c r="K41"/>
  <c r="J42"/>
  <c r="K42"/>
  <c r="J43"/>
  <c r="K43"/>
  <c r="J44"/>
  <c r="K44"/>
  <c r="I2"/>
  <c r="C2"/>
  <c r="C3"/>
  <c r="C4"/>
  <c r="C5"/>
  <c r="C6"/>
  <c r="C13"/>
  <c r="C16" i="1" s="1"/>
  <c r="C14" i="4"/>
  <c r="C17" i="1" s="1"/>
  <c r="C15" i="4"/>
  <c r="C18" i="1" s="1"/>
  <c r="C16" i="4"/>
  <c r="C19" i="1" s="1"/>
  <c r="C17" i="4"/>
  <c r="C20" i="1" s="1"/>
  <c r="C18" i="4"/>
  <c r="C21" i="1" s="1"/>
  <c r="C20" i="4"/>
  <c r="L20" s="1"/>
  <c r="D23" i="1" s="1"/>
  <c r="C21" i="4"/>
  <c r="C24" i="1" s="1"/>
  <c r="C22" i="4"/>
  <c r="C25" i="1" s="1"/>
  <c r="C23" i="4"/>
  <c r="C26" i="1" s="1"/>
  <c r="C24" i="4"/>
  <c r="C27" i="1" s="1"/>
  <c r="C25" i="4"/>
  <c r="C28" i="1" s="1"/>
  <c r="C26" i="4"/>
  <c r="C29" i="1" s="1"/>
  <c r="C27" i="4"/>
  <c r="C30" i="1" s="1"/>
  <c r="C28" i="4"/>
  <c r="C31" i="1" s="1"/>
  <c r="C29" i="4"/>
  <c r="C32" i="1" s="1"/>
  <c r="C30" i="4"/>
  <c r="C33" i="1" s="1"/>
  <c r="C31" i="4"/>
  <c r="C34" i="1" s="1"/>
  <c r="C32" i="4"/>
  <c r="C35" i="1" s="1"/>
  <c r="C33" i="4"/>
  <c r="C36" i="1" s="1"/>
  <c r="C34" i="4"/>
  <c r="C37" i="1" s="1"/>
  <c r="C35" i="4"/>
  <c r="C38" i="1" s="1"/>
  <c r="C36" i="4"/>
  <c r="C39" i="1" s="1"/>
  <c r="C37" i="4"/>
  <c r="C40" i="1" s="1"/>
  <c r="C38" i="4"/>
  <c r="C41" i="1" s="1"/>
  <c r="C39" i="4"/>
  <c r="C42" i="1" s="1"/>
  <c r="C40" i="4"/>
  <c r="C43" i="1" s="1"/>
  <c r="C41" i="4"/>
  <c r="C44" i="1" s="1"/>
  <c r="C42" i="4"/>
  <c r="C45" i="1" s="1"/>
  <c r="I3" i="4"/>
  <c r="I4"/>
  <c r="I5"/>
  <c r="I6"/>
  <c r="I7"/>
  <c r="I8"/>
  <c r="I9"/>
  <c r="I10"/>
  <c r="I11"/>
  <c r="I12"/>
  <c r="I13"/>
  <c r="I14"/>
  <c r="I15"/>
  <c r="I16"/>
  <c r="I17"/>
  <c r="I18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J45"/>
  <c r="K45"/>
  <c r="J46"/>
  <c r="K46"/>
  <c r="J47"/>
  <c r="K47"/>
  <c r="J48"/>
  <c r="K48"/>
  <c r="J49"/>
  <c r="K49"/>
  <c r="J50"/>
  <c r="K50"/>
  <c r="J51"/>
  <c r="K51"/>
  <c r="H48"/>
  <c r="H49"/>
  <c r="H50"/>
  <c r="H51"/>
  <c r="C50"/>
  <c r="C53" i="1" s="1"/>
  <c r="C49" i="4"/>
  <c r="C48"/>
  <c r="C51" i="1" s="1"/>
  <c r="C47" i="4"/>
  <c r="C50" i="1" s="1"/>
  <c r="C51" i="4"/>
  <c r="G29" i="1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H56" s="1"/>
  <c r="G18"/>
  <c r="G19"/>
  <c r="G20"/>
  <c r="G21"/>
  <c r="G22"/>
  <c r="G23"/>
  <c r="G24"/>
  <c r="G25"/>
  <c r="G26"/>
  <c r="G27"/>
  <c r="G28"/>
  <c r="G17"/>
  <c r="Y6" l="1"/>
  <c r="Y7" s="1"/>
  <c r="Y5"/>
  <c r="M5"/>
  <c r="P8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P52" s="1"/>
  <c r="P53" s="1"/>
  <c r="P54" s="1"/>
  <c r="L7" i="5"/>
  <c r="L11"/>
  <c r="E21" i="1"/>
  <c r="L5" i="5"/>
  <c r="F16" i="1"/>
  <c r="L33" i="5"/>
  <c r="F36" i="1" s="1"/>
  <c r="L36" i="5"/>
  <c r="F39" i="1" s="1"/>
  <c r="L8" i="5"/>
  <c r="L42"/>
  <c r="F45" i="1" s="1"/>
  <c r="L49" i="5"/>
  <c r="F52" i="1" s="1"/>
  <c r="E24"/>
  <c r="L22" i="5"/>
  <c r="F25" i="1" s="1"/>
  <c r="L25" i="5"/>
  <c r="F28" i="1" s="1"/>
  <c r="L28" i="5"/>
  <c r="F31" i="1" s="1"/>
  <c r="L48" i="5"/>
  <c r="F51" i="1" s="1"/>
  <c r="L51" i="5"/>
  <c r="L34"/>
  <c r="F37" i="1" s="1"/>
  <c r="L40" i="5"/>
  <c r="F43" i="1" s="1"/>
  <c r="L9" i="5"/>
  <c r="L17"/>
  <c r="F20" i="1" s="1"/>
  <c r="L20" i="5"/>
  <c r="F23" i="1" s="1"/>
  <c r="M23" s="1"/>
  <c r="L50" i="5"/>
  <c r="F53" i="1" s="1"/>
  <c r="L26" i="5"/>
  <c r="F29" i="1" s="1"/>
  <c r="L29" i="5"/>
  <c r="F32" i="1" s="1"/>
  <c r="L32" i="5"/>
  <c r="F35" i="1" s="1"/>
  <c r="L49" i="4"/>
  <c r="D52" i="1" s="1"/>
  <c r="C23"/>
  <c r="D46" i="5"/>
  <c r="H46" s="1"/>
  <c r="C45"/>
  <c r="E43" i="1"/>
  <c r="E39"/>
  <c r="E35"/>
  <c r="E31"/>
  <c r="E27"/>
  <c r="E23"/>
  <c r="E19"/>
  <c r="E47"/>
  <c r="L6" i="5"/>
  <c r="L10"/>
  <c r="L14"/>
  <c r="F17" i="1" s="1"/>
  <c r="H45" i="5"/>
  <c r="L3"/>
  <c r="L4"/>
  <c r="E52" i="1"/>
  <c r="C52"/>
  <c r="D18"/>
  <c r="M18" s="1"/>
  <c r="L42" i="4"/>
  <c r="D45" i="1" s="1"/>
  <c r="L41" i="4"/>
  <c r="D44" i="1" s="1"/>
  <c r="M44" s="1"/>
  <c r="L40" i="4"/>
  <c r="D43" i="1" s="1"/>
  <c r="L39" i="4"/>
  <c r="D42" i="1" s="1"/>
  <c r="M42" s="1"/>
  <c r="L38" i="4"/>
  <c r="D41" i="1" s="1"/>
  <c r="M41" s="1"/>
  <c r="L36" i="4"/>
  <c r="D39" i="1" s="1"/>
  <c r="L37" i="4"/>
  <c r="D40" i="1" s="1"/>
  <c r="M40" s="1"/>
  <c r="L35" i="4"/>
  <c r="D38" i="1" s="1"/>
  <c r="M38" s="1"/>
  <c r="L34" i="4"/>
  <c r="D37" i="1" s="1"/>
  <c r="L33" i="4"/>
  <c r="D36" i="1" s="1"/>
  <c r="L4" i="4"/>
  <c r="L6"/>
  <c r="L3"/>
  <c r="L19"/>
  <c r="D22" i="1" s="1"/>
  <c r="M22" s="1"/>
  <c r="D17"/>
  <c r="L32" i="4"/>
  <c r="D35" i="1" s="1"/>
  <c r="L31" i="4"/>
  <c r="D34" i="1" s="1"/>
  <c r="M34" s="1"/>
  <c r="L30" i="4"/>
  <c r="D33" i="1" s="1"/>
  <c r="M33" s="1"/>
  <c r="L28" i="4"/>
  <c r="D31" i="1" s="1"/>
  <c r="L29" i="4"/>
  <c r="D32" i="1" s="1"/>
  <c r="L27" i="4"/>
  <c r="D30" i="1" s="1"/>
  <c r="M30" s="1"/>
  <c r="L26" i="4"/>
  <c r="D29" i="1" s="1"/>
  <c r="L25" i="4"/>
  <c r="D28" i="1" s="1"/>
  <c r="L24" i="4"/>
  <c r="D27" i="1" s="1"/>
  <c r="M27" s="1"/>
  <c r="L23" i="4"/>
  <c r="D26" i="1" s="1"/>
  <c r="M26" s="1"/>
  <c r="L22" i="4"/>
  <c r="D25" i="1" s="1"/>
  <c r="L21" i="4"/>
  <c r="D24" i="1" s="1"/>
  <c r="M24" s="1"/>
  <c r="L7" i="4"/>
  <c r="L18"/>
  <c r="D21" i="1" s="1"/>
  <c r="M21" s="1"/>
  <c r="L17" i="4"/>
  <c r="D20" i="1" s="1"/>
  <c r="M20" s="1"/>
  <c r="L16" i="4"/>
  <c r="D19" i="1" s="1"/>
  <c r="M19" s="1"/>
  <c r="D16"/>
  <c r="L11" i="4"/>
  <c r="L10"/>
  <c r="L9"/>
  <c r="L8"/>
  <c r="L5"/>
  <c r="C44"/>
  <c r="C47" i="1" s="1"/>
  <c r="C45" i="4"/>
  <c r="C48" i="1" s="1"/>
  <c r="D46" i="4"/>
  <c r="H46" s="1"/>
  <c r="L50"/>
  <c r="D53" i="1" s="1"/>
  <c r="L51" i="4"/>
  <c r="E53" i="1"/>
  <c r="L48" i="4"/>
  <c r="D51" i="1" s="1"/>
  <c r="M25" l="1"/>
  <c r="M31"/>
  <c r="M16"/>
  <c r="M53"/>
  <c r="M36"/>
  <c r="M35"/>
  <c r="M45"/>
  <c r="M51"/>
  <c r="M39"/>
  <c r="M28"/>
  <c r="M7"/>
  <c r="M14"/>
  <c r="M12"/>
  <c r="M10"/>
  <c r="M11"/>
  <c r="M8"/>
  <c r="M15"/>
  <c r="M6"/>
  <c r="M29"/>
  <c r="M52"/>
  <c r="M13"/>
  <c r="M43"/>
  <c r="M32"/>
  <c r="M9"/>
  <c r="M37"/>
  <c r="M17"/>
  <c r="L45" i="5"/>
  <c r="F48" i="1" s="1"/>
  <c r="E48"/>
  <c r="H47" i="5"/>
  <c r="C46"/>
  <c r="L47" s="1"/>
  <c r="F50" i="1" s="1"/>
  <c r="L45" i="4"/>
  <c r="D48" i="1" s="1"/>
  <c r="C46" i="4"/>
  <c r="L46" s="1"/>
  <c r="D49" i="1" s="1"/>
  <c r="H47" i="4"/>
  <c r="O6" i="1" l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M48"/>
  <c r="L46" i="5"/>
  <c r="F49" i="1" s="1"/>
  <c r="M49" s="1"/>
  <c r="E49"/>
  <c r="L47" i="4"/>
  <c r="D50" i="1" s="1"/>
  <c r="M50" s="1"/>
  <c r="C49"/>
  <c r="H44" i="4" l="1"/>
  <c r="H43"/>
  <c r="C43"/>
  <c r="L44" l="1"/>
  <c r="D47" i="1" s="1"/>
  <c r="M47" s="1"/>
  <c r="C46"/>
  <c r="L43" i="4"/>
  <c r="D46" i="1" s="1"/>
  <c r="M46" s="1"/>
  <c r="O46" l="1"/>
  <c r="O47" s="1"/>
  <c r="O48" s="1"/>
  <c r="O49" s="1"/>
  <c r="O50" s="1"/>
  <c r="O51" s="1"/>
  <c r="O52" s="1"/>
  <c r="O53" s="1"/>
  <c r="O54" s="1"/>
</calcChain>
</file>

<file path=xl/sharedStrings.xml><?xml version="1.0" encoding="utf-8"?>
<sst xmlns="http://schemas.openxmlformats.org/spreadsheetml/2006/main" count="303" uniqueCount="92">
  <si>
    <t>year</t>
  </si>
  <si>
    <t>inflation</t>
  </si>
  <si>
    <t>president</t>
  </si>
  <si>
    <t>President Nixon</t>
  </si>
  <si>
    <t>President Ford</t>
  </si>
  <si>
    <t>President Carter</t>
  </si>
  <si>
    <t>President Reagan</t>
  </si>
  <si>
    <t>President H.W. Bush</t>
  </si>
  <si>
    <t>President Clinton</t>
  </si>
  <si>
    <t>President G.W. Bush</t>
  </si>
  <si>
    <t>President Obama</t>
  </si>
  <si>
    <t>President Trump</t>
  </si>
  <si>
    <t>President Biden</t>
  </si>
  <si>
    <t>E4</t>
  </si>
  <si>
    <t>Pay Grade</t>
  </si>
  <si>
    <t>Total</t>
  </si>
  <si>
    <t>Army</t>
  </si>
  <si>
    <t>Navy</t>
  </si>
  <si>
    <t>Marine Corps</t>
  </si>
  <si>
    <t>Air Force/Space Force</t>
  </si>
  <si>
    <t>E-9</t>
  </si>
  <si>
    <t>E-7</t>
  </si>
  <si>
    <t>E-5</t>
  </si>
  <si>
    <t>E-3</t>
  </si>
  <si>
    <t>E-1</t>
  </si>
  <si>
    <t>E-8</t>
  </si>
  <si>
    <t>E-4</t>
  </si>
  <si>
    <t>E-2</t>
  </si>
  <si>
    <t>E-6</t>
  </si>
  <si>
    <t>civ_pay_change</t>
  </si>
  <si>
    <t>mil_pay_change</t>
  </si>
  <si>
    <t>O-10</t>
  </si>
  <si>
    <t>W-5</t>
  </si>
  <si>
    <t>W-4</t>
  </si>
  <si>
    <t>W-3</t>
  </si>
  <si>
    <t>W-2</t>
  </si>
  <si>
    <t>W-1</t>
  </si>
  <si>
    <t>Unknown</t>
  </si>
  <si>
    <t>Year</t>
  </si>
  <si>
    <t>Rank</t>
  </si>
  <si>
    <t>bah</t>
  </si>
  <si>
    <t>bas</t>
  </si>
  <si>
    <t>O3</t>
  </si>
  <si>
    <t>bah change</t>
  </si>
  <si>
    <t>bas change</t>
  </si>
  <si>
    <t>change in total in pay</t>
  </si>
  <si>
    <t>basic low change</t>
  </si>
  <si>
    <t>basic high change</t>
  </si>
  <si>
    <t>AVG total pay</t>
  </si>
  <si>
    <t>basic lowest</t>
  </si>
  <si>
    <t>basic highest</t>
  </si>
  <si>
    <t>E4_actual_change</t>
  </si>
  <si>
    <t>O3_actual_change</t>
  </si>
  <si>
    <t>mil_actual_change</t>
  </si>
  <si>
    <t>percent in military</t>
  </si>
  <si>
    <t>Republican</t>
  </si>
  <si>
    <t>Democrat</t>
  </si>
  <si>
    <t>Political Party</t>
  </si>
  <si>
    <t>mil_change_OT</t>
  </si>
  <si>
    <t>civ_change_OT</t>
  </si>
  <si>
    <t>inflation_change_OT</t>
  </si>
  <si>
    <t>CIV PAY adjusted</t>
  </si>
  <si>
    <t>civ_pay_not_adjusted</t>
  </si>
  <si>
    <t>E4 Basic Pay</t>
  </si>
  <si>
    <t>Total Pay</t>
  </si>
  <si>
    <t>E4 BAH</t>
  </si>
  <si>
    <t>E4 BAS</t>
  </si>
  <si>
    <t>AVG Rent(3 bedroom)</t>
  </si>
  <si>
    <t xml:space="preserve">*Chapel Hill, NC was closest to median BAH </t>
  </si>
  <si>
    <t>Civilian(High School)</t>
  </si>
  <si>
    <t>Civilian(College</t>
  </si>
  <si>
    <t>Take Home Pay</t>
  </si>
  <si>
    <t>O-1</t>
  </si>
  <si>
    <t>O-2</t>
  </si>
  <si>
    <t>O-3</t>
  </si>
  <si>
    <t>O-4</t>
  </si>
  <si>
    <t>O-5</t>
  </si>
  <si>
    <t>O-6</t>
  </si>
  <si>
    <t>O-7</t>
  </si>
  <si>
    <t>O-8</t>
  </si>
  <si>
    <t>O-9</t>
  </si>
  <si>
    <t>mil_O3_with_dependents</t>
  </si>
  <si>
    <t>mil_E4_with_dependents</t>
  </si>
  <si>
    <t>poverty_level_3_dependents</t>
  </si>
  <si>
    <t>mil_personnel</t>
  </si>
  <si>
    <t>civ_high_school</t>
  </si>
  <si>
    <t>civ_bachelors</t>
  </si>
  <si>
    <t>lower_class</t>
  </si>
  <si>
    <t>middle_class</t>
  </si>
  <si>
    <t>upper_class</t>
  </si>
  <si>
    <t>pay_less_inflation</t>
  </si>
  <si>
    <t>pay_less_inflation_%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</si>
</sst>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0.000%"/>
    <numFmt numFmtId="181" formatCode="0.0%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1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AAC1D9"/>
      </left>
      <right style="thin">
        <color rgb="FFAAC1D9"/>
      </right>
      <top style="thin">
        <color rgb="FFAAC1D9"/>
      </top>
      <bottom style="thin">
        <color rgb="FFAAC1D9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4" fillId="0" borderId="0" xfId="0" applyNumberFormat="1" applyFont="1" applyFill="1" applyBorder="1" applyAlignment="1" applyProtection="1"/>
    <xf numFmtId="10" fontId="4" fillId="0" borderId="0" xfId="3" applyNumberFormat="1" applyFont="1" applyFill="1" applyBorder="1" applyAlignment="1" applyProtection="1"/>
    <xf numFmtId="10" fontId="0" fillId="0" borderId="0" xfId="3" applyNumberFormat="1" applyFont="1"/>
    <xf numFmtId="44" fontId="0" fillId="0" borderId="0" xfId="2" applyFont="1"/>
    <xf numFmtId="3" fontId="0" fillId="0" borderId="0" xfId="0" applyNumberFormat="1"/>
    <xf numFmtId="0" fontId="3" fillId="0" borderId="0" xfId="0" applyFont="1"/>
    <xf numFmtId="3" fontId="3" fillId="0" borderId="0" xfId="0" applyNumberFormat="1" applyFont="1"/>
    <xf numFmtId="3" fontId="5" fillId="0" borderId="1" xfId="0" applyNumberFormat="1" applyFont="1" applyBorder="1" applyAlignment="1">
      <alignment horizontal="right"/>
    </xf>
    <xf numFmtId="44" fontId="1" fillId="0" borderId="0" xfId="2" applyFont="1"/>
    <xf numFmtId="0" fontId="0" fillId="0" borderId="0" xfId="0" applyNumberFormat="1"/>
    <xf numFmtId="0" fontId="2" fillId="0" borderId="0" xfId="0" applyFont="1"/>
    <xf numFmtId="10" fontId="7" fillId="0" borderId="0" xfId="3" applyNumberFormat="1" applyFont="1" applyFill="1" applyBorder="1" applyAlignment="1" applyProtection="1"/>
    <xf numFmtId="44" fontId="3" fillId="0" borderId="0" xfId="2" applyFont="1"/>
    <xf numFmtId="0" fontId="7" fillId="0" borderId="0" xfId="0" applyNumberFormat="1" applyFont="1" applyFill="1" applyBorder="1" applyAlignment="1" applyProtection="1"/>
    <xf numFmtId="0" fontId="3" fillId="0" borderId="0" xfId="0" applyFont="1" applyBorder="1"/>
    <xf numFmtId="0" fontId="0" fillId="0" borderId="0" xfId="0" applyFont="1"/>
    <xf numFmtId="164" fontId="0" fillId="0" borderId="0" xfId="0" applyNumberFormat="1" applyFont="1"/>
    <xf numFmtId="0" fontId="0" fillId="0" borderId="0" xfId="3" applyNumberFormat="1" applyFont="1"/>
    <xf numFmtId="10" fontId="1" fillId="0" borderId="0" xfId="3" applyNumberFormat="1" applyFont="1"/>
    <xf numFmtId="10" fontId="0" fillId="0" borderId="0" xfId="0" applyNumberFormat="1" applyFont="1"/>
    <xf numFmtId="166" fontId="0" fillId="0" borderId="0" xfId="3" applyNumberFormat="1" applyFont="1"/>
    <xf numFmtId="1" fontId="7" fillId="0" borderId="0" xfId="0" applyNumberFormat="1" applyFont="1" applyFill="1" applyBorder="1" applyAlignment="1" applyProtection="1"/>
    <xf numFmtId="0" fontId="0" fillId="0" borderId="0" xfId="0" applyFont="1" applyBorder="1"/>
    <xf numFmtId="44" fontId="1" fillId="0" borderId="0" xfId="2" applyFont="1" applyProtection="1"/>
    <xf numFmtId="10" fontId="1" fillId="0" borderId="0" xfId="2" applyNumberFormat="1" applyFont="1" applyProtection="1"/>
    <xf numFmtId="165" fontId="1" fillId="0" borderId="0" xfId="2" applyNumberFormat="1" applyFont="1" applyBorder="1" applyAlignment="1">
      <alignment horizontal="right"/>
    </xf>
    <xf numFmtId="1" fontId="0" fillId="0" borderId="0" xfId="0" applyNumberFormat="1" applyFont="1"/>
    <xf numFmtId="165" fontId="1" fillId="0" borderId="0" xfId="2" applyNumberFormat="1" applyFont="1" applyBorder="1"/>
    <xf numFmtId="165" fontId="6" fillId="0" borderId="0" xfId="2" applyNumberFormat="1" applyFont="1" applyBorder="1"/>
    <xf numFmtId="165" fontId="1" fillId="0" borderId="0" xfId="2" applyNumberFormat="1" applyFont="1" applyFill="1" applyBorder="1"/>
    <xf numFmtId="44" fontId="0" fillId="0" borderId="0" xfId="0" applyNumberFormat="1" applyFont="1"/>
    <xf numFmtId="165" fontId="1" fillId="0" borderId="0" xfId="2" applyNumberFormat="1" applyFont="1" applyBorder="1" applyAlignment="1">
      <alignment wrapText="1"/>
    </xf>
    <xf numFmtId="9" fontId="1" fillId="0" borderId="0" xfId="3" applyFont="1"/>
    <xf numFmtId="164" fontId="1" fillId="0" borderId="0" xfId="3" applyNumberFormat="1" applyFont="1"/>
    <xf numFmtId="3" fontId="5" fillId="0" borderId="0" xfId="0" applyNumberFormat="1" applyFont="1" applyAlignment="1">
      <alignment horizontal="right"/>
    </xf>
    <xf numFmtId="43" fontId="3" fillId="0" borderId="0" xfId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44" fontId="0" fillId="0" borderId="0" xfId="2" applyFont="1" applyFill="1" applyBorder="1"/>
    <xf numFmtId="3" fontId="0" fillId="0" borderId="1" xfId="0" applyNumberFormat="1" applyFont="1" applyBorder="1" applyAlignment="1">
      <alignment horizontal="right"/>
    </xf>
    <xf numFmtId="44" fontId="0" fillId="0" borderId="1" xfId="2" applyFont="1" applyBorder="1" applyAlignment="1">
      <alignment horizontal="right"/>
    </xf>
    <xf numFmtId="44" fontId="0" fillId="0" borderId="0" xfId="2" applyFont="1" applyAlignment="1">
      <alignment horizontal="right"/>
    </xf>
    <xf numFmtId="0" fontId="0" fillId="0" borderId="1" xfId="0" applyFont="1" applyBorder="1"/>
    <xf numFmtId="0" fontId="8" fillId="0" borderId="0" xfId="0" applyNumberFormat="1" applyFont="1" applyFill="1" applyBorder="1" applyAlignment="1" applyProtection="1"/>
    <xf numFmtId="3" fontId="0" fillId="0" borderId="0" xfId="0" applyNumberFormat="1" applyFont="1" applyAlignment="1">
      <alignment horizontal="right"/>
    </xf>
    <xf numFmtId="164" fontId="0" fillId="0" borderId="0" xfId="2" applyNumberFormat="1" applyFont="1" applyBorder="1"/>
    <xf numFmtId="181" fontId="0" fillId="0" borderId="0" xfId="3" applyNumberFormat="1" applyFont="1"/>
    <xf numFmtId="0" fontId="7" fillId="0" borderId="0" xfId="0" applyNumberFormat="1" applyFont="1" applyFill="1" applyBorder="1" applyAlignment="1" applyProtection="1">
      <alignment wrapText="1"/>
    </xf>
    <xf numFmtId="10" fontId="7" fillId="0" borderId="0" xfId="3" applyNumberFormat="1" applyFont="1" applyFill="1" applyBorder="1" applyAlignment="1" applyProtection="1">
      <alignment wrapText="1"/>
    </xf>
    <xf numFmtId="0" fontId="3" fillId="0" borderId="0" xfId="0" applyFont="1" applyBorder="1" applyAlignment="1">
      <alignment wrapText="1"/>
    </xf>
    <xf numFmtId="1" fontId="7" fillId="0" borderId="0" xfId="0" applyNumberFormat="1" applyFont="1" applyFill="1" applyBorder="1" applyAlignment="1" applyProtection="1">
      <alignment wrapText="1"/>
    </xf>
    <xf numFmtId="44" fontId="3" fillId="0" borderId="0" xfId="2" applyFont="1" applyAlignment="1">
      <alignment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3" formatCode="#,##0"/>
      <alignment horizontal="right" vertical="bottom" textRotation="0" wrapText="0" indent="0" relativeIndent="0" justifyLastLine="0" shrinkToFit="0" mergeCell="0" readingOrder="0"/>
      <border diagonalUp="0" diagonalDown="0">
        <left style="thin">
          <color rgb="FFAAC1D9"/>
        </left>
        <right style="thin">
          <color rgb="FFAAC1D9"/>
        </right>
        <top style="thin">
          <color rgb="FFAAC1D9"/>
        </top>
        <bottom style="thin">
          <color rgb="FFAAC1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3" formatCode="#,##0"/>
      <alignment horizontal="right" vertical="bottom" textRotation="0" wrapText="0" indent="0" relativeIndent="0" justifyLastLine="0" shrinkToFit="0" mergeCell="0" readingOrder="0"/>
      <border diagonalUp="0" diagonalDown="0">
        <left style="thin">
          <color rgb="FFAAC1D9"/>
        </left>
        <right style="thin">
          <color rgb="FFAAC1D9"/>
        </right>
        <top style="thin">
          <color rgb="FFAAC1D9"/>
        </top>
        <bottom style="thin">
          <color rgb="FFAAC1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protection locked="1" hidden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Y54" totalsRowShown="0" headerRowDxfId="0" dataDxfId="1">
  <autoFilter ref="A1:Y54"/>
  <tableColumns count="25">
    <tableColumn id="1" name="year" dataDxfId="26"/>
    <tableColumn id="2" name="mil_pay_change" dataDxfId="25" dataCellStyle="Percent"/>
    <tableColumn id="3" name="mil_E4_with_dependents" dataDxfId="24" dataCellStyle="Currency">
      <calculatedColumnFormula>#REF!</calculatedColumnFormula>
    </tableColumn>
    <tableColumn id="4" name="E4_actual_change" dataDxfId="23" dataCellStyle="Currency">
      <calculatedColumnFormula>#REF!</calculatedColumnFormula>
    </tableColumn>
    <tableColumn id="5" name="mil_O3_with_dependents" dataDxfId="22" dataCellStyle="Currency">
      <calculatedColumnFormula>#REF!</calculatedColumnFormula>
    </tableColumn>
    <tableColumn id="6" name="O3_actual_change" dataDxfId="21" dataCellStyle="Currency">
      <calculatedColumnFormula>#REF!</calculatedColumnFormula>
    </tableColumn>
    <tableColumn id="7" name="civ_pay_change" dataDxfId="20" dataCellStyle="Percent">
      <calculatedColumnFormula>((H2-H1)/H1)</calculatedColumnFormula>
    </tableColumn>
    <tableColumn id="8" name="CIV PAY adjusted" dataDxfId="19" dataCellStyle="Currency"/>
    <tableColumn id="9" name="inflation" dataDxfId="18" dataCellStyle="Percent"/>
    <tableColumn id="10" name="president" dataDxfId="17"/>
    <tableColumn id="11" name="Political Party" dataDxfId="16"/>
    <tableColumn id="12" name="poverty_level_3_dependents" dataDxfId="15" dataCellStyle="Currency"/>
    <tableColumn id="13" name="mil_actual_change" dataDxfId="14">
      <calculatedColumnFormula>(D2+F2)/2</calculatedColumnFormula>
    </tableColumn>
    <tableColumn id="14" name="mil_personnel" dataDxfId="13"/>
    <tableColumn id="15" name="mil_change_OT" dataDxfId="12">
      <calculatedColumnFormula>O1+M2</calculatedColumnFormula>
    </tableColumn>
    <tableColumn id="16" name="civ_change_OT" dataDxfId="11">
      <calculatedColumnFormula>P1+G2</calculatedColumnFormula>
    </tableColumn>
    <tableColumn id="17" name="inflation_change_OT" dataDxfId="10">
      <calculatedColumnFormula>Q1+I2</calculatedColumnFormula>
    </tableColumn>
    <tableColumn id="18" name="civ_pay_not_adjusted" dataDxfId="9" dataCellStyle="Currency"/>
    <tableColumn id="19" name="civ_high_school" dataDxfId="8"/>
    <tableColumn id="20" name="civ_bachelors" dataDxfId="7"/>
    <tableColumn id="21" name="lower_class" dataDxfId="6" dataCellStyle="Currency"/>
    <tableColumn id="22" name="middle_class" dataDxfId="5" dataCellStyle="Currency"/>
    <tableColumn id="23" name="upper_class" dataDxfId="4" dataCellStyle="Currency"/>
    <tableColumn id="24" name="pay_less_inflation" dataDxfId="3">
      <calculatedColumnFormula>B2-I2</calculatedColumnFormula>
    </tableColumn>
    <tableColumn id="25" name="pay_less_inflation_%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81"/>
  <sheetViews>
    <sheetView workbookViewId="0">
      <pane ySplit="1" topLeftCell="A23" activePane="bottomLeft" state="frozen"/>
      <selection pane="bottomLeft" activeCell="F1" sqref="F1:H1048576"/>
    </sheetView>
  </sheetViews>
  <sheetFormatPr defaultRowHeight="14.4"/>
  <cols>
    <col min="1" max="1" width="8.88671875" style="16"/>
    <col min="2" max="2" width="16.77734375" style="19" customWidth="1"/>
    <col min="3" max="3" width="27" style="16" customWidth="1"/>
    <col min="4" max="4" width="18.21875" style="16" hidden="1" customWidth="1"/>
    <col min="5" max="5" width="12.77734375" style="16" customWidth="1"/>
    <col min="6" max="6" width="18.5546875" style="16" hidden="1" customWidth="1"/>
    <col min="7" max="7" width="14" style="19" hidden="1" customWidth="1"/>
    <col min="8" max="8" width="11.44140625" style="16" hidden="1" customWidth="1"/>
    <col min="9" max="9" width="11" style="16" bestFit="1" customWidth="1"/>
    <col min="10" max="10" width="17.6640625" style="16" hidden="1" customWidth="1"/>
    <col min="11" max="11" width="12.44140625" style="16" hidden="1" customWidth="1"/>
    <col min="12" max="12" width="15" style="23" customWidth="1"/>
    <col min="13" max="13" width="18.77734375" style="16" hidden="1" customWidth="1"/>
    <col min="14" max="14" width="14.44140625" style="27" customWidth="1"/>
    <col min="15" max="15" width="9.77734375" style="16" hidden="1" customWidth="1"/>
    <col min="16" max="16" width="11.109375" style="16" hidden="1" customWidth="1"/>
    <col min="17" max="17" width="0" style="16" hidden="1" customWidth="1"/>
    <col min="18" max="18" width="12.33203125" style="4" customWidth="1"/>
    <col min="19" max="19" width="8.88671875" customWidth="1"/>
    <col min="20" max="20" width="14.21875" customWidth="1"/>
    <col min="21" max="21" width="12" style="4" customWidth="1"/>
    <col min="22" max="22" width="13.109375" style="4" customWidth="1"/>
    <col min="23" max="23" width="12.33203125" style="4" customWidth="1"/>
    <col min="24" max="24" width="9.21875" style="16" customWidth="1"/>
    <col min="25" max="25" width="18.88671875" style="16" customWidth="1"/>
    <col min="26" max="16384" width="8.88671875" style="16"/>
  </cols>
  <sheetData>
    <row r="1" spans="1:25" s="38" customFormat="1" ht="30" customHeight="1">
      <c r="A1" s="48" t="s">
        <v>0</v>
      </c>
      <c r="B1" s="49" t="s">
        <v>30</v>
      </c>
      <c r="C1" s="38" t="s">
        <v>82</v>
      </c>
      <c r="D1" s="38" t="s">
        <v>51</v>
      </c>
      <c r="E1" s="38" t="s">
        <v>81</v>
      </c>
      <c r="F1" s="38" t="s">
        <v>52</v>
      </c>
      <c r="G1" s="49" t="s">
        <v>29</v>
      </c>
      <c r="H1" s="38" t="s">
        <v>61</v>
      </c>
      <c r="I1" s="48" t="s">
        <v>1</v>
      </c>
      <c r="J1" s="48" t="s">
        <v>2</v>
      </c>
      <c r="K1" s="48" t="s">
        <v>57</v>
      </c>
      <c r="L1" s="50" t="s">
        <v>83</v>
      </c>
      <c r="M1" s="38" t="s">
        <v>53</v>
      </c>
      <c r="N1" s="51" t="s">
        <v>84</v>
      </c>
      <c r="O1" s="38" t="s">
        <v>58</v>
      </c>
      <c r="P1" s="38" t="s">
        <v>59</v>
      </c>
      <c r="Q1" s="38" t="s">
        <v>60</v>
      </c>
      <c r="R1" s="52" t="s">
        <v>62</v>
      </c>
      <c r="S1" s="37" t="s">
        <v>85</v>
      </c>
      <c r="T1" s="37" t="s">
        <v>86</v>
      </c>
      <c r="U1" s="52" t="s">
        <v>87</v>
      </c>
      <c r="V1" s="52" t="s">
        <v>88</v>
      </c>
      <c r="W1" s="52" t="s">
        <v>89</v>
      </c>
      <c r="X1" s="38" t="s">
        <v>90</v>
      </c>
      <c r="Y1" s="38" t="s">
        <v>91</v>
      </c>
    </row>
    <row r="2" spans="1:25" s="6" customFormat="1">
      <c r="A2" s="1">
        <v>1970</v>
      </c>
      <c r="B2" s="12"/>
      <c r="G2" s="12"/>
      <c r="I2" s="14"/>
      <c r="J2" s="14"/>
      <c r="K2" s="14"/>
      <c r="L2" s="46">
        <v>3968</v>
      </c>
      <c r="N2" s="22"/>
      <c r="R2" s="13"/>
      <c r="S2"/>
      <c r="T2"/>
      <c r="U2" s="4">
        <v>20604</v>
      </c>
      <c r="V2" s="4">
        <v>59934</v>
      </c>
      <c r="W2" s="39">
        <v>130008</v>
      </c>
    </row>
    <row r="3" spans="1:25" s="6" customFormat="1">
      <c r="A3" s="1">
        <v>1971</v>
      </c>
      <c r="B3" s="12"/>
      <c r="G3" s="12"/>
      <c r="I3" s="14"/>
      <c r="J3" s="14"/>
      <c r="K3" s="14"/>
      <c r="L3" s="15"/>
      <c r="N3" s="22"/>
      <c r="R3" s="13"/>
      <c r="S3"/>
      <c r="T3"/>
      <c r="U3" s="13"/>
      <c r="V3" s="13"/>
      <c r="W3" s="13"/>
    </row>
    <row r="4" spans="1:25" s="6" customFormat="1">
      <c r="A4" s="1">
        <v>1972</v>
      </c>
      <c r="B4" s="12"/>
      <c r="G4" s="12"/>
      <c r="I4" s="14"/>
      <c r="J4" s="14"/>
      <c r="K4" s="14"/>
      <c r="L4" s="15"/>
      <c r="N4" s="22"/>
      <c r="R4" s="13"/>
      <c r="S4"/>
      <c r="T4"/>
      <c r="U4" s="13"/>
      <c r="V4" s="13"/>
      <c r="W4" s="13"/>
    </row>
    <row r="5" spans="1:25">
      <c r="A5" s="1">
        <v>1973</v>
      </c>
      <c r="B5" s="2">
        <v>6.7000000000000004E-2</v>
      </c>
      <c r="C5" s="24">
        <f>'E4 Total Pay'!C2</f>
        <v>6982.1999999999989</v>
      </c>
      <c r="D5" s="25">
        <f>'E4 Total Pay'!L2</f>
        <v>0</v>
      </c>
      <c r="E5" s="24">
        <f>'O3 Total Pay'!C2</f>
        <v>14711.76</v>
      </c>
      <c r="F5" s="25">
        <f>'O3 Total Pay'!L2</f>
        <v>0</v>
      </c>
      <c r="H5" s="9">
        <v>54893</v>
      </c>
      <c r="I5" s="2">
        <v>6.1777600000000002E-2</v>
      </c>
      <c r="J5" s="1" t="s">
        <v>3</v>
      </c>
      <c r="K5" s="1" t="s">
        <v>55</v>
      </c>
      <c r="L5" s="26">
        <v>3806</v>
      </c>
      <c r="M5" s="20">
        <f>(D5+F5)/2</f>
        <v>0</v>
      </c>
      <c r="N5" s="27">
        <v>2252787</v>
      </c>
      <c r="O5" s="16">
        <v>0</v>
      </c>
      <c r="P5" s="16">
        <v>0</v>
      </c>
      <c r="Q5" s="16">
        <v>0</v>
      </c>
      <c r="R5" s="4">
        <v>11800</v>
      </c>
      <c r="S5" s="35">
        <v>12034</v>
      </c>
      <c r="T5" s="8">
        <v>17776</v>
      </c>
      <c r="X5" s="20">
        <f>B5-I5</f>
        <v>5.222400000000002E-3</v>
      </c>
      <c r="Y5">
        <f>COUNTIF(X5:X53, "&gt;0")</f>
        <v>23</v>
      </c>
    </row>
    <row r="6" spans="1:25">
      <c r="A6" s="1">
        <v>1974</v>
      </c>
      <c r="B6" s="2">
        <v>6.2E-2</v>
      </c>
      <c r="C6" s="24">
        <f>'E4 Total Pay'!C3</f>
        <v>8002.7999999999993</v>
      </c>
      <c r="D6" s="25">
        <f>'E4 Total Pay'!L3</f>
        <v>0.1461716937354989</v>
      </c>
      <c r="E6" s="24">
        <f>'O3 Total Pay'!C3</f>
        <v>16290.840000000002</v>
      </c>
      <c r="F6" s="25">
        <f>'O3 Total Pay'!L3</f>
        <v>0.10733454053084075</v>
      </c>
      <c r="G6" s="19">
        <f t="shared" ref="G6:G16" si="0">((H6-H5)/H5)</f>
        <v>-3.1679813455267519E-2</v>
      </c>
      <c r="H6" s="9">
        <v>53154</v>
      </c>
      <c r="I6" s="2">
        <v>0.11054804999999999</v>
      </c>
      <c r="J6" s="1" t="s">
        <v>3</v>
      </c>
      <c r="K6" s="1" t="s">
        <v>55</v>
      </c>
      <c r="L6" s="26">
        <v>4223</v>
      </c>
      <c r="M6" s="20">
        <f t="shared" ref="M6:M53" si="1">(D6+F6)/2</f>
        <v>0.12675311713316983</v>
      </c>
      <c r="N6" s="27">
        <v>2162005</v>
      </c>
      <c r="O6" s="20">
        <f>O5+M6</f>
        <v>0.12675311713316983</v>
      </c>
      <c r="P6" s="20">
        <f>P5+G6</f>
        <v>-3.1679813455267519E-2</v>
      </c>
      <c r="Q6" s="20">
        <f>Q5+I6</f>
        <v>0.11054804999999999</v>
      </c>
      <c r="R6" s="4">
        <v>12686</v>
      </c>
      <c r="S6" s="35">
        <v>12706</v>
      </c>
      <c r="T6" s="8">
        <v>18634</v>
      </c>
      <c r="X6" s="20">
        <f t="shared" ref="X6:X54" si="2">B6-I6</f>
        <v>-4.8548049999999995E-2</v>
      </c>
      <c r="Y6">
        <f>COUNTIF(X5:X53, "&lt;0")</f>
        <v>26</v>
      </c>
    </row>
    <row r="7" spans="1:25">
      <c r="A7" s="1">
        <v>1975</v>
      </c>
      <c r="B7" s="2">
        <v>5.5199999999999999E-2</v>
      </c>
      <c r="C7" s="24">
        <f>'E4 Total Pay'!C4</f>
        <v>8400.5999999999985</v>
      </c>
      <c r="D7" s="25">
        <f>'E4 Total Pay'!L4</f>
        <v>4.9707602339181201E-2</v>
      </c>
      <c r="E7" s="24">
        <f>'O3 Total Pay'!C4</f>
        <v>17104.8</v>
      </c>
      <c r="F7" s="25">
        <f>'O3 Total Pay'!L4</f>
        <v>4.9964274402056447E-2</v>
      </c>
      <c r="G7" s="19">
        <f t="shared" si="0"/>
        <v>-2.6188057342815218E-2</v>
      </c>
      <c r="H7" s="9">
        <v>51762</v>
      </c>
      <c r="I7" s="2">
        <v>9.1431470000000015E-2</v>
      </c>
      <c r="J7" s="1" t="s">
        <v>4</v>
      </c>
      <c r="K7" s="1" t="s">
        <v>55</v>
      </c>
      <c r="L7" s="26">
        <v>4610</v>
      </c>
      <c r="M7" s="20">
        <f t="shared" si="1"/>
        <v>4.9835938370618824E-2</v>
      </c>
      <c r="N7" s="27">
        <v>2128120</v>
      </c>
      <c r="O7" s="20">
        <f>O6+M7</f>
        <v>0.17658905550378867</v>
      </c>
      <c r="P7" s="20">
        <f t="shared" ref="P7:P53" si="3">P6+G7</f>
        <v>-5.7867870798082741E-2</v>
      </c>
      <c r="Q7" s="20">
        <f t="shared" ref="Q7:Q53" si="4">Q6+I7</f>
        <v>0.20197952000000002</v>
      </c>
      <c r="R7" s="4">
        <v>13572</v>
      </c>
      <c r="S7" s="35">
        <v>13256</v>
      </c>
      <c r="T7" s="8">
        <v>19721</v>
      </c>
      <c r="X7" s="20">
        <f t="shared" si="2"/>
        <v>-3.6231470000000016E-2</v>
      </c>
      <c r="Y7" s="47">
        <f>Y6/49</f>
        <v>0.53061224489795922</v>
      </c>
    </row>
    <row r="8" spans="1:25">
      <c r="A8" s="1">
        <v>1976</v>
      </c>
      <c r="B8" s="2">
        <v>0.05</v>
      </c>
      <c r="C8" s="24">
        <f>'E4 Total Pay'!C5</f>
        <v>8940.6</v>
      </c>
      <c r="D8" s="25">
        <f>'E4 Total Pay'!L5</f>
        <v>6.4281122776944727E-2</v>
      </c>
      <c r="E8" s="24">
        <f>'O3 Total Pay'!C5</f>
        <v>17959.079999999998</v>
      </c>
      <c r="F8" s="25">
        <f>'O3 Total Pay'!L5</f>
        <v>4.9943875403395475E-2</v>
      </c>
      <c r="G8" s="19">
        <f t="shared" si="0"/>
        <v>1.6595185657432093E-2</v>
      </c>
      <c r="H8" s="9">
        <v>52621</v>
      </c>
      <c r="I8" s="2">
        <v>5.744813E-2</v>
      </c>
      <c r="J8" s="1" t="s">
        <v>4</v>
      </c>
      <c r="K8" s="1" t="s">
        <v>55</v>
      </c>
      <c r="L8" s="26">
        <v>4876</v>
      </c>
      <c r="M8" s="20">
        <f t="shared" si="1"/>
        <v>5.7112499090170105E-2</v>
      </c>
      <c r="N8" s="27">
        <v>2081910</v>
      </c>
      <c r="O8" s="20">
        <f>O7+M8</f>
        <v>0.23370155459395878</v>
      </c>
      <c r="P8" s="20">
        <f t="shared" si="3"/>
        <v>-4.1272685140650647E-2</v>
      </c>
      <c r="Q8" s="20">
        <f t="shared" si="4"/>
        <v>0.25942765000000001</v>
      </c>
      <c r="R8" s="4">
        <v>15064</v>
      </c>
      <c r="S8" s="35">
        <v>14304</v>
      </c>
      <c r="T8" s="8">
        <v>20889</v>
      </c>
      <c r="X8" s="20">
        <f t="shared" si="2"/>
        <v>-7.4481299999999973E-3</v>
      </c>
    </row>
    <row r="9" spans="1:25">
      <c r="A9" s="1">
        <v>1977</v>
      </c>
      <c r="B9" s="2">
        <v>3.5999999999999997E-2</v>
      </c>
      <c r="C9" s="24">
        <f>'E4 Total Pay'!C6</f>
        <v>9451.8000000000011</v>
      </c>
      <c r="D9" s="25">
        <f>'E4 Total Pay'!L6</f>
        <v>5.7177370646265428E-2</v>
      </c>
      <c r="E9" s="24">
        <f>'O3 Total Pay'!C6</f>
        <v>19230.96</v>
      </c>
      <c r="F9" s="25">
        <f>'O3 Total Pay'!L6</f>
        <v>7.0820999739407656E-2</v>
      </c>
      <c r="G9" s="19">
        <f t="shared" si="0"/>
        <v>6.3282719826685168E-3</v>
      </c>
      <c r="H9" s="9">
        <v>52954</v>
      </c>
      <c r="I9" s="2">
        <v>6.5016840000000006E-2</v>
      </c>
      <c r="J9" s="1" t="s">
        <v>4</v>
      </c>
      <c r="K9" s="1" t="s">
        <v>55</v>
      </c>
      <c r="L9" s="28">
        <v>5190</v>
      </c>
      <c r="M9" s="20">
        <f t="shared" si="1"/>
        <v>6.3999185192836539E-2</v>
      </c>
      <c r="N9" s="27">
        <v>2074543</v>
      </c>
      <c r="O9" s="20">
        <f t="shared" ref="O9:O53" si="5">O8+M9</f>
        <v>0.29770073978679534</v>
      </c>
      <c r="P9" s="20">
        <f t="shared" si="3"/>
        <v>-3.4944413157982128E-2</v>
      </c>
      <c r="Q9" s="20">
        <f t="shared" si="4"/>
        <v>0.32444449000000003</v>
      </c>
      <c r="R9" s="4">
        <v>16461</v>
      </c>
      <c r="S9" s="35">
        <v>15309</v>
      </c>
      <c r="T9" s="8">
        <v>22218</v>
      </c>
      <c r="X9" s="20">
        <f t="shared" si="2"/>
        <v>-2.9016840000000009E-2</v>
      </c>
    </row>
    <row r="10" spans="1:25">
      <c r="A10" s="1">
        <v>1978</v>
      </c>
      <c r="B10" s="2">
        <v>6.2E-2</v>
      </c>
      <c r="C10" s="24">
        <f>'E4 Total Pay'!C7</f>
        <v>9973.7999999999993</v>
      </c>
      <c r="D10" s="25">
        <f>'E4 Total Pay'!L7</f>
        <v>5.5227575699866492E-2</v>
      </c>
      <c r="E10" s="24">
        <f>'O3 Total Pay'!C7</f>
        <v>20290.800000000003</v>
      </c>
      <c r="F10" s="25">
        <f>'O3 Total Pay'!L7</f>
        <v>5.5111133297557888E-2</v>
      </c>
      <c r="G10" s="19">
        <f t="shared" si="0"/>
        <v>3.8712845110850928E-2</v>
      </c>
      <c r="H10" s="9">
        <v>55004</v>
      </c>
      <c r="I10" s="2">
        <v>7.6309639999999998E-2</v>
      </c>
      <c r="J10" s="1" t="s">
        <v>5</v>
      </c>
      <c r="K10" s="1" t="s">
        <v>56</v>
      </c>
      <c r="L10" s="26">
        <v>5585</v>
      </c>
      <c r="M10" s="20">
        <f t="shared" si="1"/>
        <v>5.5169354498712186E-2</v>
      </c>
      <c r="N10" s="27">
        <v>2062404</v>
      </c>
      <c r="O10" s="20">
        <f t="shared" si="5"/>
        <v>0.35287009428550753</v>
      </c>
      <c r="P10" s="20">
        <f t="shared" si="3"/>
        <v>3.7684319528688004E-3</v>
      </c>
      <c r="Q10" s="20">
        <f t="shared" si="4"/>
        <v>0.40075413000000004</v>
      </c>
      <c r="R10" s="4">
        <v>17710</v>
      </c>
      <c r="S10" s="35">
        <v>16572</v>
      </c>
      <c r="T10" s="8">
        <v>24066</v>
      </c>
      <c r="X10" s="20">
        <f t="shared" si="2"/>
        <v>-1.4309639999999998E-2</v>
      </c>
    </row>
    <row r="11" spans="1:25">
      <c r="A11" s="1">
        <v>1979</v>
      </c>
      <c r="B11" s="2">
        <v>5.5E-2</v>
      </c>
      <c r="C11" s="24">
        <f>'E4 Total Pay'!C8</f>
        <v>10672.199999999999</v>
      </c>
      <c r="D11" s="25">
        <f>'E4 Total Pay'!L8</f>
        <v>7.0023461469048878E-2</v>
      </c>
      <c r="E11" s="24">
        <f>'O3 Total Pay'!C8</f>
        <v>21715.32</v>
      </c>
      <c r="F11" s="25">
        <f>'O3 Total Pay'!L8</f>
        <v>7.020521615707595E-2</v>
      </c>
      <c r="G11" s="19">
        <f t="shared" si="0"/>
        <v>-1.9089520762126391E-3</v>
      </c>
      <c r="H11" s="9">
        <v>54899</v>
      </c>
      <c r="I11" s="2">
        <v>0.11254471000000001</v>
      </c>
      <c r="J11" s="1" t="s">
        <v>5</v>
      </c>
      <c r="K11" s="1" t="s">
        <v>56</v>
      </c>
      <c r="L11" s="28">
        <v>6213</v>
      </c>
      <c r="M11" s="20">
        <f t="shared" si="1"/>
        <v>7.0114338813062421E-2</v>
      </c>
      <c r="N11" s="27">
        <v>2027494</v>
      </c>
      <c r="O11" s="20">
        <f t="shared" si="5"/>
        <v>0.42298443309856992</v>
      </c>
      <c r="P11" s="20">
        <f t="shared" si="3"/>
        <v>1.8594798766561613E-3</v>
      </c>
      <c r="Q11" s="20">
        <f t="shared" si="4"/>
        <v>0.51329884000000003</v>
      </c>
      <c r="R11" s="4">
        <v>19074</v>
      </c>
      <c r="S11" s="35">
        <v>18226</v>
      </c>
      <c r="T11" s="8">
        <v>26507</v>
      </c>
      <c r="X11" s="20">
        <f t="shared" si="2"/>
        <v>-5.7544710000000006E-2</v>
      </c>
    </row>
    <row r="12" spans="1:25">
      <c r="A12" s="1">
        <v>1980</v>
      </c>
      <c r="B12" s="2">
        <v>7.0000000000000007E-2</v>
      </c>
      <c r="C12" s="24">
        <f>'E4 Total Pay'!C9</f>
        <v>12049.2</v>
      </c>
      <c r="D12" s="25">
        <f>'E4 Total Pay'!L9</f>
        <v>0.12902681733850582</v>
      </c>
      <c r="E12" s="24">
        <f>'O3 Total Pay'!C9</f>
        <v>24347.399999999998</v>
      </c>
      <c r="F12" s="25">
        <f>'O3 Total Pay'!L9</f>
        <v>0.12120843717707122</v>
      </c>
      <c r="G12" s="19">
        <f t="shared" si="0"/>
        <v>-3.2477822911164141E-2</v>
      </c>
      <c r="H12" s="9">
        <v>53116</v>
      </c>
      <c r="I12" s="2">
        <v>0.13549201999999999</v>
      </c>
      <c r="J12" s="1" t="s">
        <v>5</v>
      </c>
      <c r="K12" s="1" t="s">
        <v>56</v>
      </c>
      <c r="L12" s="28">
        <v>6635</v>
      </c>
      <c r="M12" s="20">
        <f t="shared" si="1"/>
        <v>0.12511762725778852</v>
      </c>
      <c r="N12" s="27">
        <v>2050627</v>
      </c>
      <c r="O12" s="20">
        <f t="shared" si="5"/>
        <v>0.54810206035635844</v>
      </c>
      <c r="P12" s="20">
        <f t="shared" si="3"/>
        <v>-3.0618343034507979E-2</v>
      </c>
      <c r="Q12" s="20">
        <f t="shared" si="4"/>
        <v>0.64879086000000008</v>
      </c>
      <c r="R12" s="4">
        <v>20171</v>
      </c>
      <c r="S12" s="35">
        <v>19638</v>
      </c>
      <c r="T12" s="8">
        <v>28880</v>
      </c>
      <c r="X12" s="20">
        <f t="shared" si="2"/>
        <v>-6.5492019999999984E-2</v>
      </c>
    </row>
    <row r="13" spans="1:25">
      <c r="A13" s="1">
        <v>1981</v>
      </c>
      <c r="B13" s="2">
        <v>0.11700000000000001</v>
      </c>
      <c r="C13" s="24">
        <f>'E4 Total Pay'!C10</f>
        <v>13665.599999999999</v>
      </c>
      <c r="D13" s="25">
        <f>'E4 Total Pay'!L10</f>
        <v>0.1341499850612487</v>
      </c>
      <c r="E13" s="24">
        <f>'O3 Total Pay'!C10</f>
        <v>28030.079999999994</v>
      </c>
      <c r="F13" s="25">
        <f>'O3 Total Pay'!L10</f>
        <v>0.15125557554400046</v>
      </c>
      <c r="G13" s="19">
        <f t="shared" si="0"/>
        <v>-1.5889750734242036E-2</v>
      </c>
      <c r="H13" s="9">
        <v>52272</v>
      </c>
      <c r="I13" s="2">
        <v>0.10334715</v>
      </c>
      <c r="J13" s="1" t="s">
        <v>5</v>
      </c>
      <c r="K13" s="1" t="s">
        <v>56</v>
      </c>
      <c r="L13" s="29">
        <v>7323</v>
      </c>
      <c r="M13" s="20">
        <f t="shared" si="1"/>
        <v>0.14270278030262457</v>
      </c>
      <c r="N13" s="27">
        <v>2082560</v>
      </c>
      <c r="O13" s="20">
        <f t="shared" si="5"/>
        <v>0.69080484065898307</v>
      </c>
      <c r="P13" s="20">
        <f t="shared" si="3"/>
        <v>-4.6508093768750015E-2</v>
      </c>
      <c r="Q13" s="20">
        <f t="shared" si="4"/>
        <v>0.75213801000000013</v>
      </c>
      <c r="R13" s="4">
        <v>20885</v>
      </c>
      <c r="S13" s="35">
        <v>20552</v>
      </c>
      <c r="T13" s="8">
        <v>31167</v>
      </c>
      <c r="X13" s="20">
        <f t="shared" si="2"/>
        <v>1.3652850000000008E-2</v>
      </c>
    </row>
    <row r="14" spans="1:25">
      <c r="A14" s="1">
        <v>1982</v>
      </c>
      <c r="B14" s="2">
        <v>0.14299999999999999</v>
      </c>
      <c r="C14" s="24">
        <f>'E4 Total Pay'!C11</f>
        <v>14211</v>
      </c>
      <c r="D14" s="25">
        <f>'E4 Total Pay'!L11</f>
        <v>3.9910432033719814E-2</v>
      </c>
      <c r="E14" s="24">
        <f>'O3 Total Pay'!C11</f>
        <v>28937.640000000003</v>
      </c>
      <c r="F14" s="25">
        <f>'O3 Total Pay'!L11</f>
        <v>3.2378073840674329E-2</v>
      </c>
      <c r="G14" s="19">
        <f t="shared" si="0"/>
        <v>-2.7165595347413531E-3</v>
      </c>
      <c r="H14" s="9">
        <v>52130</v>
      </c>
      <c r="I14" s="2">
        <v>6.1314270000000004E-2</v>
      </c>
      <c r="J14" s="1" t="s">
        <v>6</v>
      </c>
      <c r="K14" s="1" t="s">
        <v>55</v>
      </c>
      <c r="L14" s="30">
        <v>7772</v>
      </c>
      <c r="M14" s="20">
        <f t="shared" si="1"/>
        <v>3.6144252937197072E-2</v>
      </c>
      <c r="N14" s="27">
        <v>2108612</v>
      </c>
      <c r="O14" s="20">
        <f t="shared" si="5"/>
        <v>0.7269490935961801</v>
      </c>
      <c r="P14" s="20">
        <f t="shared" si="3"/>
        <v>-4.9224653303491371E-2</v>
      </c>
      <c r="Q14" s="20">
        <f t="shared" si="4"/>
        <v>0.81345228000000014</v>
      </c>
      <c r="R14" s="4">
        <v>22415</v>
      </c>
      <c r="S14" s="35">
        <v>21069</v>
      </c>
      <c r="T14" s="8">
        <v>33512</v>
      </c>
      <c r="X14" s="20">
        <f t="shared" si="2"/>
        <v>8.1685729999999984E-2</v>
      </c>
    </row>
    <row r="15" spans="1:25">
      <c r="A15" s="1">
        <v>1983</v>
      </c>
      <c r="B15" s="2">
        <v>0.04</v>
      </c>
      <c r="C15" s="24">
        <f>'E4 Total Pay'!C12</f>
        <v>14211</v>
      </c>
      <c r="D15" s="25">
        <f>'E4 Total Pay'!L12</f>
        <v>4.0151994933502112E-2</v>
      </c>
      <c r="E15" s="24">
        <f>'O3 Total Pay'!C12</f>
        <v>28937.640000000003</v>
      </c>
      <c r="F15" s="25">
        <f>'O3 Total Pay'!L12</f>
        <v>4.0008791318158446E-2</v>
      </c>
      <c r="G15" s="19">
        <f t="shared" si="0"/>
        <v>-7.0209092652982925E-3</v>
      </c>
      <c r="H15" s="9">
        <v>51764</v>
      </c>
      <c r="I15" s="2">
        <v>3.2124350000000003E-2</v>
      </c>
      <c r="J15" s="1" t="s">
        <v>6</v>
      </c>
      <c r="K15" s="1" t="s">
        <v>55</v>
      </c>
      <c r="L15" s="30">
        <v>8022</v>
      </c>
      <c r="M15" s="20">
        <f t="shared" si="1"/>
        <v>4.0080393125830283E-2</v>
      </c>
      <c r="N15" s="27">
        <v>2123349</v>
      </c>
      <c r="O15" s="20">
        <f t="shared" si="5"/>
        <v>0.76702948672201043</v>
      </c>
      <c r="P15" s="20">
        <f t="shared" si="3"/>
        <v>-5.6245562568789667E-2</v>
      </c>
      <c r="Q15" s="20">
        <f t="shared" si="4"/>
        <v>0.84557663000000016</v>
      </c>
      <c r="R15" s="4">
        <v>23618</v>
      </c>
      <c r="S15" s="35">
        <v>21577</v>
      </c>
      <c r="T15" s="8">
        <v>35455</v>
      </c>
      <c r="X15" s="20">
        <f t="shared" si="2"/>
        <v>7.8756499999999979E-3</v>
      </c>
    </row>
    <row r="16" spans="1:25">
      <c r="A16" s="1">
        <v>1984</v>
      </c>
      <c r="B16" s="2">
        <v>0.04</v>
      </c>
      <c r="C16" s="24">
        <f>'E4 Total Pay'!C13</f>
        <v>14781.599999999999</v>
      </c>
      <c r="D16" s="25">
        <f>'E4 Total Pay'!L13</f>
        <v>3.0808572820263131E-2</v>
      </c>
      <c r="E16" s="24">
        <f>'O3 Total Pay'!C13</f>
        <v>30095.399999999998</v>
      </c>
      <c r="F16" s="25">
        <f>'O3 Total Pay'!L13</f>
        <v>3.3026974221974217E-2</v>
      </c>
      <c r="G16" s="19">
        <f t="shared" si="0"/>
        <v>7.8510161502202302E-2</v>
      </c>
      <c r="H16" s="9">
        <v>55828</v>
      </c>
      <c r="I16" s="2">
        <v>4.3005349999999998E-2</v>
      </c>
      <c r="J16" s="1" t="s">
        <v>6</v>
      </c>
      <c r="K16" s="1" t="s">
        <v>55</v>
      </c>
      <c r="L16" s="28">
        <v>8363</v>
      </c>
      <c r="M16" s="20">
        <f t="shared" si="1"/>
        <v>3.1917773521118672E-2</v>
      </c>
      <c r="N16" s="27">
        <v>2138157</v>
      </c>
      <c r="O16" s="20">
        <f t="shared" si="5"/>
        <v>0.79894726024312912</v>
      </c>
      <c r="P16" s="20">
        <f t="shared" si="3"/>
        <v>2.2264598933412635E-2</v>
      </c>
      <c r="Q16" s="20">
        <f t="shared" si="4"/>
        <v>0.8885819800000001</v>
      </c>
      <c r="R16" s="4">
        <v>24897</v>
      </c>
      <c r="S16" s="35">
        <v>23331</v>
      </c>
      <c r="T16" s="8">
        <v>37942</v>
      </c>
      <c r="X16" s="20">
        <f t="shared" si="2"/>
        <v>-3.0053499999999969E-3</v>
      </c>
    </row>
    <row r="17" spans="1:24">
      <c r="A17" s="1">
        <v>1985</v>
      </c>
      <c r="B17" s="2">
        <v>0.04</v>
      </c>
      <c r="C17" s="24">
        <f>'E4 Total Pay'!C14</f>
        <v>15237</v>
      </c>
      <c r="D17" s="25">
        <f>'E4 Total Pay'!L14</f>
        <v>0</v>
      </c>
      <c r="E17" s="24">
        <f>'O3 Total Pay'!C14</f>
        <v>31089.360000000001</v>
      </c>
      <c r="F17" s="25">
        <f>'O3 Total Pay'!L14</f>
        <v>3.3026974221974217E-2</v>
      </c>
      <c r="G17" s="19">
        <f>((H17-H16)/H16)</f>
        <v>1.8682381600630509E-2</v>
      </c>
      <c r="H17" s="9">
        <v>56871</v>
      </c>
      <c r="I17" s="2">
        <v>3.5456439999999999E-2</v>
      </c>
      <c r="J17" s="1" t="s">
        <v>6</v>
      </c>
      <c r="K17" s="1" t="s">
        <v>55</v>
      </c>
      <c r="L17" s="28">
        <v>8662</v>
      </c>
      <c r="M17" s="20">
        <f t="shared" si="1"/>
        <v>1.6513487110987109E-2</v>
      </c>
      <c r="N17" s="27">
        <v>2151600</v>
      </c>
      <c r="O17" s="20">
        <f t="shared" si="5"/>
        <v>0.81546074735411622</v>
      </c>
      <c r="P17" s="20">
        <f t="shared" si="3"/>
        <v>4.0946980534043144E-2</v>
      </c>
      <c r="Q17" s="20">
        <f t="shared" si="4"/>
        <v>0.92403842000000014</v>
      </c>
      <c r="R17" s="4">
        <v>26061</v>
      </c>
      <c r="S17" s="35">
        <v>24123</v>
      </c>
      <c r="T17" s="8">
        <v>40441</v>
      </c>
      <c r="X17" s="20">
        <f t="shared" si="2"/>
        <v>4.543560000000002E-3</v>
      </c>
    </row>
    <row r="18" spans="1:24">
      <c r="A18" s="1">
        <v>1986</v>
      </c>
      <c r="B18" s="2">
        <v>0</v>
      </c>
      <c r="C18" s="24">
        <f>'E4 Total Pay'!C15</f>
        <v>15237</v>
      </c>
      <c r="D18" s="25">
        <f>'E4 Total Pay'!L15</f>
        <v>6.5800354400472313E-2</v>
      </c>
      <c r="E18" s="24">
        <f>'O3 Total Pay'!C15</f>
        <v>31026</v>
      </c>
      <c r="F18" s="25">
        <f>'O3 Total Pay'!L15</f>
        <v>-2.0379962791128728E-3</v>
      </c>
      <c r="G18" s="19">
        <f t="shared" ref="G18:G54" si="6">((H18-H17)/H17)</f>
        <v>3.6028907527562375E-2</v>
      </c>
      <c r="H18" s="9">
        <v>58920</v>
      </c>
      <c r="I18" s="2">
        <v>1.8980480000000001E-2</v>
      </c>
      <c r="J18" s="1" t="s">
        <v>6</v>
      </c>
      <c r="K18" s="1" t="s">
        <v>55</v>
      </c>
      <c r="L18" s="28">
        <v>8829</v>
      </c>
      <c r="M18" s="20">
        <f t="shared" si="1"/>
        <v>3.1881179060679721E-2</v>
      </c>
      <c r="N18" s="27">
        <v>2169112</v>
      </c>
      <c r="O18" s="20">
        <f t="shared" si="5"/>
        <v>0.84734192641479589</v>
      </c>
      <c r="P18" s="20">
        <f t="shared" si="3"/>
        <v>7.6975888061605519E-2</v>
      </c>
      <c r="Q18" s="20">
        <f t="shared" si="4"/>
        <v>0.9430189000000001</v>
      </c>
      <c r="R18" s="4">
        <v>27225</v>
      </c>
      <c r="S18" s="35">
        <v>25165</v>
      </c>
      <c r="T18" s="8">
        <v>42434</v>
      </c>
      <c r="X18" s="20">
        <f t="shared" si="2"/>
        <v>-1.8980480000000001E-2</v>
      </c>
    </row>
    <row r="19" spans="1:24">
      <c r="A19" s="1">
        <v>1987</v>
      </c>
      <c r="B19" s="2">
        <v>0.03</v>
      </c>
      <c r="C19" s="24">
        <f>'E4 Total Pay'!C16</f>
        <v>16239.599999999997</v>
      </c>
      <c r="D19" s="25">
        <f>'E4 Total Pay'!L16</f>
        <v>6.5800354400472313E-2</v>
      </c>
      <c r="E19" s="24">
        <f>'O3 Total Pay'!C16</f>
        <v>32965.200000000004</v>
      </c>
      <c r="F19" s="25">
        <f>'O3 Total Pay'!L16</f>
        <v>6.250241732740297E-2</v>
      </c>
      <c r="G19" s="19">
        <f t="shared" si="6"/>
        <v>1.1948404616429056E-2</v>
      </c>
      <c r="H19" s="9">
        <v>59624</v>
      </c>
      <c r="I19" s="2">
        <v>3.6645629999999998E-2</v>
      </c>
      <c r="J19" s="1" t="s">
        <v>6</v>
      </c>
      <c r="K19" s="1" t="s">
        <v>55</v>
      </c>
      <c r="L19" s="28">
        <v>9151</v>
      </c>
      <c r="M19" s="20">
        <f t="shared" si="1"/>
        <v>6.4151385863937649E-2</v>
      </c>
      <c r="N19" s="27">
        <v>2174217</v>
      </c>
      <c r="O19" s="20">
        <f t="shared" si="5"/>
        <v>0.91149331227873354</v>
      </c>
      <c r="P19" s="20">
        <f t="shared" si="3"/>
        <v>8.8924292678034575E-2</v>
      </c>
      <c r="Q19" s="20">
        <f t="shared" si="4"/>
        <v>0.97966453000000009</v>
      </c>
      <c r="R19" s="4">
        <v>28906</v>
      </c>
      <c r="S19" s="35">
        <v>25927</v>
      </c>
      <c r="T19" s="8">
        <v>43971</v>
      </c>
      <c r="X19" s="20">
        <f t="shared" si="2"/>
        <v>-6.6456299999999996E-3</v>
      </c>
    </row>
    <row r="20" spans="1:24">
      <c r="A20" s="1">
        <v>1988</v>
      </c>
      <c r="B20" s="2">
        <v>0.02</v>
      </c>
      <c r="C20" s="24">
        <f>'E4 Total Pay'!C17</f>
        <v>16837.199999999997</v>
      </c>
      <c r="D20" s="25">
        <f>'E4 Total Pay'!L17</f>
        <v>3.6798935934382652E-2</v>
      </c>
      <c r="E20" s="24">
        <f>'O3 Total Pay'!C17</f>
        <v>33899.399999999994</v>
      </c>
      <c r="F20" s="25">
        <f>'O3 Total Pay'!L17</f>
        <v>2.8338975647045662E-2</v>
      </c>
      <c r="G20" s="19">
        <f t="shared" si="6"/>
        <v>8.234938950758084E-3</v>
      </c>
      <c r="H20" s="9">
        <v>60115</v>
      </c>
      <c r="I20" s="2">
        <v>4.0777409999999993E-2</v>
      </c>
      <c r="J20" s="1" t="s">
        <v>6</v>
      </c>
      <c r="K20" s="1" t="s">
        <v>55</v>
      </c>
      <c r="L20" s="28">
        <v>9531</v>
      </c>
      <c r="M20" s="20">
        <f t="shared" si="1"/>
        <v>3.2568955790714157E-2</v>
      </c>
      <c r="N20" s="27">
        <v>2138213</v>
      </c>
      <c r="O20" s="20">
        <f t="shared" si="5"/>
        <v>0.94406226806944771</v>
      </c>
      <c r="P20" s="20">
        <f t="shared" si="3"/>
        <v>9.7159231628792656E-2</v>
      </c>
      <c r="Q20" s="20">
        <f t="shared" si="4"/>
        <v>1.02044194</v>
      </c>
      <c r="R20" s="4">
        <v>29943</v>
      </c>
      <c r="S20" s="35">
        <v>27009</v>
      </c>
      <c r="T20" s="8">
        <v>46284</v>
      </c>
      <c r="X20" s="20">
        <f t="shared" si="2"/>
        <v>-2.0777409999999993E-2</v>
      </c>
    </row>
    <row r="21" spans="1:24">
      <c r="A21" s="1">
        <v>1989</v>
      </c>
      <c r="B21" s="2">
        <v>4.1000000000000002E-2</v>
      </c>
      <c r="C21" s="24">
        <f>'E4 Total Pay'!C18</f>
        <v>17375.400000000001</v>
      </c>
      <c r="D21" s="25">
        <f>'E4 Total Pay'!L18</f>
        <v>3.1964934787257052E-2</v>
      </c>
      <c r="E21" s="24">
        <f>'O3 Total Pay'!C18</f>
        <v>35053.919999999998</v>
      </c>
      <c r="F21" s="25">
        <f>'O3 Total Pay'!L18</f>
        <v>3.4057239951149704E-2</v>
      </c>
      <c r="G21" s="19">
        <f t="shared" si="6"/>
        <v>1.7266905098561092E-2</v>
      </c>
      <c r="H21" s="9">
        <v>61153</v>
      </c>
      <c r="I21" s="2">
        <v>4.8270030000000005E-2</v>
      </c>
      <c r="J21" s="1" t="s">
        <v>6</v>
      </c>
      <c r="K21" s="1" t="s">
        <v>55</v>
      </c>
      <c r="L21" s="28">
        <v>9990</v>
      </c>
      <c r="M21" s="20">
        <f t="shared" si="1"/>
        <v>3.3011087369203378E-2</v>
      </c>
      <c r="N21" s="27">
        <v>2240000</v>
      </c>
      <c r="O21" s="20">
        <f t="shared" si="5"/>
        <v>0.97707335543865104</v>
      </c>
      <c r="P21" s="20">
        <f t="shared" si="3"/>
        <v>0.11442613672735374</v>
      </c>
      <c r="Q21" s="20">
        <f t="shared" si="4"/>
        <v>1.0687119700000001</v>
      </c>
      <c r="R21" s="4">
        <v>30126</v>
      </c>
      <c r="S21" s="35">
        <v>28060</v>
      </c>
      <c r="T21" s="8">
        <v>49180</v>
      </c>
      <c r="X21" s="20">
        <f t="shared" si="2"/>
        <v>-7.2700300000000037E-3</v>
      </c>
    </row>
    <row r="22" spans="1:24">
      <c r="A22" s="1">
        <v>1990</v>
      </c>
      <c r="B22" s="2">
        <v>3.5999999999999997E-2</v>
      </c>
      <c r="C22" s="24">
        <f>'E4 Total Pay'!C19</f>
        <v>18001.8</v>
      </c>
      <c r="D22" s="25">
        <f>'E4 Total Pay'!L19</f>
        <v>3.6050968610794445E-2</v>
      </c>
      <c r="E22" s="24">
        <f>'O3 Total Pay'!C19</f>
        <v>36265.32</v>
      </c>
      <c r="F22" s="25">
        <f>'O3 Total Pay'!L19</f>
        <v>3.4558189212504663E-2</v>
      </c>
      <c r="G22" s="19">
        <f t="shared" si="6"/>
        <v>-1.2803950746488317E-2</v>
      </c>
      <c r="H22" s="9">
        <v>60370</v>
      </c>
      <c r="I22" s="2">
        <v>5.3979559999999996E-2</v>
      </c>
      <c r="J22" s="1" t="s">
        <v>7</v>
      </c>
      <c r="K22" s="1" t="s">
        <v>55</v>
      </c>
      <c r="L22" s="28">
        <v>10530</v>
      </c>
      <c r="M22" s="20">
        <f t="shared" si="1"/>
        <v>3.5304578911649551E-2</v>
      </c>
      <c r="N22" s="27">
        <v>2180000</v>
      </c>
      <c r="O22" s="20">
        <f t="shared" si="5"/>
        <v>1.0123779343503005</v>
      </c>
      <c r="P22" s="20">
        <f t="shared" si="3"/>
        <v>0.10162218598086542</v>
      </c>
      <c r="Q22" s="20">
        <f t="shared" si="4"/>
        <v>1.12269153</v>
      </c>
      <c r="R22" s="4">
        <v>30636</v>
      </c>
      <c r="S22" s="35">
        <v>28744</v>
      </c>
      <c r="T22" s="8">
        <v>50549</v>
      </c>
      <c r="X22" s="20">
        <f t="shared" si="2"/>
        <v>-1.7979559999999999E-2</v>
      </c>
    </row>
    <row r="23" spans="1:24">
      <c r="A23" s="1">
        <v>1991</v>
      </c>
      <c r="B23" s="2">
        <v>4.1000000000000002E-2</v>
      </c>
      <c r="C23" s="24">
        <f>'E4 Total Pay'!C20</f>
        <v>18738</v>
      </c>
      <c r="D23" s="25">
        <f>'E4 Total Pay'!L20</f>
        <v>4.0895910408959145E-2</v>
      </c>
      <c r="E23" s="24">
        <f>'O3 Total Pay'!C20</f>
        <v>37801.799999999996</v>
      </c>
      <c r="F23" s="25">
        <f>'O3 Total Pay'!L20</f>
        <v>4.2367749684822743E-2</v>
      </c>
      <c r="G23" s="19">
        <f t="shared" si="6"/>
        <v>-2.9203246645684942E-2</v>
      </c>
      <c r="H23" s="9">
        <v>58607</v>
      </c>
      <c r="I23" s="2">
        <v>4.2349639999999994E-2</v>
      </c>
      <c r="J23" s="1" t="s">
        <v>7</v>
      </c>
      <c r="K23" s="1" t="s">
        <v>55</v>
      </c>
      <c r="L23" s="28">
        <v>10973</v>
      </c>
      <c r="M23" s="20">
        <f t="shared" si="1"/>
        <v>4.1631830046890944E-2</v>
      </c>
      <c r="N23" s="27">
        <v>2120000</v>
      </c>
      <c r="O23" s="20">
        <f t="shared" si="5"/>
        <v>1.0540097643971915</v>
      </c>
      <c r="P23" s="20">
        <f t="shared" si="3"/>
        <v>7.2418939335180482E-2</v>
      </c>
      <c r="Q23" s="20">
        <f t="shared" si="4"/>
        <v>1.1650411700000001</v>
      </c>
      <c r="R23" s="4">
        <v>31242</v>
      </c>
      <c r="S23" s="8">
        <v>28487</v>
      </c>
      <c r="T23" s="8">
        <v>52270</v>
      </c>
      <c r="X23" s="20">
        <f t="shared" si="2"/>
        <v>-1.3496399999999922E-3</v>
      </c>
    </row>
    <row r="24" spans="1:24">
      <c r="A24" s="1">
        <v>1992</v>
      </c>
      <c r="B24" s="2">
        <v>4.2000000000000003E-2</v>
      </c>
      <c r="C24" s="24">
        <f>'E4 Total Pay'!C21</f>
        <v>19524.599999999999</v>
      </c>
      <c r="D24" s="25">
        <f>'E4 Total Pay'!L21</f>
        <v>4.197886647454363E-2</v>
      </c>
      <c r="E24" s="24">
        <f>'O3 Total Pay'!C21</f>
        <v>39363.839999999997</v>
      </c>
      <c r="F24" s="25">
        <f>'O3 Total Pay'!L21</f>
        <v>4.1321841817056358E-2</v>
      </c>
      <c r="G24" s="19">
        <f t="shared" si="6"/>
        <v>-7.7465149214257685E-3</v>
      </c>
      <c r="H24" s="9">
        <v>58153</v>
      </c>
      <c r="I24" s="2">
        <v>3.0288200000000001E-2</v>
      </c>
      <c r="J24" s="1" t="s">
        <v>7</v>
      </c>
      <c r="K24" s="1" t="s">
        <v>55</v>
      </c>
      <c r="L24" s="28">
        <v>11304</v>
      </c>
      <c r="M24" s="20">
        <f t="shared" si="1"/>
        <v>4.1650354145799998E-2</v>
      </c>
      <c r="N24" s="27">
        <v>1920000</v>
      </c>
      <c r="O24" s="20">
        <f t="shared" si="5"/>
        <v>1.0956601185429915</v>
      </c>
      <c r="P24" s="20">
        <f t="shared" si="3"/>
        <v>6.4672424413754717E-2</v>
      </c>
      <c r="Q24" s="20">
        <f t="shared" si="4"/>
        <v>1.1953293700000001</v>
      </c>
      <c r="R24" s="4">
        <v>32226</v>
      </c>
      <c r="S24" s="8">
        <v>28921</v>
      </c>
      <c r="T24" s="8">
        <v>53921</v>
      </c>
      <c r="X24" s="20">
        <f t="shared" si="2"/>
        <v>1.1711800000000001E-2</v>
      </c>
    </row>
    <row r="25" spans="1:24">
      <c r="A25" s="1">
        <v>1993</v>
      </c>
      <c r="B25" s="2">
        <v>3.6999999999999998E-2</v>
      </c>
      <c r="C25" s="24">
        <f>'E4 Total Pay'!C22</f>
        <v>20248.2</v>
      </c>
      <c r="D25" s="25">
        <f>'E4 Total Pay'!L22</f>
        <v>3.7060938508343438E-2</v>
      </c>
      <c r="E25" s="24">
        <f>'O3 Total Pay'!C22</f>
        <v>40844.28</v>
      </c>
      <c r="F25" s="25">
        <f>'O3 Total Pay'!L22</f>
        <v>3.7609135694078692E-2</v>
      </c>
      <c r="G25" s="19">
        <f t="shared" si="6"/>
        <v>-5.3307653947345796E-3</v>
      </c>
      <c r="H25" s="9">
        <v>57843</v>
      </c>
      <c r="I25" s="2">
        <v>2.9516569999999999E-2</v>
      </c>
      <c r="J25" s="1" t="s">
        <v>7</v>
      </c>
      <c r="K25" s="1" t="s">
        <v>55</v>
      </c>
      <c r="L25" s="28">
        <v>11642</v>
      </c>
      <c r="M25" s="20">
        <f t="shared" si="1"/>
        <v>3.7335037101211069E-2</v>
      </c>
      <c r="N25" s="27">
        <v>1820000</v>
      </c>
      <c r="O25" s="20">
        <f t="shared" si="5"/>
        <v>1.1329951556442026</v>
      </c>
      <c r="P25" s="20">
        <f t="shared" si="3"/>
        <v>5.9341659019020138E-2</v>
      </c>
      <c r="Q25" s="20">
        <f t="shared" si="4"/>
        <v>1.22484594</v>
      </c>
      <c r="R25" s="4">
        <v>34076</v>
      </c>
      <c r="S25" s="8">
        <v>28700</v>
      </c>
      <c r="T25" s="8">
        <v>56116</v>
      </c>
      <c r="X25" s="20">
        <f t="shared" si="2"/>
        <v>7.4834299999999992E-3</v>
      </c>
    </row>
    <row r="26" spans="1:24">
      <c r="A26" s="1">
        <v>1994</v>
      </c>
      <c r="B26" s="2">
        <v>2.1999999999999999E-2</v>
      </c>
      <c r="C26" s="24">
        <f>'E4 Total Pay'!C23</f>
        <v>20694.599999999999</v>
      </c>
      <c r="D26" s="25">
        <f>'E4 Total Pay'!L23</f>
        <v>2.2046404124810987E-2</v>
      </c>
      <c r="E26" s="24">
        <f>'O3 Total Pay'!C23</f>
        <v>41743.32</v>
      </c>
      <c r="F26" s="25">
        <f>'O3 Total Pay'!L23</f>
        <v>2.2011405268987504E-2</v>
      </c>
      <c r="G26" s="19">
        <f t="shared" si="6"/>
        <v>1.1617654685960271E-2</v>
      </c>
      <c r="H26" s="9">
        <v>58515</v>
      </c>
      <c r="I26" s="2">
        <v>2.6074419999999997E-2</v>
      </c>
      <c r="J26" s="1" t="s">
        <v>8</v>
      </c>
      <c r="K26" s="1" t="s">
        <v>56</v>
      </c>
      <c r="L26" s="28">
        <v>11940</v>
      </c>
      <c r="M26" s="20">
        <f t="shared" si="1"/>
        <v>2.2028904696899245E-2</v>
      </c>
      <c r="N26" s="27">
        <v>1720000</v>
      </c>
      <c r="O26" s="20">
        <f t="shared" si="5"/>
        <v>1.1550240603411019</v>
      </c>
      <c r="P26" s="20">
        <f t="shared" si="3"/>
        <v>7.0959313704980403E-2</v>
      </c>
      <c r="Q26" s="20">
        <f t="shared" si="4"/>
        <v>1.2509203600000001</v>
      </c>
      <c r="R26" s="4">
        <v>35492</v>
      </c>
      <c r="S26" s="8">
        <v>30071</v>
      </c>
      <c r="T26" s="8">
        <v>57440</v>
      </c>
      <c r="X26" s="20">
        <f t="shared" si="2"/>
        <v>-4.0744199999999987E-3</v>
      </c>
    </row>
    <row r="27" spans="1:24">
      <c r="A27" s="1">
        <v>1995</v>
      </c>
      <c r="B27" s="2">
        <v>2.5999999999999999E-2</v>
      </c>
      <c r="C27" s="24">
        <f>'E4 Total Pay'!C24</f>
        <v>21232.800000000003</v>
      </c>
      <c r="D27" s="25">
        <f>'E4 Total Pay'!L24</f>
        <v>2.6006784378533744E-2</v>
      </c>
      <c r="E27" s="24">
        <f>'O3 Total Pay'!C24</f>
        <v>42827.88</v>
      </c>
      <c r="F27" s="25">
        <f>'O3 Total Pay'!L24</f>
        <v>2.5981642092674891E-2</v>
      </c>
      <c r="G27" s="19">
        <f t="shared" si="6"/>
        <v>3.1325301204819279E-2</v>
      </c>
      <c r="H27" s="9">
        <v>60348</v>
      </c>
      <c r="I27" s="2">
        <v>2.8054199999999998E-2</v>
      </c>
      <c r="J27" s="1" t="s">
        <v>8</v>
      </c>
      <c r="K27" s="1" t="s">
        <v>56</v>
      </c>
      <c r="L27" s="28">
        <v>12278</v>
      </c>
      <c r="M27" s="20">
        <f t="shared" si="1"/>
        <v>2.5994213235604316E-2</v>
      </c>
      <c r="N27" s="27">
        <v>1635600</v>
      </c>
      <c r="O27" s="20">
        <f t="shared" si="5"/>
        <v>1.1810182735767063</v>
      </c>
      <c r="P27" s="20">
        <f t="shared" si="3"/>
        <v>0.10228461490979968</v>
      </c>
      <c r="Q27" s="20">
        <f t="shared" si="4"/>
        <v>1.27897456</v>
      </c>
      <c r="R27" s="4">
        <v>37005</v>
      </c>
      <c r="S27" s="8">
        <v>31376</v>
      </c>
      <c r="T27" s="8">
        <v>58052</v>
      </c>
      <c r="X27" s="20">
        <f t="shared" si="2"/>
        <v>-2.0541999999999991E-3</v>
      </c>
    </row>
    <row r="28" spans="1:24">
      <c r="A28" s="1">
        <v>1996</v>
      </c>
      <c r="B28" s="2">
        <v>2.4E-2</v>
      </c>
      <c r="C28" s="24">
        <f>'E4 Total Pay'!C25</f>
        <v>21866.400000000001</v>
      </c>
      <c r="D28" s="25">
        <f>'E4 Total Pay'!L25</f>
        <v>2.9840623940318681E-2</v>
      </c>
      <c r="E28" s="24">
        <f>'O3 Total Pay'!C25</f>
        <v>44051.040000000001</v>
      </c>
      <c r="F28" s="25">
        <f>'O3 Total Pay'!L25</f>
        <v>2.855990070019818E-2</v>
      </c>
      <c r="G28" s="19">
        <f t="shared" si="6"/>
        <v>1.4532378869225161E-2</v>
      </c>
      <c r="H28" s="9">
        <v>61225</v>
      </c>
      <c r="I28" s="2">
        <v>2.9312040000000001E-2</v>
      </c>
      <c r="J28" s="1" t="s">
        <v>8</v>
      </c>
      <c r="K28" s="1" t="s">
        <v>56</v>
      </c>
      <c r="L28" s="28">
        <v>12641</v>
      </c>
      <c r="M28" s="20">
        <f t="shared" si="1"/>
        <v>2.9200262320258429E-2</v>
      </c>
      <c r="N28" s="27">
        <v>1572100</v>
      </c>
      <c r="O28" s="20">
        <f t="shared" si="5"/>
        <v>1.2102185358969648</v>
      </c>
      <c r="P28" s="20">
        <f t="shared" si="3"/>
        <v>0.11681699377902484</v>
      </c>
      <c r="Q28" s="20">
        <f t="shared" si="4"/>
        <v>1.3082866</v>
      </c>
      <c r="R28" s="4">
        <v>38885</v>
      </c>
      <c r="S28" s="8">
        <v>32295</v>
      </c>
      <c r="T28" s="8">
        <v>59978</v>
      </c>
      <c r="X28" s="20">
        <f t="shared" si="2"/>
        <v>-5.3120400000000005E-3</v>
      </c>
    </row>
    <row r="29" spans="1:24">
      <c r="A29" s="1">
        <v>1997</v>
      </c>
      <c r="B29" s="2">
        <v>0.03</v>
      </c>
      <c r="C29" s="24">
        <f>'E4 Total Pay'!C26</f>
        <v>22595.4</v>
      </c>
      <c r="D29" s="25">
        <f>'E4 Total Pay'!L26</f>
        <v>3.3338821205136648E-2</v>
      </c>
      <c r="E29" s="24">
        <f>'O3 Total Pay'!C26</f>
        <v>45489.119999999995</v>
      </c>
      <c r="F29" s="25">
        <f>'O3 Total Pay'!L26</f>
        <v>3.2645767273598865E-2</v>
      </c>
      <c r="G29" s="19">
        <f t="shared" si="6"/>
        <v>2.0563495304205797E-2</v>
      </c>
      <c r="H29" s="9">
        <v>62484</v>
      </c>
      <c r="I29" s="2">
        <v>2.3376899999999999E-2</v>
      </c>
      <c r="J29" s="1" t="s">
        <v>8</v>
      </c>
      <c r="K29" s="1" t="s">
        <v>56</v>
      </c>
      <c r="L29" s="28">
        <v>12931</v>
      </c>
      <c r="M29" s="20">
        <f t="shared" si="1"/>
        <v>3.2992294239367753E-2</v>
      </c>
      <c r="N29" s="27">
        <v>1533300</v>
      </c>
      <c r="O29" s="20">
        <f t="shared" si="5"/>
        <v>1.2432108301363325</v>
      </c>
      <c r="P29" s="20">
        <f t="shared" si="3"/>
        <v>0.13738048908323064</v>
      </c>
      <c r="Q29" s="20">
        <f t="shared" si="4"/>
        <v>1.3316634999999999</v>
      </c>
      <c r="R29" s="4">
        <v>40696</v>
      </c>
      <c r="S29" s="8">
        <v>33779</v>
      </c>
      <c r="T29" s="8">
        <v>63292</v>
      </c>
      <c r="X29" s="20">
        <f t="shared" si="2"/>
        <v>6.6230999999999998E-3</v>
      </c>
    </row>
    <row r="30" spans="1:24">
      <c r="A30" s="1">
        <v>1998</v>
      </c>
      <c r="B30" s="2">
        <v>2.8000000000000001E-2</v>
      </c>
      <c r="C30" s="24">
        <f>'E4 Total Pay'!C27</f>
        <v>23178.600000000002</v>
      </c>
      <c r="D30" s="25">
        <f>'E4 Total Pay'!L27</f>
        <v>2.5810563211981229E-2</v>
      </c>
      <c r="E30" s="24">
        <f>'O3 Total Pay'!C27</f>
        <v>46729.8</v>
      </c>
      <c r="F30" s="25">
        <f>'O3 Total Pay'!L27</f>
        <v>2.7274214141755383E-2</v>
      </c>
      <c r="G30" s="19">
        <f t="shared" si="6"/>
        <v>3.6761410921195829E-2</v>
      </c>
      <c r="H30" s="9">
        <v>64781</v>
      </c>
      <c r="I30" s="2">
        <v>1.552279E-2</v>
      </c>
      <c r="J30" s="1" t="s">
        <v>8</v>
      </c>
      <c r="K30" s="1" t="s">
        <v>56</v>
      </c>
      <c r="L30" s="28">
        <v>13133</v>
      </c>
      <c r="M30" s="20">
        <f t="shared" si="1"/>
        <v>2.6542388676868305E-2</v>
      </c>
      <c r="N30" s="27">
        <v>1594000</v>
      </c>
      <c r="O30" s="20">
        <f t="shared" si="5"/>
        <v>1.2697532188132008</v>
      </c>
      <c r="P30" s="20">
        <f t="shared" si="3"/>
        <v>0.17414190000442648</v>
      </c>
      <c r="Q30" s="20">
        <f t="shared" si="4"/>
        <v>1.3471862899999998</v>
      </c>
      <c r="R30" s="4">
        <v>41990</v>
      </c>
      <c r="S30" s="8">
        <v>34373</v>
      </c>
      <c r="T30" s="8">
        <v>66474</v>
      </c>
      <c r="X30" s="20">
        <f t="shared" si="2"/>
        <v>1.2477210000000001E-2</v>
      </c>
    </row>
    <row r="31" spans="1:24">
      <c r="A31" s="1">
        <v>1999</v>
      </c>
      <c r="B31" s="2">
        <v>3.5999999999999997E-2</v>
      </c>
      <c r="C31" s="24">
        <f>'E4 Total Pay'!C28</f>
        <v>23940</v>
      </c>
      <c r="D31" s="25">
        <f>'E4 Total Pay'!L28</f>
        <v>3.2849266133416072E-2</v>
      </c>
      <c r="E31" s="24">
        <f>'O3 Total Pay'!C28</f>
        <v>48361.320000000007</v>
      </c>
      <c r="F31" s="25">
        <f>'O3 Total Pay'!L28</f>
        <v>3.4913909325526835E-2</v>
      </c>
      <c r="G31" s="19">
        <f t="shared" si="6"/>
        <v>2.4760346397863571E-2</v>
      </c>
      <c r="H31" s="9">
        <v>66385</v>
      </c>
      <c r="I31" s="2">
        <v>2.188027E-2</v>
      </c>
      <c r="J31" s="1" t="s">
        <v>8</v>
      </c>
      <c r="K31" s="1" t="s">
        <v>56</v>
      </c>
      <c r="L31" s="28">
        <v>13423</v>
      </c>
      <c r="M31" s="20">
        <f t="shared" si="1"/>
        <v>3.3881587729471453E-2</v>
      </c>
      <c r="N31" s="27">
        <v>1575000</v>
      </c>
      <c r="O31" s="20">
        <f t="shared" si="5"/>
        <v>1.3036348065426722</v>
      </c>
      <c r="P31" s="20">
        <f t="shared" si="3"/>
        <v>0.19890224640229004</v>
      </c>
      <c r="Q31" s="20">
        <f t="shared" si="4"/>
        <v>1.3690665599999998</v>
      </c>
      <c r="R31" s="4">
        <v>42228</v>
      </c>
      <c r="S31" s="8">
        <v>35623</v>
      </c>
      <c r="T31" s="8">
        <v>69719</v>
      </c>
      <c r="X31" s="20">
        <f t="shared" si="2"/>
        <v>1.4119729999999997E-2</v>
      </c>
    </row>
    <row r="32" spans="1:24">
      <c r="A32" s="1">
        <v>2000</v>
      </c>
      <c r="B32" s="2">
        <v>4.8000000000000001E-2</v>
      </c>
      <c r="C32" s="24">
        <f>'E4 Total Pay'!C29</f>
        <v>24894</v>
      </c>
      <c r="D32" s="25">
        <f>'E4 Total Pay'!L29</f>
        <v>3.9849624060150378E-2</v>
      </c>
      <c r="E32" s="24">
        <f>'O3 Total Pay'!C29</f>
        <v>50460.959999999999</v>
      </c>
      <c r="F32" s="25">
        <f>'O3 Total Pay'!L29</f>
        <v>4.3415688405527224E-2</v>
      </c>
      <c r="G32" s="19">
        <f t="shared" si="6"/>
        <v>-2.0637192136777885E-3</v>
      </c>
      <c r="H32" s="9">
        <v>66248</v>
      </c>
      <c r="I32" s="2">
        <v>3.3768570000000005E-2</v>
      </c>
      <c r="J32" s="1" t="s">
        <v>8</v>
      </c>
      <c r="K32" s="1" t="s">
        <v>56</v>
      </c>
      <c r="L32" s="28">
        <v>13874</v>
      </c>
      <c r="M32" s="20">
        <f t="shared" si="1"/>
        <v>4.1632656232838801E-2</v>
      </c>
      <c r="N32" s="27">
        <v>1454800</v>
      </c>
      <c r="O32" s="20">
        <f t="shared" si="5"/>
        <v>1.345267462775511</v>
      </c>
      <c r="P32" s="20">
        <f t="shared" si="3"/>
        <v>0.19683852718861225</v>
      </c>
      <c r="Q32" s="20">
        <f t="shared" si="4"/>
        <v>1.4028351299999999</v>
      </c>
      <c r="R32" s="4">
        <v>42409</v>
      </c>
      <c r="S32" s="8">
        <v>36526</v>
      </c>
      <c r="T32" s="8">
        <v>71842</v>
      </c>
      <c r="X32" s="20">
        <f t="shared" si="2"/>
        <v>1.4231429999999996E-2</v>
      </c>
    </row>
    <row r="33" spans="1:24">
      <c r="A33" s="1">
        <v>2001</v>
      </c>
      <c r="B33" s="2">
        <v>3.6999999999999998E-2</v>
      </c>
      <c r="C33" s="24">
        <f>'E4 Total Pay'!C30</f>
        <v>25963.200000000004</v>
      </c>
      <c r="D33" s="25">
        <f>'E4 Total Pay'!L30</f>
        <v>4.2950108459870025E-2</v>
      </c>
      <c r="E33" s="24">
        <f>'O3 Total Pay'!C30</f>
        <v>52258.44</v>
      </c>
      <c r="F33" s="25">
        <f>'O3 Total Pay'!L30</f>
        <v>3.5621201023523993E-2</v>
      </c>
      <c r="G33" s="19">
        <f t="shared" si="6"/>
        <v>-2.217425431711146E-2</v>
      </c>
      <c r="H33" s="9">
        <v>64779</v>
      </c>
      <c r="I33" s="2">
        <v>2.8261709999999999E-2</v>
      </c>
      <c r="J33" s="1" t="s">
        <v>8</v>
      </c>
      <c r="K33" s="1" t="s">
        <v>56</v>
      </c>
      <c r="L33" s="28">
        <v>14269</v>
      </c>
      <c r="M33" s="20">
        <f t="shared" si="1"/>
        <v>3.9285654741697013E-2</v>
      </c>
      <c r="N33" s="27">
        <v>1420700</v>
      </c>
      <c r="O33" s="20">
        <f t="shared" si="5"/>
        <v>1.3845531175172081</v>
      </c>
      <c r="P33" s="20">
        <f t="shared" si="3"/>
        <v>0.1746642728715008</v>
      </c>
      <c r="Q33" s="20">
        <f t="shared" si="4"/>
        <v>1.4310968399999999</v>
      </c>
      <c r="R33" s="4">
        <v>43318</v>
      </c>
      <c r="S33" s="8">
        <v>36055</v>
      </c>
      <c r="T33" s="8">
        <v>72284</v>
      </c>
      <c r="X33" s="20">
        <f t="shared" si="2"/>
        <v>8.7382899999999993E-3</v>
      </c>
    </row>
    <row r="34" spans="1:24">
      <c r="A34" s="1">
        <v>2002</v>
      </c>
      <c r="B34" s="2">
        <v>6.9000000000000006E-2</v>
      </c>
      <c r="C34" s="24">
        <f>'E4 Total Pay'!C31</f>
        <v>27884.999999999993</v>
      </c>
      <c r="D34" s="25">
        <f>'E4 Total Pay'!L31</f>
        <v>7.4020151599186082E-2</v>
      </c>
      <c r="E34" s="24">
        <f>'O3 Total Pay'!C31</f>
        <v>55227.839999999997</v>
      </c>
      <c r="F34" s="25">
        <f>'O3 Total Pay'!L31</f>
        <v>5.6821443579257135E-2</v>
      </c>
      <c r="G34" s="19">
        <f t="shared" si="6"/>
        <v>-1.1299958319825869E-2</v>
      </c>
      <c r="H34" s="9">
        <v>64047</v>
      </c>
      <c r="I34" s="2">
        <v>1.5860320000000001E-2</v>
      </c>
      <c r="J34" s="1" t="s">
        <v>9</v>
      </c>
      <c r="K34" s="1" t="s">
        <v>55</v>
      </c>
      <c r="L34" s="28">
        <v>14494</v>
      </c>
      <c r="M34" s="20">
        <f t="shared" si="1"/>
        <v>6.5420797589221605E-2</v>
      </c>
      <c r="N34" s="27">
        <v>1467000</v>
      </c>
      <c r="O34" s="20">
        <f t="shared" si="5"/>
        <v>1.4499739151064297</v>
      </c>
      <c r="P34" s="20">
        <f t="shared" si="3"/>
        <v>0.16336431455167494</v>
      </c>
      <c r="Q34" s="20">
        <f t="shared" si="4"/>
        <v>1.44695716</v>
      </c>
      <c r="R34" s="4">
        <v>44334</v>
      </c>
      <c r="S34" s="8">
        <v>35646</v>
      </c>
      <c r="T34" s="8">
        <v>73600</v>
      </c>
      <c r="X34" s="20">
        <f t="shared" si="2"/>
        <v>5.3139680000000009E-2</v>
      </c>
    </row>
    <row r="35" spans="1:24">
      <c r="A35" s="1">
        <v>2003</v>
      </c>
      <c r="B35" s="2">
        <v>4.1000000000000002E-2</v>
      </c>
      <c r="C35" s="24">
        <f>'E4 Total Pay'!C32</f>
        <v>28929.119999999995</v>
      </c>
      <c r="D35" s="25">
        <f>'E4 Total Pay'!L32</f>
        <v>3.7443786982248622E-2</v>
      </c>
      <c r="E35" s="24">
        <f>'O3 Total Pay'!C32</f>
        <v>57430.2</v>
      </c>
      <c r="F35" s="25">
        <f>'O3 Total Pay'!L32</f>
        <v>3.9877713848667638E-2</v>
      </c>
      <c r="G35" s="19">
        <f t="shared" si="6"/>
        <v>-1.2490827048885975E-3</v>
      </c>
      <c r="H35" s="9">
        <v>63967</v>
      </c>
      <c r="I35" s="2">
        <v>2.2700950000000001E-2</v>
      </c>
      <c r="J35" s="1" t="s">
        <v>9</v>
      </c>
      <c r="K35" s="1" t="s">
        <v>55</v>
      </c>
      <c r="L35" s="28">
        <v>14824</v>
      </c>
      <c r="M35" s="20">
        <f t="shared" si="1"/>
        <v>3.8660750415458134E-2</v>
      </c>
      <c r="N35" s="27">
        <v>1480000</v>
      </c>
      <c r="O35" s="20">
        <f t="shared" si="5"/>
        <v>1.4886346655218878</v>
      </c>
      <c r="P35" s="20">
        <f t="shared" si="3"/>
        <v>0.16211523184678633</v>
      </c>
      <c r="Q35" s="20">
        <f t="shared" si="4"/>
        <v>1.4696581099999999</v>
      </c>
      <c r="R35" s="4">
        <v>46326</v>
      </c>
      <c r="S35" s="8">
        <v>36835</v>
      </c>
      <c r="T35" s="8">
        <v>73446</v>
      </c>
      <c r="X35" s="20">
        <f t="shared" si="2"/>
        <v>1.8299050000000001E-2</v>
      </c>
    </row>
    <row r="36" spans="1:24">
      <c r="A36" s="1">
        <v>2004</v>
      </c>
      <c r="B36" s="2">
        <v>4.2000000000000003E-2</v>
      </c>
      <c r="C36" s="24">
        <f>'E4 Total Pay'!C33</f>
        <v>29983.319999999996</v>
      </c>
      <c r="D36" s="25">
        <f>'E4 Total Pay'!L33</f>
        <v>3.6440790456121752E-2</v>
      </c>
      <c r="E36" s="24">
        <f>'O3 Total Pay'!C33</f>
        <v>59501.16</v>
      </c>
      <c r="F36" s="25">
        <f>'O3 Total Pay'!L33</f>
        <v>3.6060469926972337E-2</v>
      </c>
      <c r="G36" s="19">
        <f t="shared" si="6"/>
        <v>-3.4705394969281036E-3</v>
      </c>
      <c r="H36" s="9">
        <v>63745</v>
      </c>
      <c r="I36" s="2">
        <v>2.677237E-2</v>
      </c>
      <c r="J36" s="1" t="s">
        <v>9</v>
      </c>
      <c r="K36" s="1" t="s">
        <v>55</v>
      </c>
      <c r="L36" s="28">
        <v>15219</v>
      </c>
      <c r="M36" s="20">
        <f t="shared" si="1"/>
        <v>3.6250630191547048E-2</v>
      </c>
      <c r="N36" s="27">
        <v>1473000</v>
      </c>
      <c r="O36" s="20">
        <f t="shared" si="5"/>
        <v>1.5248852957134349</v>
      </c>
      <c r="P36" s="20">
        <f t="shared" si="3"/>
        <v>0.15864469234985823</v>
      </c>
      <c r="Q36" s="20">
        <f t="shared" si="4"/>
        <v>1.4964304799999999</v>
      </c>
      <c r="R36" s="4">
        <v>48201</v>
      </c>
      <c r="S36" s="8">
        <v>37330</v>
      </c>
      <c r="T36" s="8">
        <v>74303</v>
      </c>
      <c r="X36" s="20">
        <f t="shared" si="2"/>
        <v>1.5227630000000002E-2</v>
      </c>
    </row>
    <row r="37" spans="1:24">
      <c r="A37" s="1">
        <v>2005</v>
      </c>
      <c r="B37" s="2">
        <v>3.5000000000000003E-2</v>
      </c>
      <c r="C37" s="24">
        <f>'E4 Total Pay'!C34</f>
        <v>31134.959999999999</v>
      </c>
      <c r="D37" s="25">
        <f>'E4 Total Pay'!L34</f>
        <v>3.8409355601714663E-2</v>
      </c>
      <c r="E37" s="24">
        <f>'O3 Total Pay'!C34</f>
        <v>61703.280000000006</v>
      </c>
      <c r="F37" s="25">
        <f>'O3 Total Pay'!L34</f>
        <v>3.7009698634446829E-2</v>
      </c>
      <c r="G37" s="19">
        <f t="shared" si="6"/>
        <v>1.0698878343399483E-2</v>
      </c>
      <c r="H37" s="9">
        <v>64427</v>
      </c>
      <c r="I37" s="2">
        <v>3.3927470000000001E-2</v>
      </c>
      <c r="J37" s="1" t="s">
        <v>9</v>
      </c>
      <c r="K37" s="1" t="s">
        <v>55</v>
      </c>
      <c r="L37" s="28">
        <v>15735</v>
      </c>
      <c r="M37" s="20">
        <f t="shared" si="1"/>
        <v>3.7709527118080746E-2</v>
      </c>
      <c r="N37" s="27">
        <v>1546000</v>
      </c>
      <c r="O37" s="20">
        <f t="shared" si="5"/>
        <v>1.5625948228315156</v>
      </c>
      <c r="P37" s="20">
        <f t="shared" si="3"/>
        <v>0.1693435706932577</v>
      </c>
      <c r="Q37" s="20">
        <f t="shared" si="4"/>
        <v>1.53035795</v>
      </c>
      <c r="R37" s="4">
        <v>50233</v>
      </c>
      <c r="S37" s="8">
        <v>38191</v>
      </c>
      <c r="T37" s="8">
        <v>77179</v>
      </c>
      <c r="X37" s="20">
        <f t="shared" si="2"/>
        <v>1.0725300000000021E-3</v>
      </c>
    </row>
    <row r="38" spans="1:24">
      <c r="A38" s="1">
        <v>2006</v>
      </c>
      <c r="B38" s="2">
        <v>3.1E-2</v>
      </c>
      <c r="C38" s="24">
        <f>'E4 Total Pay'!C35</f>
        <v>32245.320000000007</v>
      </c>
      <c r="D38" s="25">
        <f>'E4 Total Pay'!L35</f>
        <v>3.5662804769943754E-2</v>
      </c>
      <c r="E38" s="24">
        <f>'O3 Total Pay'!C35</f>
        <v>63876.479999999996</v>
      </c>
      <c r="F38" s="25">
        <f>'O3 Total Pay'!L35</f>
        <v>3.5220169819173142E-2</v>
      </c>
      <c r="G38" s="19">
        <f t="shared" si="6"/>
        <v>7.8072857652847407E-3</v>
      </c>
      <c r="H38" s="9">
        <v>64930</v>
      </c>
      <c r="I38" s="2">
        <v>3.225944E-2</v>
      </c>
      <c r="J38" s="1" t="s">
        <v>9</v>
      </c>
      <c r="K38" s="1" t="s">
        <v>55</v>
      </c>
      <c r="L38" s="28">
        <v>16242</v>
      </c>
      <c r="M38" s="20">
        <f t="shared" si="1"/>
        <v>3.5441487294558448E-2</v>
      </c>
      <c r="N38" s="27">
        <v>1498000</v>
      </c>
      <c r="O38" s="20">
        <f t="shared" si="5"/>
        <v>1.5980363101260742</v>
      </c>
      <c r="P38" s="20">
        <f t="shared" si="3"/>
        <v>0.17715085645854245</v>
      </c>
      <c r="Q38" s="20">
        <f t="shared" si="4"/>
        <v>1.56261739</v>
      </c>
      <c r="R38" s="4">
        <v>50303</v>
      </c>
      <c r="S38" s="8">
        <v>39426</v>
      </c>
      <c r="T38" s="8">
        <v>81723</v>
      </c>
      <c r="X38" s="20">
        <f t="shared" si="2"/>
        <v>-1.2594400000000006E-3</v>
      </c>
    </row>
    <row r="39" spans="1:24">
      <c r="A39" s="1">
        <v>2007</v>
      </c>
      <c r="B39" s="2">
        <v>2.7E-2</v>
      </c>
      <c r="C39" s="24">
        <f>'E4 Total Pay'!C36</f>
        <v>33063.96</v>
      </c>
      <c r="D39" s="25">
        <f>'E4 Total Pay'!L36</f>
        <v>2.5387870239774082E-2</v>
      </c>
      <c r="E39" s="24">
        <f>'O3 Total Pay'!C36</f>
        <v>65437.079999999987</v>
      </c>
      <c r="F39" s="25">
        <f>'O3 Total Pay'!L36</f>
        <v>2.4431527848747948E-2</v>
      </c>
      <c r="G39" s="19">
        <f t="shared" si="6"/>
        <v>1.3414446326813491E-2</v>
      </c>
      <c r="H39" s="9">
        <v>65801</v>
      </c>
      <c r="I39" s="2">
        <v>2.8526720000000002E-2</v>
      </c>
      <c r="J39" s="1" t="s">
        <v>9</v>
      </c>
      <c r="K39" s="1" t="s">
        <v>55</v>
      </c>
      <c r="L39" s="32">
        <v>16705</v>
      </c>
      <c r="M39" s="20">
        <f t="shared" si="1"/>
        <v>2.4909699044261015E-2</v>
      </c>
      <c r="N39" s="27">
        <v>1555000</v>
      </c>
      <c r="O39" s="20">
        <f t="shared" si="5"/>
        <v>1.6229460091703352</v>
      </c>
      <c r="P39" s="20">
        <f t="shared" si="3"/>
        <v>0.19056530278535594</v>
      </c>
      <c r="Q39" s="20">
        <f t="shared" si="4"/>
        <v>1.5911441099999999</v>
      </c>
      <c r="R39" s="4">
        <v>49777</v>
      </c>
      <c r="S39" s="8">
        <v>40456</v>
      </c>
      <c r="T39" s="8">
        <v>84508</v>
      </c>
      <c r="X39" s="20">
        <f t="shared" si="2"/>
        <v>-1.5267200000000022E-3</v>
      </c>
    </row>
    <row r="40" spans="1:24">
      <c r="A40" s="1">
        <v>2008</v>
      </c>
      <c r="B40" s="2">
        <v>3.5000000000000003E-2</v>
      </c>
      <c r="C40" s="24">
        <f>'E4 Total Pay'!C37</f>
        <v>33854.160000000003</v>
      </c>
      <c r="D40" s="25">
        <f>'E4 Total Pay'!L37</f>
        <v>2.3899133679087574E-2</v>
      </c>
      <c r="E40" s="24">
        <f>'O3 Total Pay'!C37</f>
        <v>67253.279999999999</v>
      </c>
      <c r="F40" s="25">
        <f>'O3 Total Pay'!L37</f>
        <v>2.7754905934066924E-2</v>
      </c>
      <c r="G40" s="19">
        <f t="shared" si="6"/>
        <v>-3.5652953602528833E-2</v>
      </c>
      <c r="H40" s="9">
        <v>63455</v>
      </c>
      <c r="I40" s="2">
        <v>3.8391000000000002E-2</v>
      </c>
      <c r="J40" s="1" t="s">
        <v>9</v>
      </c>
      <c r="K40" s="1" t="s">
        <v>55</v>
      </c>
      <c r="L40" s="28">
        <v>17346</v>
      </c>
      <c r="M40" s="20">
        <f t="shared" si="1"/>
        <v>2.5827019806577249E-2</v>
      </c>
      <c r="N40" s="27">
        <v>1540000</v>
      </c>
      <c r="O40" s="20">
        <f t="shared" si="5"/>
        <v>1.6487730289769125</v>
      </c>
      <c r="P40" s="20">
        <f t="shared" si="3"/>
        <v>0.15491234918282709</v>
      </c>
      <c r="Q40" s="20">
        <f t="shared" si="4"/>
        <v>1.62953511</v>
      </c>
      <c r="R40" s="4">
        <v>49276</v>
      </c>
      <c r="S40" s="8">
        <v>39962</v>
      </c>
      <c r="T40" s="8">
        <v>85127</v>
      </c>
      <c r="X40" s="20">
        <f t="shared" si="2"/>
        <v>-3.3909999999999982E-3</v>
      </c>
    </row>
    <row r="41" spans="1:24">
      <c r="A41" s="1">
        <v>2009</v>
      </c>
      <c r="B41" s="2">
        <v>3.9E-2</v>
      </c>
      <c r="C41" s="24">
        <f>'E4 Total Pay'!C38</f>
        <v>36345.839999999997</v>
      </c>
      <c r="D41" s="25">
        <f>'E4 Total Pay'!L38</f>
        <v>7.3600408339772508E-2</v>
      </c>
      <c r="E41" s="24">
        <f>'O3 Total Pay'!C38</f>
        <v>71364.479999999996</v>
      </c>
      <c r="F41" s="25">
        <f>'O3 Total Pay'!L38</f>
        <v>6.1130103988980125E-2</v>
      </c>
      <c r="G41" s="19">
        <f t="shared" si="6"/>
        <v>-6.9970845481049562E-3</v>
      </c>
      <c r="H41" s="9">
        <v>63011</v>
      </c>
      <c r="I41" s="2">
        <v>-3.5554599999999999E-3</v>
      </c>
      <c r="J41" s="1" t="s">
        <v>9</v>
      </c>
      <c r="K41" s="1" t="s">
        <v>55</v>
      </c>
      <c r="L41" s="28">
        <v>17285</v>
      </c>
      <c r="M41" s="20">
        <f t="shared" si="1"/>
        <v>6.7365256164376316E-2</v>
      </c>
      <c r="N41" s="27">
        <v>1563996</v>
      </c>
      <c r="O41" s="20">
        <f t="shared" si="5"/>
        <v>1.7161382851412887</v>
      </c>
      <c r="P41" s="20">
        <f t="shared" si="3"/>
        <v>0.14791526463472213</v>
      </c>
      <c r="Q41" s="20">
        <f t="shared" si="4"/>
        <v>1.6259796499999999</v>
      </c>
      <c r="R41" s="4">
        <v>50054</v>
      </c>
      <c r="S41" s="8">
        <v>39647</v>
      </c>
      <c r="T41" s="8">
        <v>82722</v>
      </c>
      <c r="X41" s="20">
        <f t="shared" si="2"/>
        <v>4.2555460000000003E-2</v>
      </c>
    </row>
    <row r="42" spans="1:24">
      <c r="A42" s="1">
        <v>2010</v>
      </c>
      <c r="B42" s="2">
        <v>3.4000000000000002E-2</v>
      </c>
      <c r="C42" s="24">
        <f>'E4 Total Pay'!C39</f>
        <v>37375.440000000002</v>
      </c>
      <c r="D42" s="25">
        <f>'E4 Total Pay'!L39</f>
        <v>2.8327863656473641E-2</v>
      </c>
      <c r="E42" s="24">
        <f>'O3 Total Pay'!C39</f>
        <v>73585.680000000008</v>
      </c>
      <c r="F42" s="25">
        <f>'O3 Total Pay'!L39</f>
        <v>3.1124727595577124E-2</v>
      </c>
      <c r="G42" s="19">
        <f t="shared" si="6"/>
        <v>-2.6138293313865833E-2</v>
      </c>
      <c r="H42" s="9">
        <v>61364</v>
      </c>
      <c r="I42" s="2">
        <v>1.6400430000000001E-2</v>
      </c>
      <c r="J42" s="1" t="s">
        <v>10</v>
      </c>
      <c r="K42" s="1" t="s">
        <v>56</v>
      </c>
      <c r="L42" s="28">
        <v>17568</v>
      </c>
      <c r="M42" s="20">
        <f t="shared" si="1"/>
        <v>2.9726295626025384E-2</v>
      </c>
      <c r="N42" s="27">
        <v>1569417</v>
      </c>
      <c r="O42" s="20">
        <f t="shared" si="5"/>
        <v>1.7458645807673141</v>
      </c>
      <c r="P42" s="20">
        <f t="shared" si="3"/>
        <v>0.1217769713208563</v>
      </c>
      <c r="Q42" s="20">
        <f t="shared" si="4"/>
        <v>1.6423800799999999</v>
      </c>
      <c r="R42" s="4">
        <v>51017</v>
      </c>
      <c r="S42" s="8">
        <v>38883</v>
      </c>
      <c r="T42" s="8">
        <v>82054</v>
      </c>
      <c r="X42" s="20">
        <f t="shared" si="2"/>
        <v>1.7599570000000002E-2</v>
      </c>
    </row>
    <row r="43" spans="1:24">
      <c r="A43" s="1">
        <v>2011</v>
      </c>
      <c r="B43" s="2">
        <v>1.4E-2</v>
      </c>
      <c r="C43" s="24">
        <f>'E4 Total Pay'!C40</f>
        <v>37690.080000000002</v>
      </c>
      <c r="D43" s="25">
        <f>'E4 Total Pay'!L40</f>
        <v>8.4183624326562949E-3</v>
      </c>
      <c r="E43" s="24">
        <f>'O3 Total Pay'!C40</f>
        <v>74324.28</v>
      </c>
      <c r="F43" s="25">
        <f>'O3 Total Pay'!L40</f>
        <v>1.003727899232556E-2</v>
      </c>
      <c r="G43" s="19">
        <f t="shared" si="6"/>
        <v>-1.5253242943745518E-2</v>
      </c>
      <c r="H43" s="9">
        <v>60428</v>
      </c>
      <c r="I43" s="2">
        <v>3.156842E-2</v>
      </c>
      <c r="J43" s="1" t="s">
        <v>10</v>
      </c>
      <c r="K43" s="1" t="s">
        <v>56</v>
      </c>
      <c r="L43" s="28">
        <v>18123</v>
      </c>
      <c r="M43" s="20">
        <f t="shared" si="1"/>
        <v>9.2278207124909285E-3</v>
      </c>
      <c r="N43" s="27">
        <v>1520100</v>
      </c>
      <c r="O43" s="20">
        <f t="shared" si="5"/>
        <v>1.7550924014798051</v>
      </c>
      <c r="P43" s="20">
        <f t="shared" si="3"/>
        <v>0.10652372837711079</v>
      </c>
      <c r="Q43" s="20">
        <f t="shared" si="4"/>
        <v>1.6739484999999998</v>
      </c>
      <c r="R43" s="4">
        <v>51939</v>
      </c>
      <c r="S43" s="8">
        <v>39420</v>
      </c>
      <c r="T43" s="8">
        <v>83985</v>
      </c>
      <c r="X43" s="20">
        <f t="shared" si="2"/>
        <v>-1.7568420000000001E-2</v>
      </c>
    </row>
    <row r="44" spans="1:24">
      <c r="A44" s="1">
        <v>2012</v>
      </c>
      <c r="B44" s="2">
        <v>1.6E-2</v>
      </c>
      <c r="C44" s="24">
        <f>'E4 Total Pay'!C41</f>
        <v>38510.880000000005</v>
      </c>
      <c r="D44" s="25">
        <f>'E4 Total Pay'!L41</f>
        <v>2.1777613632022082E-2</v>
      </c>
      <c r="E44" s="24">
        <f>'O3 Total Pay'!C41</f>
        <v>75662.520000000019</v>
      </c>
      <c r="F44" s="25">
        <f>'O3 Total Pay'!L41</f>
        <v>1.8005421646869902E-2</v>
      </c>
      <c r="G44" s="19">
        <f t="shared" si="6"/>
        <v>-1.9030912821870656E-3</v>
      </c>
      <c r="H44" s="9">
        <v>60313</v>
      </c>
      <c r="I44" s="2">
        <v>2.0693369999999999E-2</v>
      </c>
      <c r="J44" s="1" t="s">
        <v>10</v>
      </c>
      <c r="K44" s="1" t="s">
        <v>56</v>
      </c>
      <c r="L44" s="28">
        <v>18498</v>
      </c>
      <c r="M44" s="20">
        <f t="shared" si="1"/>
        <v>1.9891517639445994E-2</v>
      </c>
      <c r="N44" s="27">
        <v>1492200</v>
      </c>
      <c r="O44" s="20">
        <f t="shared" si="5"/>
        <v>1.7749839191192511</v>
      </c>
      <c r="P44" s="20">
        <f t="shared" si="3"/>
        <v>0.10462063709492372</v>
      </c>
      <c r="Q44" s="20">
        <f t="shared" si="4"/>
        <v>1.6946418699999999</v>
      </c>
      <c r="R44" s="4">
        <v>53585</v>
      </c>
      <c r="S44" s="8">
        <v>39845</v>
      </c>
      <c r="T44" s="8">
        <v>86419</v>
      </c>
      <c r="X44" s="20">
        <f t="shared" si="2"/>
        <v>-4.6933699999999988E-3</v>
      </c>
    </row>
    <row r="45" spans="1:24">
      <c r="A45" s="1">
        <v>2013</v>
      </c>
      <c r="B45" s="2">
        <v>1.7000000000000001E-2</v>
      </c>
      <c r="C45" s="24">
        <f>'E4 Total Pay'!C42</f>
        <v>39312.840000000004</v>
      </c>
      <c r="D45" s="25">
        <f>'E4 Total Pay'!L42</f>
        <v>2.0824244992583889E-2</v>
      </c>
      <c r="E45" s="24">
        <f>'O3 Total Pay'!C42</f>
        <v>77206.200000000012</v>
      </c>
      <c r="F45" s="25">
        <f>'O3 Total Pay'!L42</f>
        <v>2.0402175343882185E-2</v>
      </c>
      <c r="G45" s="19">
        <f t="shared" si="6"/>
        <v>3.5017326281232899E-2</v>
      </c>
      <c r="H45" s="9">
        <v>62425</v>
      </c>
      <c r="I45" s="2">
        <v>1.4648330000000001E-2</v>
      </c>
      <c r="J45" s="1" t="s">
        <v>10</v>
      </c>
      <c r="K45" s="1" t="s">
        <v>56</v>
      </c>
      <c r="L45" s="28">
        <v>18769</v>
      </c>
      <c r="M45" s="20">
        <f t="shared" si="1"/>
        <v>2.0613210168233038E-2</v>
      </c>
      <c r="N45" s="27">
        <v>1433150</v>
      </c>
      <c r="O45" s="20">
        <f t="shared" si="5"/>
        <v>1.7955971292874842</v>
      </c>
      <c r="P45" s="20">
        <f t="shared" si="3"/>
        <v>0.13963796337615664</v>
      </c>
      <c r="Q45" s="20">
        <f t="shared" si="4"/>
        <v>1.7092901999999999</v>
      </c>
      <c r="R45" s="4">
        <v>53657</v>
      </c>
      <c r="S45" s="8">
        <v>40701</v>
      </c>
      <c r="T45" s="8">
        <v>86411</v>
      </c>
      <c r="X45" s="20">
        <f t="shared" si="2"/>
        <v>2.3516700000000001E-3</v>
      </c>
    </row>
    <row r="46" spans="1:24">
      <c r="A46" s="1">
        <v>2014</v>
      </c>
      <c r="B46" s="2">
        <v>0.01</v>
      </c>
      <c r="C46" s="24">
        <f>'E4 Total Pay'!C43</f>
        <v>40078.200000000004</v>
      </c>
      <c r="D46" s="25">
        <f>'E4 Total Pay'!L43</f>
        <v>1.9468448476375671E-2</v>
      </c>
      <c r="E46" s="24">
        <f>'O3 Total Pay'!C43</f>
        <v>78545.88</v>
      </c>
      <c r="F46" s="25">
        <f>'O3 Total Pay'!L43</f>
        <v>1.7351974323305548E-2</v>
      </c>
      <c r="G46" s="19">
        <f t="shared" si="6"/>
        <v>-1.5330396475770926E-2</v>
      </c>
      <c r="H46" s="9">
        <v>61468</v>
      </c>
      <c r="I46" s="2">
        <v>1.6222230000000001E-2</v>
      </c>
      <c r="J46" s="1" t="s">
        <v>10</v>
      </c>
      <c r="K46" s="1" t="s">
        <v>56</v>
      </c>
      <c r="L46" s="28">
        <v>19073</v>
      </c>
      <c r="M46" s="20">
        <f t="shared" si="1"/>
        <v>1.8410211399840608E-2</v>
      </c>
      <c r="N46" s="27">
        <v>1381250</v>
      </c>
      <c r="O46" s="20">
        <f t="shared" si="5"/>
        <v>1.8140073406873247</v>
      </c>
      <c r="P46" s="20">
        <f t="shared" si="3"/>
        <v>0.12430756690038572</v>
      </c>
      <c r="Q46" s="20">
        <f t="shared" si="4"/>
        <v>1.7255124299999998</v>
      </c>
      <c r="R46" s="4">
        <v>56516</v>
      </c>
      <c r="S46" s="8">
        <v>41427</v>
      </c>
      <c r="T46" s="8">
        <v>89459</v>
      </c>
      <c r="X46" s="20">
        <f t="shared" si="2"/>
        <v>-6.2222300000000005E-3</v>
      </c>
    </row>
    <row r="47" spans="1:24">
      <c r="A47" s="1">
        <v>2015</v>
      </c>
      <c r="B47" s="2">
        <v>0.01</v>
      </c>
      <c r="C47" s="24">
        <f>'E4 Total Pay'!C44</f>
        <v>40515.839999999997</v>
      </c>
      <c r="D47" s="25">
        <f>'E4 Total Pay'!L44</f>
        <v>1.0919652080183044E-2</v>
      </c>
      <c r="E47" s="24">
        <f>'O3 Total Pay'!C44</f>
        <v>79313.760000000009</v>
      </c>
      <c r="F47" s="25">
        <f>'O3 Total Pay'!L44</f>
        <v>9.7761970455993944E-3</v>
      </c>
      <c r="G47" s="19">
        <f t="shared" si="6"/>
        <v>5.1457669031040543E-2</v>
      </c>
      <c r="H47" s="9">
        <v>64631</v>
      </c>
      <c r="I47" s="2">
        <v>1.1862699999999999E-3</v>
      </c>
      <c r="J47" s="1" t="s">
        <v>10</v>
      </c>
      <c r="K47" s="1" t="s">
        <v>56</v>
      </c>
      <c r="L47" s="28">
        <v>19096</v>
      </c>
      <c r="M47" s="20">
        <f t="shared" si="1"/>
        <v>1.0347924562891219E-2</v>
      </c>
      <c r="N47" s="27">
        <v>1347300</v>
      </c>
      <c r="O47" s="20">
        <f t="shared" si="5"/>
        <v>1.824355265250216</v>
      </c>
      <c r="P47" s="20">
        <f t="shared" si="3"/>
        <v>0.17576523593142626</v>
      </c>
      <c r="Q47" s="20">
        <f t="shared" si="4"/>
        <v>1.7266986999999998</v>
      </c>
      <c r="R47" s="4">
        <v>59039</v>
      </c>
      <c r="S47" s="8">
        <v>42047</v>
      </c>
      <c r="T47" s="8">
        <v>94934</v>
      </c>
      <c r="X47" s="20">
        <f t="shared" si="2"/>
        <v>8.8137300000000005E-3</v>
      </c>
    </row>
    <row r="48" spans="1:24">
      <c r="A48" s="1">
        <v>2016</v>
      </c>
      <c r="B48" s="2">
        <v>1.2999999999999999E-2</v>
      </c>
      <c r="C48" s="24">
        <f>'E4 Total Pay'!C45</f>
        <v>41185.408800000005</v>
      </c>
      <c r="D48" s="25">
        <f>'E4 Total Pay'!L45</f>
        <v>1.6526099421855952E-2</v>
      </c>
      <c r="E48" s="24">
        <f>'O3 Total Pay'!C45</f>
        <v>80615.542799999996</v>
      </c>
      <c r="F48" s="25">
        <f>'O3 Total Pay'!L45</f>
        <v>1.6413076369093914E-2</v>
      </c>
      <c r="G48" s="19">
        <f t="shared" si="6"/>
        <v>3.1347186334731013E-2</v>
      </c>
      <c r="H48" s="9">
        <v>66657</v>
      </c>
      <c r="I48" s="2">
        <v>1.261583E-2</v>
      </c>
      <c r="J48" s="1" t="s">
        <v>10</v>
      </c>
      <c r="K48" s="1" t="s">
        <v>56</v>
      </c>
      <c r="L48" s="28">
        <v>19337</v>
      </c>
      <c r="M48" s="20">
        <f t="shared" si="1"/>
        <v>1.6469587895474931E-2</v>
      </c>
      <c r="N48" s="27">
        <v>1348400</v>
      </c>
      <c r="O48" s="20">
        <f t="shared" si="5"/>
        <v>1.840824853145691</v>
      </c>
      <c r="P48" s="20">
        <f t="shared" si="3"/>
        <v>0.20711242226615728</v>
      </c>
      <c r="Q48" s="20">
        <f t="shared" si="4"/>
        <v>1.7393145299999999</v>
      </c>
      <c r="R48" s="4">
        <v>61372</v>
      </c>
      <c r="S48" s="8">
        <v>43331</v>
      </c>
      <c r="T48" s="8">
        <v>97072</v>
      </c>
      <c r="X48" s="20">
        <f t="shared" si="2"/>
        <v>3.8416999999999965E-4</v>
      </c>
    </row>
    <row r="49" spans="1:24">
      <c r="A49" s="1">
        <v>2017</v>
      </c>
      <c r="B49" s="2">
        <v>2.1000000000000001E-2</v>
      </c>
      <c r="C49" s="24">
        <f>'E4 Total Pay'!C46</f>
        <v>49589.986504799992</v>
      </c>
      <c r="D49" s="25">
        <f>'E4 Total Pay'!L46</f>
        <v>0.20406687585919958</v>
      </c>
      <c r="E49" s="24">
        <f>'O3 Total Pay'!C46</f>
        <v>88100.739238800001</v>
      </c>
      <c r="F49" s="25">
        <f>'O3 Total Pay'!L46</f>
        <v>9.2850536990988358E-2</v>
      </c>
      <c r="G49" s="19">
        <f t="shared" si="6"/>
        <v>1.3711988238294552E-2</v>
      </c>
      <c r="H49" s="9">
        <v>67571</v>
      </c>
      <c r="I49" s="2">
        <v>2.1301100000000003E-2</v>
      </c>
      <c r="J49" s="1" t="s">
        <v>10</v>
      </c>
      <c r="K49" s="1" t="s">
        <v>56</v>
      </c>
      <c r="L49" s="28">
        <v>19749</v>
      </c>
      <c r="M49" s="20">
        <f t="shared" si="1"/>
        <v>0.14845870642509396</v>
      </c>
      <c r="N49" s="27">
        <v>1359000</v>
      </c>
      <c r="O49" s="20">
        <f t="shared" si="5"/>
        <v>1.989283559570785</v>
      </c>
      <c r="P49" s="20">
        <f t="shared" si="3"/>
        <v>0.22082441050445184</v>
      </c>
      <c r="Q49" s="20">
        <f t="shared" si="4"/>
        <v>1.76061563</v>
      </c>
      <c r="R49" s="4">
        <v>61136</v>
      </c>
      <c r="S49" s="8">
        <v>44970</v>
      </c>
      <c r="T49" s="8">
        <v>100021</v>
      </c>
      <c r="X49" s="20">
        <f t="shared" si="2"/>
        <v>-3.0110000000000206E-4</v>
      </c>
    </row>
    <row r="50" spans="1:24">
      <c r="A50" s="1">
        <v>2018</v>
      </c>
      <c r="B50" s="2">
        <v>2.4E-2</v>
      </c>
      <c r="C50" s="24">
        <f>'E4 Total Pay'!C47</f>
        <v>50269.680000000008</v>
      </c>
      <c r="D50" s="25">
        <f>'E4 Total Pay'!L47</f>
        <v>1.3706264976180738E-2</v>
      </c>
      <c r="E50" s="24">
        <f>'O3 Total Pay'!C47</f>
        <v>89641.680000000008</v>
      </c>
      <c r="F50" s="25">
        <f>'O3 Total Pay'!L47</f>
        <v>1.7490667780019818E-2</v>
      </c>
      <c r="G50" s="19">
        <f t="shared" si="6"/>
        <v>8.835151174320344E-3</v>
      </c>
      <c r="H50" s="9">
        <v>68168</v>
      </c>
      <c r="I50" s="2">
        <v>2.4425829999999999E-2</v>
      </c>
      <c r="J50" s="1" t="s">
        <v>11</v>
      </c>
      <c r="K50" s="1" t="s">
        <v>55</v>
      </c>
      <c r="L50" s="28">
        <v>20231</v>
      </c>
      <c r="M50" s="20">
        <f t="shared" si="1"/>
        <v>1.5598466378100279E-2</v>
      </c>
      <c r="N50" s="27">
        <v>1379800</v>
      </c>
      <c r="O50" s="20">
        <f t="shared" si="5"/>
        <v>2.0048820259488851</v>
      </c>
      <c r="P50" s="20">
        <f t="shared" si="3"/>
        <v>0.22965956167877219</v>
      </c>
      <c r="Q50" s="20">
        <f t="shared" si="4"/>
        <v>1.78504146</v>
      </c>
      <c r="R50" s="4">
        <v>63179</v>
      </c>
      <c r="S50" s="8">
        <v>46073</v>
      </c>
      <c r="T50" s="8">
        <v>101822</v>
      </c>
      <c r="X50" s="20">
        <f t="shared" si="2"/>
        <v>-4.2582999999999857E-4</v>
      </c>
    </row>
    <row r="51" spans="1:24">
      <c r="A51" s="1">
        <v>2019</v>
      </c>
      <c r="B51" s="2">
        <v>2.5999999999999999E-2</v>
      </c>
      <c r="C51" s="24">
        <f>'E4 Total Pay'!C48</f>
        <v>51331.680000000008</v>
      </c>
      <c r="D51" s="25">
        <f>'E4 Total Pay'!L48</f>
        <v>2.1126054512382014E-2</v>
      </c>
      <c r="E51" s="24">
        <f>'O3 Total Pay'!C48</f>
        <v>91339.080000000016</v>
      </c>
      <c r="F51" s="25">
        <f>'O3 Total Pay'!L48</f>
        <v>1.8935388091789539E-2</v>
      </c>
      <c r="G51" s="19">
        <f t="shared" si="6"/>
        <v>6.8067128271329658E-2</v>
      </c>
      <c r="H51" s="9">
        <v>72808</v>
      </c>
      <c r="I51" s="2">
        <v>1.8122100000000002E-2</v>
      </c>
      <c r="J51" s="1" t="s">
        <v>11</v>
      </c>
      <c r="K51" s="1" t="s">
        <v>55</v>
      </c>
      <c r="L51" s="28">
        <v>20597.641426380367</v>
      </c>
      <c r="M51" s="20">
        <f t="shared" si="1"/>
        <v>2.0030721302085774E-2</v>
      </c>
      <c r="N51" s="27">
        <v>1388000</v>
      </c>
      <c r="O51" s="20">
        <f t="shared" si="5"/>
        <v>2.0249127472509709</v>
      </c>
      <c r="P51" s="20">
        <f t="shared" si="3"/>
        <v>0.29772668995010187</v>
      </c>
      <c r="Q51" s="20">
        <f t="shared" si="4"/>
        <v>1.80316356</v>
      </c>
      <c r="R51" s="4">
        <v>68703</v>
      </c>
      <c r="S51" s="8">
        <v>48708</v>
      </c>
      <c r="T51" s="8">
        <v>108646</v>
      </c>
      <c r="X51" s="20">
        <f t="shared" si="2"/>
        <v>7.8778999999999967E-3</v>
      </c>
    </row>
    <row r="52" spans="1:24">
      <c r="A52" s="1">
        <v>2020</v>
      </c>
      <c r="B52" s="2">
        <v>3.1E-2</v>
      </c>
      <c r="C52" s="24">
        <f>'E4 Total Pay'!C49</f>
        <v>52275.12</v>
      </c>
      <c r="D52" s="25">
        <f>'E4 Total Pay'!L49</f>
        <v>1.8379293255159287E-2</v>
      </c>
      <c r="E52" s="24">
        <f>'O3 Total Pay'!C49</f>
        <v>94991.760000000009</v>
      </c>
      <c r="F52" s="25">
        <f>'O3 Total Pay'!L49</f>
        <v>3.9990330535407105E-2</v>
      </c>
      <c r="G52" s="19">
        <f t="shared" si="6"/>
        <v>-2.2277771673442477E-2</v>
      </c>
      <c r="H52" s="9">
        <v>71186</v>
      </c>
      <c r="I52" s="2">
        <v>1.2335840000000001E-2</v>
      </c>
      <c r="J52" s="1" t="s">
        <v>11</v>
      </c>
      <c r="K52" s="1" t="s">
        <v>55</v>
      </c>
      <c r="L52" s="28">
        <v>20851.751273006132</v>
      </c>
      <c r="M52" s="20">
        <f t="shared" si="1"/>
        <v>2.9184811895283196E-2</v>
      </c>
      <c r="N52" s="27">
        <v>1374380</v>
      </c>
      <c r="O52" s="20">
        <f t="shared" si="5"/>
        <v>2.0540975591462542</v>
      </c>
      <c r="P52" s="20">
        <f t="shared" si="3"/>
        <v>0.2754489182766594</v>
      </c>
      <c r="Q52" s="20">
        <f t="shared" si="4"/>
        <v>1.8154994</v>
      </c>
      <c r="R52" s="4">
        <v>68010</v>
      </c>
      <c r="S52" s="8">
        <v>47736</v>
      </c>
      <c r="T52" s="8">
        <v>107379</v>
      </c>
      <c r="U52" s="4">
        <v>29963</v>
      </c>
      <c r="V52" s="4">
        <v>90131</v>
      </c>
      <c r="W52" s="39">
        <v>219572</v>
      </c>
      <c r="X52" s="20">
        <f t="shared" si="2"/>
        <v>1.8664159999999999E-2</v>
      </c>
    </row>
    <row r="53" spans="1:24">
      <c r="A53" s="1">
        <v>2021</v>
      </c>
      <c r="B53" s="2">
        <v>0.03</v>
      </c>
      <c r="C53" s="24">
        <f>'E4 Total Pay'!C50</f>
        <v>53990.399999999994</v>
      </c>
      <c r="D53" s="25">
        <f>'E4 Total Pay'!L50</f>
        <v>3.2812550215092599E-2</v>
      </c>
      <c r="E53" s="24">
        <f>'O3 Total Pay'!C50</f>
        <v>98797.56</v>
      </c>
      <c r="F53" s="25">
        <f>'O3 Total Pay'!L50</f>
        <v>4.0064527702192147E-2</v>
      </c>
      <c r="G53" s="19">
        <f t="shared" si="6"/>
        <v>-5.6471778158626697E-3</v>
      </c>
      <c r="H53" s="9">
        <v>70784</v>
      </c>
      <c r="I53" s="2">
        <v>4.6978590000000001E-2</v>
      </c>
      <c r="J53" s="1" t="s">
        <v>11</v>
      </c>
      <c r="K53" s="1" t="s">
        <v>55</v>
      </c>
      <c r="L53" s="26">
        <v>21831</v>
      </c>
      <c r="M53" s="20">
        <f t="shared" si="1"/>
        <v>3.6438538958642373E-2</v>
      </c>
      <c r="N53" s="27">
        <v>1351000</v>
      </c>
      <c r="O53" s="20">
        <f t="shared" si="5"/>
        <v>2.0905360981048968</v>
      </c>
      <c r="P53" s="20">
        <f t="shared" si="3"/>
        <v>0.26980174046079675</v>
      </c>
      <c r="Q53" s="20">
        <f t="shared" si="4"/>
        <v>1.8624779899999999</v>
      </c>
      <c r="R53" s="4">
        <v>70784</v>
      </c>
      <c r="S53" s="8">
        <v>50401</v>
      </c>
      <c r="T53" s="8">
        <v>115456</v>
      </c>
      <c r="X53" s="20">
        <f t="shared" si="2"/>
        <v>-1.6978590000000002E-2</v>
      </c>
    </row>
    <row r="54" spans="1:24">
      <c r="A54" s="1">
        <v>2022</v>
      </c>
      <c r="B54" s="2">
        <v>2.7E-2</v>
      </c>
      <c r="C54" s="24">
        <f>'E4 Total Pay'!C51</f>
        <v>56405.16</v>
      </c>
      <c r="D54" s="25">
        <f>'E4 Total Pay'!L51</f>
        <v>4.4725729018492352E-2</v>
      </c>
      <c r="E54" s="24">
        <f>'O3 Total Pay'!C51</f>
        <v>100311.48000000001</v>
      </c>
      <c r="F54" s="25">
        <f>'O3 Total Pay'!L51</f>
        <v>1.5323455356589908E-2</v>
      </c>
      <c r="G54" s="19">
        <f t="shared" si="6"/>
        <v>-1</v>
      </c>
      <c r="H54" s="9"/>
      <c r="I54" s="2">
        <v>7.6999999999999999E-2</v>
      </c>
      <c r="J54" s="1" t="s">
        <v>12</v>
      </c>
      <c r="K54" s="1" t="s">
        <v>56</v>
      </c>
      <c r="L54" s="26"/>
      <c r="M54" s="20">
        <f t="shared" ref="M54" si="7">(D54+F54)/2</f>
        <v>3.0024592187541131E-2</v>
      </c>
      <c r="N54" s="27">
        <v>1346400</v>
      </c>
      <c r="O54" s="20">
        <f t="shared" ref="O54" si="8">O53+M54</f>
        <v>2.1205606902924381</v>
      </c>
      <c r="P54" s="20">
        <f t="shared" ref="P54" si="9">P53+G54</f>
        <v>-0.73019825953920325</v>
      </c>
      <c r="Q54" s="20">
        <f t="shared" ref="Q54" si="10">Q53+I54</f>
        <v>1.9394779899999999</v>
      </c>
      <c r="S54" s="8"/>
      <c r="T54" s="8"/>
      <c r="X54" s="20">
        <f t="shared" si="2"/>
        <v>-0.05</v>
      </c>
    </row>
    <row r="55" spans="1:24">
      <c r="I55" s="33"/>
      <c r="O55" s="20"/>
      <c r="X55" s="20"/>
    </row>
    <row r="56" spans="1:24">
      <c r="H56" s="31">
        <f>H53-(H53*G53)-(H53*I52)</f>
        <v>70310.549735958019</v>
      </c>
      <c r="I56" s="20"/>
      <c r="M56" s="20"/>
    </row>
    <row r="58" spans="1:24">
      <c r="H58" s="19"/>
      <c r="L58" s="16"/>
      <c r="M58" s="23"/>
    </row>
    <row r="59" spans="1:24">
      <c r="G59" s="34"/>
      <c r="H59" s="34"/>
      <c r="J59" s="17"/>
      <c r="K59" s="17"/>
      <c r="L59" s="11"/>
      <c r="M59" s="23"/>
    </row>
    <row r="60" spans="1:24">
      <c r="G60" s="34"/>
      <c r="H60" s="34"/>
      <c r="J60" s="17"/>
      <c r="K60" s="17"/>
      <c r="L60" s="16"/>
      <c r="M60" s="23"/>
    </row>
    <row r="62" spans="1:24">
      <c r="E62" s="9"/>
    </row>
    <row r="63" spans="1:24">
      <c r="G63" s="9"/>
    </row>
    <row r="65" spans="7:12">
      <c r="G65" s="9"/>
      <c r="H65" s="19"/>
      <c r="I65" s="19"/>
      <c r="J65" s="19"/>
      <c r="K65" s="19"/>
    </row>
    <row r="66" spans="7:12">
      <c r="G66" s="9"/>
      <c r="H66" s="19"/>
      <c r="I66" s="19"/>
      <c r="J66" s="19"/>
      <c r="K66" s="19"/>
    </row>
    <row r="67" spans="7:12">
      <c r="G67" s="9"/>
      <c r="H67" s="19"/>
      <c r="I67" s="19"/>
      <c r="J67" s="19"/>
      <c r="K67" s="19"/>
    </row>
    <row r="68" spans="7:12">
      <c r="G68" s="9"/>
      <c r="H68" s="19"/>
      <c r="I68" s="19"/>
      <c r="J68" s="19"/>
      <c r="K68" s="19"/>
    </row>
    <row r="69" spans="7:12">
      <c r="G69" s="9"/>
      <c r="H69" s="19"/>
      <c r="I69" s="19"/>
      <c r="J69" s="19"/>
      <c r="K69" s="19"/>
    </row>
    <row r="70" spans="7:12">
      <c r="G70" s="9"/>
      <c r="H70" s="19"/>
      <c r="I70" s="19"/>
      <c r="J70" s="19"/>
      <c r="K70" s="19"/>
    </row>
    <row r="71" spans="7:12">
      <c r="G71" s="9"/>
      <c r="H71" s="19"/>
      <c r="I71" s="19"/>
      <c r="J71" s="19"/>
      <c r="K71" s="19"/>
    </row>
    <row r="72" spans="7:12">
      <c r="G72" s="9"/>
      <c r="H72" s="19"/>
      <c r="I72" s="19"/>
      <c r="J72" s="19"/>
      <c r="K72" s="19"/>
    </row>
    <row r="73" spans="7:12">
      <c r="G73" s="9"/>
      <c r="H73" s="19"/>
      <c r="I73" s="19"/>
      <c r="J73" s="19"/>
      <c r="K73" s="19"/>
    </row>
    <row r="74" spans="7:12">
      <c r="G74" s="9"/>
      <c r="H74" s="19"/>
      <c r="L74" s="19"/>
    </row>
    <row r="75" spans="7:12">
      <c r="G75" s="9"/>
      <c r="H75" s="19"/>
      <c r="L75" s="19"/>
    </row>
    <row r="76" spans="7:12">
      <c r="G76" s="9"/>
      <c r="H76" s="19"/>
      <c r="L76" s="19"/>
    </row>
    <row r="77" spans="7:12">
      <c r="G77" s="9"/>
      <c r="H77" s="19"/>
      <c r="L77" s="19"/>
    </row>
    <row r="78" spans="7:12">
      <c r="G78" s="9"/>
      <c r="H78" s="19"/>
      <c r="L78" s="19"/>
    </row>
    <row r="79" spans="7:12">
      <c r="G79" s="9"/>
      <c r="H79" s="19"/>
    </row>
    <row r="80" spans="7:12">
      <c r="G80" s="9"/>
      <c r="H80" s="19"/>
    </row>
    <row r="81" spans="7:8">
      <c r="G81" s="9"/>
      <c r="H81" s="1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selection activeCell="F13" sqref="F13"/>
    </sheetView>
  </sheetViews>
  <sheetFormatPr defaultRowHeight="14.4"/>
  <cols>
    <col min="1" max="1" width="9.21875" bestFit="1" customWidth="1"/>
    <col min="4" max="4" width="11.88671875" bestFit="1" customWidth="1"/>
    <col min="5" max="5" width="19" bestFit="1" customWidth="1"/>
    <col min="6" max="6" width="11.44140625" style="6" bestFit="1" customWidth="1"/>
  </cols>
  <sheetData>
    <row r="1" spans="1:7">
      <c r="A1" t="s">
        <v>14</v>
      </c>
      <c r="B1" t="s">
        <v>16</v>
      </c>
      <c r="C1" t="s">
        <v>17</v>
      </c>
      <c r="D1" t="s">
        <v>18</v>
      </c>
      <c r="E1" t="s">
        <v>19</v>
      </c>
      <c r="F1" s="6" t="s">
        <v>15</v>
      </c>
      <c r="G1" t="s">
        <v>54</v>
      </c>
    </row>
    <row r="2" spans="1:7">
      <c r="A2" t="s">
        <v>20</v>
      </c>
      <c r="B2" s="5">
        <v>3384</v>
      </c>
      <c r="C2" s="5">
        <v>2814</v>
      </c>
      <c r="D2" s="5">
        <v>1588</v>
      </c>
      <c r="E2" s="5">
        <v>2652</v>
      </c>
      <c r="F2" s="7">
        <v>10438</v>
      </c>
      <c r="G2" s="3">
        <f>F2/($F$11+'Officer by Grade'!$F$18)</f>
        <v>7.8161563351077813E-3</v>
      </c>
    </row>
    <row r="3" spans="1:7">
      <c r="A3" t="s">
        <v>25</v>
      </c>
      <c r="B3" s="5">
        <v>10669</v>
      </c>
      <c r="C3" s="5">
        <v>7322</v>
      </c>
      <c r="D3" s="5">
        <v>3969</v>
      </c>
      <c r="E3" s="5">
        <v>4956</v>
      </c>
      <c r="F3" s="7">
        <v>26916</v>
      </c>
      <c r="G3" s="3">
        <f>F3/($F$11+'Officer by Grade'!$F$18)</f>
        <v>2.0155169947859843E-2</v>
      </c>
    </row>
    <row r="4" spans="1:7">
      <c r="A4" t="s">
        <v>21</v>
      </c>
      <c r="B4" s="5">
        <v>34633</v>
      </c>
      <c r="C4" s="5">
        <v>22871</v>
      </c>
      <c r="D4" s="5">
        <v>8709</v>
      </c>
      <c r="E4" s="5">
        <v>26371</v>
      </c>
      <c r="F4" s="7">
        <v>92584</v>
      </c>
      <c r="G4" s="3">
        <f>F4/($F$11+'Officer by Grade'!$F$18)</f>
        <v>6.9328512945930135E-2</v>
      </c>
    </row>
    <row r="5" spans="1:7">
      <c r="A5" t="s">
        <v>28</v>
      </c>
      <c r="B5" s="5">
        <v>59289</v>
      </c>
      <c r="C5" s="5">
        <v>51707</v>
      </c>
      <c r="D5" s="5">
        <v>13557</v>
      </c>
      <c r="E5" s="5">
        <v>44186</v>
      </c>
      <c r="F5" s="7">
        <v>168739</v>
      </c>
      <c r="G5" s="3">
        <f>F5/($F$11+'Officer by Grade'!$F$18)</f>
        <v>0.12635470433318183</v>
      </c>
    </row>
    <row r="6" spans="1:7">
      <c r="A6" t="s">
        <v>22</v>
      </c>
      <c r="B6" s="5">
        <v>70580</v>
      </c>
      <c r="C6" s="5">
        <v>72621</v>
      </c>
      <c r="D6" s="5">
        <v>22725</v>
      </c>
      <c r="E6" s="5">
        <v>61600</v>
      </c>
      <c r="F6" s="7">
        <v>227526</v>
      </c>
      <c r="G6" s="3">
        <f>F6/($F$11+'Officer by Grade'!$F$18)</f>
        <v>0.17037543459491597</v>
      </c>
    </row>
    <row r="7" spans="1:7">
      <c r="A7" t="s">
        <v>26</v>
      </c>
      <c r="B7" s="5">
        <v>119664</v>
      </c>
      <c r="C7" s="5">
        <v>54967</v>
      </c>
      <c r="D7" s="5">
        <v>31993</v>
      </c>
      <c r="E7" s="5">
        <v>61063</v>
      </c>
      <c r="F7" s="7">
        <v>267687</v>
      </c>
      <c r="G7" s="3">
        <f>F7/($F$11+'Officer by Grade'!$F$18)</f>
        <v>0.20044869140410007</v>
      </c>
    </row>
    <row r="8" spans="1:7">
      <c r="A8" t="s">
        <v>23</v>
      </c>
      <c r="B8" s="5">
        <v>54932</v>
      </c>
      <c r="C8" s="5">
        <v>47709</v>
      </c>
      <c r="D8" s="5">
        <v>45167</v>
      </c>
      <c r="E8" s="5">
        <v>48421</v>
      </c>
      <c r="F8" s="7">
        <v>196229</v>
      </c>
      <c r="G8" s="3">
        <f>F8/($F$11+'Officer by Grade'!$F$18)</f>
        <v>0.14693969548590388</v>
      </c>
    </row>
    <row r="9" spans="1:7">
      <c r="A9" t="s">
        <v>27</v>
      </c>
      <c r="B9" s="5">
        <v>21749</v>
      </c>
      <c r="C9" s="5">
        <v>16859</v>
      </c>
      <c r="D9" s="5">
        <v>19721</v>
      </c>
      <c r="E9" s="5">
        <v>8143</v>
      </c>
      <c r="F9" s="7">
        <v>66472</v>
      </c>
      <c r="G9" s="3">
        <f>F9/($F$11+'Officer by Grade'!$F$18)</f>
        <v>4.9775392211849435E-2</v>
      </c>
    </row>
    <row r="10" spans="1:7">
      <c r="A10" t="s">
        <v>24</v>
      </c>
      <c r="B10" s="5">
        <v>13664</v>
      </c>
      <c r="C10" s="5">
        <v>10309</v>
      </c>
      <c r="D10" s="5">
        <v>10548</v>
      </c>
      <c r="E10" s="5">
        <v>8266</v>
      </c>
      <c r="F10" s="7">
        <v>42787</v>
      </c>
      <c r="G10" s="3">
        <f>F10/($F$11+'Officer by Grade'!$F$18)</f>
        <v>3.2039651380557255E-2</v>
      </c>
    </row>
    <row r="11" spans="1:7">
      <c r="A11" s="6" t="s">
        <v>15</v>
      </c>
      <c r="B11" s="7">
        <v>388564</v>
      </c>
      <c r="C11" s="7">
        <v>287179</v>
      </c>
      <c r="D11" s="7">
        <v>157977</v>
      </c>
      <c r="E11" s="7">
        <v>265658</v>
      </c>
      <c r="F11" s="7">
        <v>1099378</v>
      </c>
      <c r="G11" s="3">
        <f>F11/($F$11+'Officer by Grade'!$F$18)</f>
        <v>0.82323340863940619</v>
      </c>
    </row>
    <row r="13" spans="1:7">
      <c r="F13" s="36">
        <f>F11/9</f>
        <v>122153.11111111111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A8" sqref="A8"/>
    </sheetView>
  </sheetViews>
  <sheetFormatPr defaultRowHeight="14.4"/>
  <cols>
    <col min="6" max="6" width="8.88671875" style="6"/>
  </cols>
  <sheetData>
    <row r="1" spans="1:7">
      <c r="A1" s="10" t="s">
        <v>14</v>
      </c>
      <c r="B1" t="s">
        <v>16</v>
      </c>
      <c r="C1" t="s">
        <v>17</v>
      </c>
      <c r="D1" t="s">
        <v>18</v>
      </c>
      <c r="E1" t="s">
        <v>19</v>
      </c>
      <c r="F1" s="6" t="s">
        <v>15</v>
      </c>
      <c r="G1" t="s">
        <v>54</v>
      </c>
    </row>
    <row r="2" spans="1:7">
      <c r="A2" t="s">
        <v>31</v>
      </c>
      <c r="B2">
        <v>16</v>
      </c>
      <c r="C2">
        <v>9</v>
      </c>
      <c r="D2">
        <v>3</v>
      </c>
      <c r="E2">
        <v>13</v>
      </c>
      <c r="F2" s="6">
        <v>41</v>
      </c>
      <c r="G2" s="21">
        <f>F2/($F$18+'Enlisted by Grade'!$F$11)</f>
        <v>3.0701514633015811E-5</v>
      </c>
    </row>
    <row r="3" spans="1:7">
      <c r="A3" t="s">
        <v>80</v>
      </c>
      <c r="B3">
        <v>48</v>
      </c>
      <c r="C3">
        <v>39</v>
      </c>
      <c r="D3">
        <v>20</v>
      </c>
      <c r="E3">
        <v>50</v>
      </c>
      <c r="F3" s="6">
        <v>157</v>
      </c>
      <c r="G3" s="21">
        <f>F3/($F$18+'Enlisted by Grade'!$F$11)</f>
        <v>1.1756433652154834E-4</v>
      </c>
    </row>
    <row r="4" spans="1:7">
      <c r="A4" t="s">
        <v>79</v>
      </c>
      <c r="B4">
        <v>105</v>
      </c>
      <c r="C4">
        <v>63</v>
      </c>
      <c r="D4">
        <v>30</v>
      </c>
      <c r="E4">
        <v>96</v>
      </c>
      <c r="F4" s="6">
        <v>294</v>
      </c>
      <c r="G4" s="21">
        <f>F4/($F$18+'Enlisted by Grade'!$F$11)</f>
        <v>2.2015232444162557E-4</v>
      </c>
    </row>
    <row r="5" spans="1:7">
      <c r="A5" t="s">
        <v>78</v>
      </c>
      <c r="B5">
        <v>129</v>
      </c>
      <c r="C5">
        <v>110</v>
      </c>
      <c r="D5">
        <v>36</v>
      </c>
      <c r="E5">
        <v>134</v>
      </c>
      <c r="F5" s="6">
        <v>409</v>
      </c>
      <c r="G5" s="21">
        <f>F5/($F$18+'Enlisted by Grade'!$F$11)</f>
        <v>3.0626632890008455E-4</v>
      </c>
    </row>
    <row r="6" spans="1:7">
      <c r="A6" t="s">
        <v>77</v>
      </c>
      <c r="B6" s="5">
        <v>3903</v>
      </c>
      <c r="C6" s="5">
        <v>3278</v>
      </c>
      <c r="D6">
        <v>659</v>
      </c>
      <c r="E6" s="5">
        <v>3357</v>
      </c>
      <c r="F6" s="7">
        <v>11197</v>
      </c>
      <c r="G6" s="21">
        <f>F6/($F$18+'Enlisted by Grade'!$F$11)</f>
        <v>8.3845087645336106E-3</v>
      </c>
    </row>
    <row r="7" spans="1:7">
      <c r="A7" t="s">
        <v>76</v>
      </c>
      <c r="B7" s="5">
        <v>9139</v>
      </c>
      <c r="C7" s="5">
        <v>6756</v>
      </c>
      <c r="D7" s="5">
        <v>1959</v>
      </c>
      <c r="E7" s="5">
        <v>9946</v>
      </c>
      <c r="F7" s="7">
        <v>27800</v>
      </c>
      <c r="G7" s="21">
        <f>F7/($F$18+'Enlisted by Grade'!$F$11)</f>
        <v>2.0817124556044866E-2</v>
      </c>
    </row>
    <row r="8" spans="1:7">
      <c r="A8" t="s">
        <v>75</v>
      </c>
      <c r="B8" s="5">
        <v>16179</v>
      </c>
      <c r="C8" s="5">
        <v>10722</v>
      </c>
      <c r="D8" s="5">
        <v>4004</v>
      </c>
      <c r="E8" s="5">
        <v>14497</v>
      </c>
      <c r="F8" s="7">
        <v>45402</v>
      </c>
      <c r="G8" s="21">
        <f>F8/($F$18+'Enlisted by Grade'!$F$11)</f>
        <v>3.3997808960199605E-2</v>
      </c>
    </row>
    <row r="9" spans="1:7">
      <c r="A9" t="s">
        <v>74</v>
      </c>
      <c r="B9" s="5">
        <v>27227</v>
      </c>
      <c r="C9" s="5">
        <v>18927</v>
      </c>
      <c r="D9" s="5">
        <v>5952</v>
      </c>
      <c r="E9" s="5">
        <v>21401</v>
      </c>
      <c r="F9" s="7">
        <v>73507</v>
      </c>
      <c r="G9" s="21">
        <f>F9/($F$18+'Enlisted by Grade'!$F$11)</f>
        <v>5.5043322832416905E-2</v>
      </c>
    </row>
    <row r="10" spans="1:7">
      <c r="A10" t="s">
        <v>73</v>
      </c>
      <c r="B10" s="5">
        <v>12286</v>
      </c>
      <c r="C10" s="5">
        <v>7196</v>
      </c>
      <c r="D10" s="5">
        <v>3988</v>
      </c>
      <c r="E10" s="5">
        <v>8666</v>
      </c>
      <c r="F10" s="7">
        <v>32136</v>
      </c>
      <c r="G10" s="21">
        <f>F10/($F$18+'Enlisted by Grade'!$F$11)</f>
        <v>2.4063996932843806E-2</v>
      </c>
    </row>
    <row r="11" spans="1:7">
      <c r="A11" t="s">
        <v>72</v>
      </c>
      <c r="B11" s="5">
        <v>9737</v>
      </c>
      <c r="C11" s="5">
        <v>6954</v>
      </c>
      <c r="D11" s="5">
        <v>2818</v>
      </c>
      <c r="E11" s="5">
        <v>6713</v>
      </c>
      <c r="F11" s="7">
        <v>26222</v>
      </c>
      <c r="G11" s="21">
        <f>F11/($F$18+'Enlisted by Grade'!$F$11)</f>
        <v>1.9635490651388796E-2</v>
      </c>
    </row>
    <row r="12" spans="1:7">
      <c r="A12" t="s">
        <v>32</v>
      </c>
      <c r="B12">
        <v>543</v>
      </c>
      <c r="C12">
        <v>85</v>
      </c>
      <c r="D12">
        <v>108</v>
      </c>
      <c r="E12">
        <v>0</v>
      </c>
      <c r="F12" s="6">
        <v>736</v>
      </c>
      <c r="G12" s="21">
        <f>F12/($F$18+'Enlisted by Grade'!$F$11)</f>
        <v>5.5112962853413742E-4</v>
      </c>
    </row>
    <row r="13" spans="1:7">
      <c r="A13" t="s">
        <v>33</v>
      </c>
      <c r="B13" s="5">
        <v>1972</v>
      </c>
      <c r="C13">
        <v>467</v>
      </c>
      <c r="D13">
        <v>309</v>
      </c>
      <c r="E13">
        <v>0</v>
      </c>
      <c r="F13" s="7">
        <v>2748</v>
      </c>
      <c r="G13" s="21">
        <f>F13/($F$18+'Enlisted by Grade'!$F$11)</f>
        <v>2.057750297842133E-3</v>
      </c>
    </row>
    <row r="14" spans="1:7">
      <c r="A14" t="s">
        <v>34</v>
      </c>
      <c r="B14" s="5">
        <v>3475</v>
      </c>
      <c r="C14">
        <v>733</v>
      </c>
      <c r="D14">
        <v>594</v>
      </c>
      <c r="E14">
        <v>0</v>
      </c>
      <c r="F14" s="7">
        <v>4802</v>
      </c>
      <c r="G14" s="21">
        <f>F14/($F$18+'Enlisted by Grade'!$F$11)</f>
        <v>3.5958212992132175E-3</v>
      </c>
    </row>
    <row r="15" spans="1:7">
      <c r="A15" t="s">
        <v>35</v>
      </c>
      <c r="B15" s="5">
        <v>5849</v>
      </c>
      <c r="C15">
        <v>670</v>
      </c>
      <c r="D15">
        <v>944</v>
      </c>
      <c r="E15">
        <v>0</v>
      </c>
      <c r="F15" s="7">
        <v>7463</v>
      </c>
      <c r="G15" s="21">
        <f>F15/($F$18+'Enlisted by Grade'!$F$11)</f>
        <v>5.5884244806389512E-3</v>
      </c>
    </row>
    <row r="16" spans="1:7">
      <c r="A16" t="s">
        <v>36</v>
      </c>
      <c r="B16" s="5">
        <v>2835</v>
      </c>
      <c r="C16">
        <v>10</v>
      </c>
      <c r="D16">
        <v>277</v>
      </c>
      <c r="E16">
        <v>0</v>
      </c>
      <c r="F16" s="7">
        <v>3122</v>
      </c>
      <c r="G16" s="21">
        <f>F16/($F$18+'Enlisted by Grade'!$F$11)</f>
        <v>2.337808016689643E-3</v>
      </c>
    </row>
    <row r="17" spans="1:7">
      <c r="A17" t="s">
        <v>37</v>
      </c>
      <c r="B17">
        <v>0</v>
      </c>
      <c r="C17">
        <v>25</v>
      </c>
      <c r="D17">
        <v>0</v>
      </c>
      <c r="E17">
        <v>0</v>
      </c>
      <c r="F17" s="6">
        <v>25</v>
      </c>
      <c r="G17" s="21">
        <f>F17/($F$18+'Enlisted by Grade'!$F$11)</f>
        <v>1.8720435751838909E-5</v>
      </c>
    </row>
    <row r="18" spans="1:7" s="6" customFormat="1">
      <c r="A18" s="6" t="s">
        <v>15</v>
      </c>
      <c r="B18" s="7">
        <v>93443</v>
      </c>
      <c r="C18" s="7">
        <v>56044</v>
      </c>
      <c r="D18" s="7">
        <v>21701</v>
      </c>
      <c r="E18" s="7">
        <v>64873</v>
      </c>
      <c r="F18" s="7">
        <v>236061</v>
      </c>
      <c r="G18" s="21">
        <f>F18/($F$18+'Enlisted by Grade'!$F$11)</f>
        <v>0.17676659136059378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11"/>
  <sheetViews>
    <sheetView tabSelected="1" workbookViewId="0">
      <pane ySplit="1" topLeftCell="A23" activePane="bottomLeft" state="frozen"/>
      <selection pane="bottomLeft" activeCell="F23" sqref="F23"/>
    </sheetView>
  </sheetViews>
  <sheetFormatPr defaultRowHeight="14.4"/>
  <cols>
    <col min="1" max="1" width="5" bestFit="1" customWidth="1"/>
    <col min="2" max="2" width="5.21875" style="16" bestFit="1" customWidth="1"/>
    <col min="3" max="3" width="12.109375" bestFit="1" customWidth="1"/>
    <col min="4" max="4" width="12.21875" style="4" bestFit="1" customWidth="1"/>
    <col min="5" max="5" width="11.6640625" style="4" bestFit="1" customWidth="1"/>
    <col min="6" max="6" width="10.109375" style="4" bestFit="1" customWidth="1"/>
    <col min="7" max="7" width="11.109375" style="4" bestFit="1" customWidth="1"/>
    <col min="9" max="9" width="11.77734375" customWidth="1"/>
    <col min="12" max="12" width="17.21875" style="16" bestFit="1" customWidth="1"/>
  </cols>
  <sheetData>
    <row r="1" spans="1:12">
      <c r="A1" t="s">
        <v>38</v>
      </c>
      <c r="B1" s="19" t="s">
        <v>39</v>
      </c>
      <c r="C1" t="s">
        <v>48</v>
      </c>
      <c r="D1" s="4" t="s">
        <v>49</v>
      </c>
      <c r="E1" s="4" t="s">
        <v>50</v>
      </c>
      <c r="F1" s="4" t="s">
        <v>40</v>
      </c>
      <c r="G1" s="4" t="s">
        <v>41</v>
      </c>
      <c r="H1" t="s">
        <v>46</v>
      </c>
      <c r="I1" t="s">
        <v>47</v>
      </c>
      <c r="J1" s="16" t="s">
        <v>43</v>
      </c>
      <c r="K1" s="16" t="s">
        <v>44</v>
      </c>
      <c r="L1" s="16" t="s">
        <v>45</v>
      </c>
    </row>
    <row r="2" spans="1:12">
      <c r="A2">
        <v>1973</v>
      </c>
      <c r="B2" s="19" t="s">
        <v>13</v>
      </c>
      <c r="C2" s="4">
        <f t="shared" ref="C2:C33" si="0">(((D2+E2)/2)+F2+G2)*12</f>
        <v>6982.1999999999989</v>
      </c>
      <c r="D2" s="4">
        <v>369.9</v>
      </c>
      <c r="E2" s="4">
        <v>463.2</v>
      </c>
      <c r="F2" s="4">
        <v>121.5</v>
      </c>
      <c r="G2" s="4">
        <v>43.8</v>
      </c>
      <c r="I2" s="20">
        <f>Combined!B5</f>
        <v>6.7000000000000004E-2</v>
      </c>
      <c r="J2" s="3"/>
      <c r="K2" s="3"/>
      <c r="L2" s="19"/>
    </row>
    <row r="3" spans="1:12">
      <c r="A3">
        <v>1974</v>
      </c>
      <c r="B3" s="19" t="s">
        <v>13</v>
      </c>
      <c r="C3" s="4">
        <f t="shared" si="0"/>
        <v>8002.7999999999993</v>
      </c>
      <c r="D3" s="4">
        <v>414.3</v>
      </c>
      <c r="E3" s="4">
        <v>518.70000000000005</v>
      </c>
      <c r="F3" s="4">
        <v>128.1</v>
      </c>
      <c r="G3" s="4">
        <v>72.3</v>
      </c>
      <c r="H3" s="20"/>
      <c r="I3" s="20">
        <f>Combined!B6</f>
        <v>6.2E-2</v>
      </c>
      <c r="J3" s="3">
        <f t="shared" ref="J3:J11" si="1">(F3-F2)/F2</f>
        <v>5.4320987654320939E-2</v>
      </c>
      <c r="K3" s="3">
        <f t="shared" ref="K3:K11" si="2">(G3-G2)/G2</f>
        <v>0.65068493150684936</v>
      </c>
      <c r="L3" s="19">
        <f t="shared" ref="L3:L11" si="3">(C3-C2)/C2</f>
        <v>0.1461716937354989</v>
      </c>
    </row>
    <row r="4" spans="1:12">
      <c r="A4">
        <v>1975</v>
      </c>
      <c r="B4" s="19" t="s">
        <v>13</v>
      </c>
      <c r="C4" s="4">
        <f t="shared" si="0"/>
        <v>8400.5999999999985</v>
      </c>
      <c r="D4" s="4">
        <v>435</v>
      </c>
      <c r="E4" s="4">
        <v>544.5</v>
      </c>
      <c r="F4" s="4">
        <v>134.4</v>
      </c>
      <c r="G4" s="4">
        <v>75.900000000000006</v>
      </c>
      <c r="H4" s="3">
        <f t="shared" ref="H4:H12" si="4">(D3-D2)/D2</f>
        <v>0.12003244120032451</v>
      </c>
      <c r="I4" s="20">
        <f>Combined!B7</f>
        <v>5.5199999999999999E-2</v>
      </c>
      <c r="J4" s="3">
        <f t="shared" si="1"/>
        <v>4.9180327868852548E-2</v>
      </c>
      <c r="K4" s="3">
        <f t="shared" si="2"/>
        <v>4.9792531120332072E-2</v>
      </c>
      <c r="L4" s="19">
        <f t="shared" si="3"/>
        <v>4.9707602339181201E-2</v>
      </c>
    </row>
    <row r="5" spans="1:12">
      <c r="A5">
        <v>1976</v>
      </c>
      <c r="B5" s="19" t="s">
        <v>13</v>
      </c>
      <c r="C5" s="4">
        <f t="shared" si="0"/>
        <v>8940.6</v>
      </c>
      <c r="D5" s="4">
        <v>450.6</v>
      </c>
      <c r="E5" s="4">
        <v>564.29999999999995</v>
      </c>
      <c r="F5" s="4">
        <v>147.9</v>
      </c>
      <c r="G5" s="4">
        <v>89.7</v>
      </c>
      <c r="H5" s="3">
        <f t="shared" si="4"/>
        <v>4.9963794351918868E-2</v>
      </c>
      <c r="I5" s="20">
        <f>Combined!B8</f>
        <v>0.05</v>
      </c>
      <c r="J5" s="3">
        <f t="shared" si="1"/>
        <v>0.10044642857142856</v>
      </c>
      <c r="K5" s="3">
        <f t="shared" si="2"/>
        <v>0.18181818181818177</v>
      </c>
      <c r="L5" s="19">
        <f t="shared" si="3"/>
        <v>6.4281122776944727E-2</v>
      </c>
    </row>
    <row r="6" spans="1:12">
      <c r="A6">
        <v>1977</v>
      </c>
      <c r="B6" s="19" t="s">
        <v>13</v>
      </c>
      <c r="C6" s="4">
        <f t="shared" si="0"/>
        <v>9451.8000000000011</v>
      </c>
      <c r="D6" s="4">
        <v>478.5</v>
      </c>
      <c r="E6" s="4">
        <v>599.4</v>
      </c>
      <c r="F6" s="4">
        <v>163.5</v>
      </c>
      <c r="G6" s="4">
        <v>85.2</v>
      </c>
      <c r="H6" s="3">
        <f t="shared" si="4"/>
        <v>3.5862068965517295E-2</v>
      </c>
      <c r="I6" s="20">
        <f>Combined!B9</f>
        <v>3.5999999999999997E-2</v>
      </c>
      <c r="J6" s="3">
        <f t="shared" si="1"/>
        <v>0.10547667342799184</v>
      </c>
      <c r="K6" s="3">
        <f t="shared" si="2"/>
        <v>-5.016722408026756E-2</v>
      </c>
      <c r="L6" s="19">
        <f t="shared" si="3"/>
        <v>5.7177370646265428E-2</v>
      </c>
    </row>
    <row r="7" spans="1:12">
      <c r="A7">
        <v>1978</v>
      </c>
      <c r="B7" s="19" t="s">
        <v>13</v>
      </c>
      <c r="C7" s="4">
        <f t="shared" si="0"/>
        <v>9973.7999999999993</v>
      </c>
      <c r="D7" s="4">
        <v>504.9</v>
      </c>
      <c r="E7" s="4">
        <v>632.4</v>
      </c>
      <c r="F7" s="4">
        <v>172.5</v>
      </c>
      <c r="G7" s="4">
        <v>90</v>
      </c>
      <c r="H7" s="3">
        <f t="shared" si="4"/>
        <v>6.1917443408788228E-2</v>
      </c>
      <c r="I7" s="20">
        <f>Combined!B10</f>
        <v>6.2E-2</v>
      </c>
      <c r="J7" s="3">
        <f t="shared" si="1"/>
        <v>5.5045871559633031E-2</v>
      </c>
      <c r="K7" s="3">
        <f t="shared" si="2"/>
        <v>5.6338028169014051E-2</v>
      </c>
      <c r="L7" s="19">
        <f t="shared" si="3"/>
        <v>5.5227575699866492E-2</v>
      </c>
    </row>
    <row r="8" spans="1:12">
      <c r="A8">
        <v>1979</v>
      </c>
      <c r="B8" s="19" t="s">
        <v>13</v>
      </c>
      <c r="C8" s="4">
        <f t="shared" si="0"/>
        <v>10672.199999999999</v>
      </c>
      <c r="D8" s="4">
        <v>540.29999999999995</v>
      </c>
      <c r="E8" s="4">
        <v>676.8</v>
      </c>
      <c r="F8" s="4">
        <v>184.5</v>
      </c>
      <c r="G8" s="4">
        <v>96.3</v>
      </c>
      <c r="H8" s="3">
        <f t="shared" si="4"/>
        <v>5.5172413793103399E-2</v>
      </c>
      <c r="I8" s="20">
        <f>Combined!B11</f>
        <v>5.5E-2</v>
      </c>
      <c r="J8" s="3">
        <f t="shared" si="1"/>
        <v>6.9565217391304349E-2</v>
      </c>
      <c r="K8" s="3">
        <f t="shared" si="2"/>
        <v>6.9999999999999965E-2</v>
      </c>
      <c r="L8" s="19">
        <f t="shared" si="3"/>
        <v>7.0023461469048878E-2</v>
      </c>
    </row>
    <row r="9" spans="1:12">
      <c r="A9">
        <v>1980</v>
      </c>
      <c r="B9" s="19" t="s">
        <v>13</v>
      </c>
      <c r="C9" s="4">
        <f t="shared" si="0"/>
        <v>12049.2</v>
      </c>
      <c r="D9" s="4">
        <v>603.6</v>
      </c>
      <c r="E9" s="4">
        <v>756</v>
      </c>
      <c r="F9" s="4">
        <v>206.1</v>
      </c>
      <c r="G9" s="4">
        <v>118.2</v>
      </c>
      <c r="H9" s="3">
        <f t="shared" si="4"/>
        <v>7.0112893642305371E-2</v>
      </c>
      <c r="I9" s="20">
        <f>Combined!B12</f>
        <v>7.0000000000000007E-2</v>
      </c>
      <c r="J9" s="3">
        <f t="shared" si="1"/>
        <v>0.11707317073170728</v>
      </c>
      <c r="K9" s="3">
        <f t="shared" si="2"/>
        <v>0.22741433021806859</v>
      </c>
      <c r="L9" s="19">
        <f t="shared" si="3"/>
        <v>0.12902681733850582</v>
      </c>
    </row>
    <row r="10" spans="1:12">
      <c r="A10">
        <v>1981</v>
      </c>
      <c r="B10" s="19" t="s">
        <v>13</v>
      </c>
      <c r="C10" s="4">
        <f t="shared" si="0"/>
        <v>13665.599999999999</v>
      </c>
      <c r="D10" s="4">
        <v>682.2</v>
      </c>
      <c r="E10" s="4">
        <v>854.4</v>
      </c>
      <c r="F10" s="4">
        <v>235.5</v>
      </c>
      <c r="G10" s="4">
        <v>135</v>
      </c>
      <c r="H10" s="3">
        <f t="shared" si="4"/>
        <v>0.11715713492504178</v>
      </c>
      <c r="I10" s="20">
        <f>Combined!B13</f>
        <v>0.11700000000000001</v>
      </c>
      <c r="J10" s="3">
        <f t="shared" si="1"/>
        <v>0.14264919941775839</v>
      </c>
      <c r="K10" s="3">
        <f t="shared" si="2"/>
        <v>0.14213197969543145</v>
      </c>
      <c r="L10" s="19">
        <f t="shared" si="3"/>
        <v>0.1341499850612487</v>
      </c>
    </row>
    <row r="11" spans="1:12">
      <c r="A11">
        <v>1982</v>
      </c>
      <c r="B11" s="19" t="s">
        <v>13</v>
      </c>
      <c r="C11" s="4">
        <f t="shared" si="0"/>
        <v>14211</v>
      </c>
      <c r="D11" s="4">
        <v>709.5</v>
      </c>
      <c r="E11" s="4">
        <v>888.6</v>
      </c>
      <c r="F11" s="4">
        <v>244.8</v>
      </c>
      <c r="G11" s="4">
        <v>140.4</v>
      </c>
      <c r="H11" s="3">
        <f t="shared" si="4"/>
        <v>0.13021868787276344</v>
      </c>
      <c r="I11" s="20">
        <f>Combined!B14</f>
        <v>0.14299999999999999</v>
      </c>
      <c r="J11" s="3">
        <f t="shared" si="1"/>
        <v>3.9490445859872658E-2</v>
      </c>
      <c r="K11" s="3">
        <f t="shared" si="2"/>
        <v>4.0000000000000042E-2</v>
      </c>
      <c r="L11" s="19">
        <f t="shared" si="3"/>
        <v>3.9910432033719814E-2</v>
      </c>
    </row>
    <row r="12" spans="1:12">
      <c r="A12">
        <v>1983</v>
      </c>
      <c r="B12" s="19" t="s">
        <v>13</v>
      </c>
      <c r="C12" s="4">
        <f t="shared" si="0"/>
        <v>14211</v>
      </c>
      <c r="D12" s="4">
        <v>709.5</v>
      </c>
      <c r="E12" s="4">
        <v>888.6</v>
      </c>
      <c r="F12" s="4">
        <v>244.8</v>
      </c>
      <c r="G12" s="4">
        <v>140.4</v>
      </c>
      <c r="H12" s="3">
        <f t="shared" si="4"/>
        <v>4.0017590149516204E-2</v>
      </c>
      <c r="I12" s="20">
        <f>Combined!B15</f>
        <v>0.04</v>
      </c>
      <c r="J12" s="3">
        <f>(F13-F11)/F11</f>
        <v>4.044117647058814E-2</v>
      </c>
      <c r="K12" s="3">
        <f>(G13-G11)/G11</f>
        <v>4.0598290598290517E-2</v>
      </c>
      <c r="L12" s="19">
        <f>(C13-C11)/C11</f>
        <v>4.0151994933502112E-2</v>
      </c>
    </row>
    <row r="13" spans="1:12">
      <c r="A13">
        <v>1984</v>
      </c>
      <c r="B13" s="19" t="s">
        <v>13</v>
      </c>
      <c r="C13" s="4">
        <f t="shared" si="0"/>
        <v>14781.599999999999</v>
      </c>
      <c r="D13" s="4">
        <v>738</v>
      </c>
      <c r="E13" s="4">
        <v>924</v>
      </c>
      <c r="F13" s="4">
        <v>254.7</v>
      </c>
      <c r="G13" s="4">
        <v>146.1</v>
      </c>
      <c r="H13" s="3">
        <f>(D13-D11)/D11</f>
        <v>4.0169133192389003E-2</v>
      </c>
      <c r="I13" s="20">
        <f>Combined!B16</f>
        <v>0.04</v>
      </c>
      <c r="J13" s="3">
        <f t="shared" ref="J13:J14" si="5">(F14-F13)/F13</f>
        <v>1.8845700824499458E-2</v>
      </c>
      <c r="K13" s="3">
        <f t="shared" ref="K13:K15" si="6">(G14-G13)/G13</f>
        <v>0</v>
      </c>
      <c r="L13" s="19">
        <f t="shared" ref="L13:L15" si="7">(C14-C13)/C13</f>
        <v>3.0808572820263131E-2</v>
      </c>
    </row>
    <row r="14" spans="1:12">
      <c r="A14">
        <v>1985</v>
      </c>
      <c r="B14" s="19" t="s">
        <v>13</v>
      </c>
      <c r="C14" s="4">
        <f t="shared" si="0"/>
        <v>15237</v>
      </c>
      <c r="D14" s="4">
        <v>767.4</v>
      </c>
      <c r="E14" s="4">
        <v>960.9</v>
      </c>
      <c r="F14" s="4">
        <v>259.5</v>
      </c>
      <c r="G14" s="4">
        <v>146.1</v>
      </c>
      <c r="H14" s="3">
        <f t="shared" ref="H14" si="8">(D14-D13)/D13</f>
        <v>3.9837398373983708E-2</v>
      </c>
      <c r="I14" s="20">
        <f>Combined!B17</f>
        <v>0.04</v>
      </c>
      <c r="J14" s="3">
        <f t="shared" si="5"/>
        <v>0</v>
      </c>
      <c r="K14" s="3">
        <f t="shared" si="6"/>
        <v>0</v>
      </c>
      <c r="L14" s="19">
        <f t="shared" si="7"/>
        <v>0</v>
      </c>
    </row>
    <row r="15" spans="1:12">
      <c r="A15">
        <v>1986</v>
      </c>
      <c r="B15" s="19" t="s">
        <v>13</v>
      </c>
      <c r="C15" s="4">
        <f t="shared" si="0"/>
        <v>15237</v>
      </c>
      <c r="D15" s="4">
        <v>767.4</v>
      </c>
      <c r="E15" s="4">
        <v>960.9</v>
      </c>
      <c r="F15" s="4">
        <v>259.5</v>
      </c>
      <c r="G15" s="4">
        <v>146.1</v>
      </c>
      <c r="H15" s="3">
        <f t="shared" ref="H15:H51" si="9">(D15-D14)/D14</f>
        <v>0</v>
      </c>
      <c r="I15" s="20">
        <f>Combined!B18</f>
        <v>0</v>
      </c>
      <c r="J15" s="3">
        <f t="shared" ref="J15:J51" si="10">(F15-F14)/F14</f>
        <v>0</v>
      </c>
      <c r="K15" s="3">
        <f t="shared" si="6"/>
        <v>0.10266940451745381</v>
      </c>
      <c r="L15" s="19">
        <f t="shared" si="7"/>
        <v>6.5800354400472313E-2</v>
      </c>
    </row>
    <row r="16" spans="1:12">
      <c r="A16">
        <v>1987</v>
      </c>
      <c r="B16" s="19" t="s">
        <v>13</v>
      </c>
      <c r="C16" s="4">
        <f t="shared" si="0"/>
        <v>16239.599999999997</v>
      </c>
      <c r="D16" s="4">
        <v>814.2</v>
      </c>
      <c r="E16" s="4">
        <v>1019.4</v>
      </c>
      <c r="F16" s="4">
        <v>275.39999999999998</v>
      </c>
      <c r="G16" s="4">
        <v>161.1</v>
      </c>
      <c r="H16" s="3">
        <f t="shared" si="9"/>
        <v>6.0985144644253413E-2</v>
      </c>
      <c r="I16" s="20">
        <f>Combined!B19</f>
        <v>0.03</v>
      </c>
      <c r="J16" s="3">
        <f t="shared" si="10"/>
        <v>6.1271676300577949E-2</v>
      </c>
      <c r="K16" s="3">
        <f t="shared" ref="K16:K51" si="11">(G16-G15)/G15</f>
        <v>0.10266940451745381</v>
      </c>
      <c r="L16" s="19">
        <f t="shared" ref="L16:L51" si="12">(C16-C15)/C15</f>
        <v>6.5800354400472313E-2</v>
      </c>
    </row>
    <row r="17" spans="1:12">
      <c r="A17">
        <v>1988</v>
      </c>
      <c r="B17" s="19" t="s">
        <v>13</v>
      </c>
      <c r="C17" s="4">
        <f t="shared" si="0"/>
        <v>16837.199999999997</v>
      </c>
      <c r="D17" s="4">
        <v>830.4</v>
      </c>
      <c r="E17" s="4">
        <v>1039.8</v>
      </c>
      <c r="F17" s="4">
        <v>303.60000000000002</v>
      </c>
      <c r="G17" s="4">
        <v>164.4</v>
      </c>
      <c r="H17" s="3">
        <f t="shared" si="9"/>
        <v>1.9896831245394167E-2</v>
      </c>
      <c r="I17" s="20">
        <f>Combined!B20</f>
        <v>0.02</v>
      </c>
      <c r="J17" s="3">
        <f t="shared" si="10"/>
        <v>0.10239651416122021</v>
      </c>
      <c r="K17" s="3">
        <f t="shared" si="11"/>
        <v>2.0484171322160221E-2</v>
      </c>
      <c r="L17" s="19">
        <f t="shared" si="12"/>
        <v>3.6798935934382652E-2</v>
      </c>
    </row>
    <row r="18" spans="1:12">
      <c r="A18">
        <v>1989</v>
      </c>
      <c r="B18" s="19" t="s">
        <v>13</v>
      </c>
      <c r="C18" s="4">
        <f t="shared" si="0"/>
        <v>17375.400000000001</v>
      </c>
      <c r="D18" s="4">
        <v>864.3</v>
      </c>
      <c r="E18" s="4">
        <v>1082.4000000000001</v>
      </c>
      <c r="F18" s="4">
        <v>303.60000000000002</v>
      </c>
      <c r="G18" s="4">
        <v>171</v>
      </c>
      <c r="H18" s="3">
        <f t="shared" si="9"/>
        <v>4.0823699421965294E-2</v>
      </c>
      <c r="I18" s="20">
        <f>Combined!B21</f>
        <v>4.1000000000000002E-2</v>
      </c>
      <c r="J18" s="3">
        <f t="shared" si="10"/>
        <v>0</v>
      </c>
      <c r="K18" s="3">
        <f t="shared" si="11"/>
        <v>4.0145985401459819E-2</v>
      </c>
      <c r="L18" s="19">
        <f t="shared" si="12"/>
        <v>3.1964934787257052E-2</v>
      </c>
    </row>
    <row r="19" spans="1:12">
      <c r="A19">
        <v>1990</v>
      </c>
      <c r="B19" s="19" t="s">
        <v>13</v>
      </c>
      <c r="C19" s="4">
        <f t="shared" si="0"/>
        <v>18001.8</v>
      </c>
      <c r="D19" s="4">
        <v>895.5</v>
      </c>
      <c r="E19" s="4">
        <v>1121.4000000000001</v>
      </c>
      <c r="F19" s="4">
        <v>314.39999999999998</v>
      </c>
      <c r="G19" s="4">
        <v>177.3</v>
      </c>
      <c r="H19" s="3">
        <f t="shared" si="9"/>
        <v>3.6098576883026784E-2</v>
      </c>
      <c r="I19" s="20">
        <f>Combined!B22</f>
        <v>3.5999999999999997E-2</v>
      </c>
      <c r="J19" s="3">
        <f t="shared" si="10"/>
        <v>3.5573122529644119E-2</v>
      </c>
      <c r="K19" s="3">
        <f t="shared" si="11"/>
        <v>3.6842105263157961E-2</v>
      </c>
      <c r="L19" s="19">
        <f t="shared" si="12"/>
        <v>3.6050968610794445E-2</v>
      </c>
    </row>
    <row r="20" spans="1:12">
      <c r="A20">
        <v>1991</v>
      </c>
      <c r="B20" s="19" t="s">
        <v>13</v>
      </c>
      <c r="C20" s="4">
        <f t="shared" si="0"/>
        <v>18738</v>
      </c>
      <c r="D20" s="4">
        <v>932.1</v>
      </c>
      <c r="E20" s="4">
        <v>1167.3</v>
      </c>
      <c r="F20" s="4">
        <v>327.3</v>
      </c>
      <c r="G20" s="4">
        <v>184.5</v>
      </c>
      <c r="H20" s="3">
        <f t="shared" si="9"/>
        <v>4.0871021775544414E-2</v>
      </c>
      <c r="I20" s="20">
        <f>Combined!B23</f>
        <v>4.1000000000000002E-2</v>
      </c>
      <c r="J20" s="3">
        <f t="shared" si="10"/>
        <v>4.1030534351145148E-2</v>
      </c>
      <c r="K20" s="3">
        <f t="shared" si="11"/>
        <v>4.0609137055837498E-2</v>
      </c>
      <c r="L20" s="19">
        <f t="shared" si="12"/>
        <v>4.0895910408959145E-2</v>
      </c>
    </row>
    <row r="21" spans="1:12">
      <c r="A21">
        <v>1992</v>
      </c>
      <c r="B21" s="19" t="s">
        <v>13</v>
      </c>
      <c r="C21" s="4">
        <f t="shared" si="0"/>
        <v>19524.599999999999</v>
      </c>
      <c r="D21" s="4">
        <v>971.1</v>
      </c>
      <c r="E21" s="4">
        <v>1216.2</v>
      </c>
      <c r="F21" s="4">
        <v>341.1</v>
      </c>
      <c r="G21" s="4">
        <v>192.3</v>
      </c>
      <c r="H21" s="3">
        <f t="shared" si="9"/>
        <v>4.1841004184100417E-2</v>
      </c>
      <c r="I21" s="20">
        <f>Combined!B24</f>
        <v>4.2000000000000003E-2</v>
      </c>
      <c r="J21" s="3">
        <f t="shared" si="10"/>
        <v>4.2163153070577483E-2</v>
      </c>
      <c r="K21" s="3">
        <f t="shared" si="11"/>
        <v>4.2276422764227703E-2</v>
      </c>
      <c r="L21" s="19">
        <f t="shared" si="12"/>
        <v>4.197886647454363E-2</v>
      </c>
    </row>
    <row r="22" spans="1:12">
      <c r="A22">
        <v>1993</v>
      </c>
      <c r="B22" s="19" t="s">
        <v>13</v>
      </c>
      <c r="C22" s="4">
        <f t="shared" si="0"/>
        <v>20248.2</v>
      </c>
      <c r="D22" s="4">
        <v>1007.1</v>
      </c>
      <c r="E22" s="4">
        <v>1261.2</v>
      </c>
      <c r="F22" s="4">
        <v>353.7</v>
      </c>
      <c r="G22" s="4">
        <v>199.5</v>
      </c>
      <c r="H22" s="3">
        <f t="shared" si="9"/>
        <v>3.7071362372567189E-2</v>
      </c>
      <c r="I22" s="20">
        <f>Combined!B25</f>
        <v>3.6999999999999998E-2</v>
      </c>
      <c r="J22" s="3">
        <f t="shared" si="10"/>
        <v>3.6939313984168762E-2</v>
      </c>
      <c r="K22" s="3">
        <f t="shared" si="11"/>
        <v>3.7441497659906335E-2</v>
      </c>
      <c r="L22" s="19">
        <f t="shared" si="12"/>
        <v>3.7060938508343438E-2</v>
      </c>
    </row>
    <row r="23" spans="1:12">
      <c r="A23">
        <v>1994</v>
      </c>
      <c r="B23" s="19" t="s">
        <v>13</v>
      </c>
      <c r="C23" s="4">
        <f t="shared" si="0"/>
        <v>20694.599999999999</v>
      </c>
      <c r="D23" s="4">
        <v>1029.3</v>
      </c>
      <c r="E23" s="4">
        <v>1288.8</v>
      </c>
      <c r="F23" s="4">
        <v>361.5</v>
      </c>
      <c r="G23" s="4">
        <v>204</v>
      </c>
      <c r="H23" s="3">
        <f t="shared" si="9"/>
        <v>2.204349121239195E-2</v>
      </c>
      <c r="I23" s="20">
        <f>Combined!B26</f>
        <v>2.1999999999999999E-2</v>
      </c>
      <c r="J23" s="3">
        <f t="shared" si="10"/>
        <v>2.2052586938083155E-2</v>
      </c>
      <c r="K23" s="3">
        <f t="shared" si="11"/>
        <v>2.2556390977443608E-2</v>
      </c>
      <c r="L23" s="19">
        <f t="shared" si="12"/>
        <v>2.2046404124810987E-2</v>
      </c>
    </row>
    <row r="24" spans="1:12">
      <c r="A24">
        <v>1995</v>
      </c>
      <c r="B24" s="19" t="s">
        <v>13</v>
      </c>
      <c r="C24" s="4">
        <f t="shared" si="0"/>
        <v>21232.800000000003</v>
      </c>
      <c r="D24" s="4">
        <v>1056</v>
      </c>
      <c r="E24" s="4">
        <v>1322.4</v>
      </c>
      <c r="F24" s="4">
        <v>370.8</v>
      </c>
      <c r="G24" s="4">
        <v>209.4</v>
      </c>
      <c r="H24" s="3">
        <f t="shared" si="9"/>
        <v>2.5939959195569851E-2</v>
      </c>
      <c r="I24" s="20">
        <f>Combined!B27</f>
        <v>2.5999999999999999E-2</v>
      </c>
      <c r="J24" s="3">
        <f t="shared" si="10"/>
        <v>2.5726141078838204E-2</v>
      </c>
      <c r="K24" s="3">
        <f t="shared" si="11"/>
        <v>2.6470588235294145E-2</v>
      </c>
      <c r="L24" s="19">
        <f t="shared" si="12"/>
        <v>2.6006784378533744E-2</v>
      </c>
    </row>
    <row r="25" spans="1:12">
      <c r="A25">
        <v>1996</v>
      </c>
      <c r="B25" s="19" t="s">
        <v>13</v>
      </c>
      <c r="C25" s="4">
        <f t="shared" si="0"/>
        <v>21866.400000000001</v>
      </c>
      <c r="D25" s="4">
        <v>1081.2</v>
      </c>
      <c r="E25" s="4">
        <v>1354.2</v>
      </c>
      <c r="F25" s="4">
        <v>390</v>
      </c>
      <c r="G25" s="4">
        <v>214.5</v>
      </c>
      <c r="H25" s="3">
        <f t="shared" si="9"/>
        <v>2.3863636363636406E-2</v>
      </c>
      <c r="I25" s="20">
        <f>Combined!B28</f>
        <v>2.4E-2</v>
      </c>
      <c r="J25" s="3">
        <f t="shared" si="10"/>
        <v>5.1779935275080874E-2</v>
      </c>
      <c r="K25" s="3">
        <f t="shared" si="11"/>
        <v>2.4355300859598826E-2</v>
      </c>
      <c r="L25" s="19">
        <f t="shared" si="12"/>
        <v>2.9840623940318681E-2</v>
      </c>
    </row>
    <row r="26" spans="1:12">
      <c r="A26">
        <v>1997</v>
      </c>
      <c r="B26" s="19" t="s">
        <v>13</v>
      </c>
      <c r="C26" s="4">
        <f t="shared" si="0"/>
        <v>22595.4</v>
      </c>
      <c r="D26" s="4">
        <v>1113.5999999999999</v>
      </c>
      <c r="E26" s="4">
        <v>1394.7</v>
      </c>
      <c r="F26" s="4">
        <v>408</v>
      </c>
      <c r="G26" s="4">
        <v>220.8</v>
      </c>
      <c r="H26" s="3">
        <f t="shared" si="9"/>
        <v>2.9966703662596988E-2</v>
      </c>
      <c r="I26" s="20">
        <f>Combined!B29</f>
        <v>0.03</v>
      </c>
      <c r="J26" s="3">
        <f t="shared" si="10"/>
        <v>4.6153846153846156E-2</v>
      </c>
      <c r="K26" s="3">
        <f t="shared" si="11"/>
        <v>2.9370629370629425E-2</v>
      </c>
      <c r="L26" s="19">
        <f t="shared" si="12"/>
        <v>3.3338821205136648E-2</v>
      </c>
    </row>
    <row r="27" spans="1:12">
      <c r="A27">
        <v>1998</v>
      </c>
      <c r="B27" s="19" t="s">
        <v>13</v>
      </c>
      <c r="C27" s="4">
        <f t="shared" si="0"/>
        <v>23178.600000000002</v>
      </c>
      <c r="D27" s="4">
        <v>1144.8</v>
      </c>
      <c r="E27" s="4">
        <v>1433.7</v>
      </c>
      <c r="F27" s="4">
        <v>419.4</v>
      </c>
      <c r="G27" s="4">
        <v>222.9</v>
      </c>
      <c r="H27" s="3">
        <f t="shared" si="9"/>
        <v>2.8017241379310387E-2</v>
      </c>
      <c r="I27" s="20">
        <f>Combined!B30</f>
        <v>2.8000000000000001E-2</v>
      </c>
      <c r="J27" s="3">
        <f t="shared" si="10"/>
        <v>2.7941176470588181E-2</v>
      </c>
      <c r="K27" s="3">
        <f t="shared" si="11"/>
        <v>9.5108695652173659E-3</v>
      </c>
      <c r="L27" s="19">
        <f t="shared" si="12"/>
        <v>2.5810563211981229E-2</v>
      </c>
    </row>
    <row r="28" spans="1:12">
      <c r="A28">
        <v>1999</v>
      </c>
      <c r="B28" s="19" t="s">
        <v>13</v>
      </c>
      <c r="C28" s="4">
        <f t="shared" si="0"/>
        <v>23940</v>
      </c>
      <c r="D28" s="4">
        <v>1185.9000000000001</v>
      </c>
      <c r="E28" s="4">
        <v>1485.3</v>
      </c>
      <c r="F28" s="4">
        <v>434.4</v>
      </c>
      <c r="G28" s="4">
        <v>225</v>
      </c>
      <c r="H28" s="3">
        <f t="shared" si="9"/>
        <v>3.5901467505241209E-2</v>
      </c>
      <c r="I28" s="20">
        <f>Combined!B31</f>
        <v>3.5999999999999997E-2</v>
      </c>
      <c r="J28" s="3">
        <f t="shared" si="10"/>
        <v>3.5765379113018601E-2</v>
      </c>
      <c r="K28" s="3">
        <f t="shared" si="11"/>
        <v>9.4212651413189512E-3</v>
      </c>
      <c r="L28" s="19">
        <f t="shared" si="12"/>
        <v>3.2849266133416072E-2</v>
      </c>
    </row>
    <row r="29" spans="1:12">
      <c r="A29">
        <v>2000</v>
      </c>
      <c r="B29" s="19" t="s">
        <v>13</v>
      </c>
      <c r="C29" s="4">
        <f t="shared" si="0"/>
        <v>24894</v>
      </c>
      <c r="D29" s="4">
        <v>1242.9000000000001</v>
      </c>
      <c r="E29" s="4">
        <v>1556.7</v>
      </c>
      <c r="F29" s="4">
        <v>447.3</v>
      </c>
      <c r="G29" s="4">
        <v>227.4</v>
      </c>
      <c r="H29" s="3">
        <f t="shared" si="9"/>
        <v>4.8064760941057424E-2</v>
      </c>
      <c r="I29" s="20">
        <f>Combined!B32</f>
        <v>4.8000000000000001E-2</v>
      </c>
      <c r="J29" s="3">
        <f t="shared" si="10"/>
        <v>2.9696132596685163E-2</v>
      </c>
      <c r="K29" s="3">
        <f t="shared" si="11"/>
        <v>1.0666666666666692E-2</v>
      </c>
      <c r="L29" s="19">
        <f t="shared" si="12"/>
        <v>3.9849624060150378E-2</v>
      </c>
    </row>
    <row r="30" spans="1:12">
      <c r="A30">
        <v>2001</v>
      </c>
      <c r="B30" s="19" t="s">
        <v>13</v>
      </c>
      <c r="C30" s="4">
        <f t="shared" si="0"/>
        <v>25963.200000000004</v>
      </c>
      <c r="D30" s="4">
        <v>1288.8</v>
      </c>
      <c r="E30" s="4">
        <v>1653</v>
      </c>
      <c r="F30" s="4">
        <v>462.9</v>
      </c>
      <c r="G30" s="4">
        <v>229.8</v>
      </c>
      <c r="H30" s="3">
        <f t="shared" si="9"/>
        <v>3.6929761042722553E-2</v>
      </c>
      <c r="I30" s="20">
        <f>Combined!B33</f>
        <v>3.6999999999999998E-2</v>
      </c>
      <c r="J30" s="3">
        <f t="shared" si="10"/>
        <v>3.4875922199865787E-2</v>
      </c>
      <c r="K30" s="3">
        <f t="shared" si="11"/>
        <v>1.0554089709762557E-2</v>
      </c>
      <c r="L30" s="19">
        <f t="shared" si="12"/>
        <v>4.2950108459870025E-2</v>
      </c>
    </row>
    <row r="31" spans="1:12">
      <c r="A31">
        <v>2002</v>
      </c>
      <c r="B31" s="19" t="s">
        <v>13</v>
      </c>
      <c r="C31" s="4">
        <f t="shared" si="0"/>
        <v>27884.999999999993</v>
      </c>
      <c r="D31" s="4">
        <v>1443.6</v>
      </c>
      <c r="E31" s="4">
        <v>1752.3</v>
      </c>
      <c r="F31" s="4">
        <v>484.2</v>
      </c>
      <c r="G31" s="4">
        <v>241.6</v>
      </c>
      <c r="H31" s="3">
        <f t="shared" si="9"/>
        <v>0.12011173184357539</v>
      </c>
      <c r="I31" s="20">
        <f>Combined!B34</f>
        <v>6.9000000000000006E-2</v>
      </c>
      <c r="J31" s="3">
        <f t="shared" si="10"/>
        <v>4.601425793907974E-2</v>
      </c>
      <c r="K31" s="3">
        <f t="shared" si="11"/>
        <v>5.1348999129677907E-2</v>
      </c>
      <c r="L31" s="19">
        <f t="shared" si="12"/>
        <v>7.4020151599186082E-2</v>
      </c>
    </row>
    <row r="32" spans="1:12">
      <c r="A32">
        <v>2003</v>
      </c>
      <c r="B32" s="19" t="s">
        <v>13</v>
      </c>
      <c r="C32" s="4">
        <f t="shared" si="0"/>
        <v>28929.119999999995</v>
      </c>
      <c r="D32" s="4">
        <v>1502.7</v>
      </c>
      <c r="E32" s="4">
        <v>1824</v>
      </c>
      <c r="F32" s="4">
        <v>504.6</v>
      </c>
      <c r="G32" s="4">
        <v>242.81</v>
      </c>
      <c r="H32" s="3">
        <f t="shared" si="9"/>
        <v>4.0939318370739913E-2</v>
      </c>
      <c r="I32" s="20">
        <f>Combined!B35</f>
        <v>4.1000000000000002E-2</v>
      </c>
      <c r="J32" s="3">
        <f t="shared" si="10"/>
        <v>4.2131350681536624E-2</v>
      </c>
      <c r="K32" s="3">
        <f t="shared" si="11"/>
        <v>5.0082781456953973E-3</v>
      </c>
      <c r="L32" s="19">
        <f t="shared" si="12"/>
        <v>3.7443786982248622E-2</v>
      </c>
    </row>
    <row r="33" spans="1:12">
      <c r="A33">
        <v>2004</v>
      </c>
      <c r="B33" s="19" t="s">
        <v>13</v>
      </c>
      <c r="C33" s="4">
        <f t="shared" si="0"/>
        <v>29983.319999999996</v>
      </c>
      <c r="D33" s="4">
        <v>1558.2</v>
      </c>
      <c r="E33" s="4">
        <v>1891.5</v>
      </c>
      <c r="F33" s="4">
        <v>519.29999999999995</v>
      </c>
      <c r="G33" s="4">
        <v>254.46</v>
      </c>
      <c r="H33" s="3">
        <f t="shared" si="9"/>
        <v>3.693351966460371E-2</v>
      </c>
      <c r="I33" s="20">
        <f>Combined!B36</f>
        <v>4.2000000000000003E-2</v>
      </c>
      <c r="J33" s="3">
        <f t="shared" si="10"/>
        <v>2.913198573127216E-2</v>
      </c>
      <c r="K33" s="3">
        <f t="shared" si="11"/>
        <v>4.7979901980972801E-2</v>
      </c>
      <c r="L33" s="19">
        <f t="shared" si="12"/>
        <v>3.6440790456121752E-2</v>
      </c>
    </row>
    <row r="34" spans="1:12">
      <c r="A34">
        <v>2005</v>
      </c>
      <c r="B34" s="19" t="s">
        <v>13</v>
      </c>
      <c r="C34" s="4">
        <f t="shared" ref="C34:C65" si="13">(((D34+E34)/2)+F34+G34)*12</f>
        <v>31134.959999999999</v>
      </c>
      <c r="D34" s="4">
        <v>1612.8</v>
      </c>
      <c r="E34" s="4">
        <v>1957.8</v>
      </c>
      <c r="F34" s="4">
        <v>542.1</v>
      </c>
      <c r="G34" s="4">
        <v>267.18</v>
      </c>
      <c r="H34" s="3">
        <f t="shared" si="9"/>
        <v>3.5040431266846299E-2</v>
      </c>
      <c r="I34" s="20">
        <f>Combined!B37</f>
        <v>3.5000000000000003E-2</v>
      </c>
      <c r="J34" s="3">
        <f t="shared" si="10"/>
        <v>4.3905257076834334E-2</v>
      </c>
      <c r="K34" s="3">
        <f t="shared" si="11"/>
        <v>4.9988210327752886E-2</v>
      </c>
      <c r="L34" s="19">
        <f t="shared" si="12"/>
        <v>3.8409355601714663E-2</v>
      </c>
    </row>
    <row r="35" spans="1:12">
      <c r="A35">
        <v>2006</v>
      </c>
      <c r="B35" s="19" t="s">
        <v>13</v>
      </c>
      <c r="C35" s="4">
        <f t="shared" si="13"/>
        <v>32245.320000000007</v>
      </c>
      <c r="D35" s="4">
        <v>1662.9</v>
      </c>
      <c r="E35" s="4">
        <v>2018.4</v>
      </c>
      <c r="F35" s="4">
        <v>574.20000000000005</v>
      </c>
      <c r="G35" s="4">
        <v>272.26</v>
      </c>
      <c r="H35" s="3">
        <f t="shared" si="9"/>
        <v>3.1063988095238179E-2</v>
      </c>
      <c r="I35" s="20">
        <f>Combined!B38</f>
        <v>3.1E-2</v>
      </c>
      <c r="J35" s="3">
        <f t="shared" si="10"/>
        <v>5.9214167127836233E-2</v>
      </c>
      <c r="K35" s="3">
        <f t="shared" si="11"/>
        <v>1.9013399206527375E-2</v>
      </c>
      <c r="L35" s="19">
        <f t="shared" si="12"/>
        <v>3.5662804769943754E-2</v>
      </c>
    </row>
    <row r="36" spans="1:12">
      <c r="A36">
        <v>2007</v>
      </c>
      <c r="B36" s="19" t="s">
        <v>13</v>
      </c>
      <c r="C36" s="4">
        <f t="shared" si="13"/>
        <v>33063.96</v>
      </c>
      <c r="D36" s="4">
        <v>1699.5</v>
      </c>
      <c r="E36" s="4">
        <v>2062.8000000000002</v>
      </c>
      <c r="F36" s="4">
        <v>594.29999999999995</v>
      </c>
      <c r="G36" s="4">
        <v>279.88</v>
      </c>
      <c r="H36" s="3">
        <f t="shared" si="9"/>
        <v>2.200974201695827E-2</v>
      </c>
      <c r="I36" s="20">
        <f>Combined!B39</f>
        <v>2.7E-2</v>
      </c>
      <c r="J36" s="3">
        <f t="shared" si="10"/>
        <v>3.5005224660396912E-2</v>
      </c>
      <c r="K36" s="3">
        <f t="shared" si="11"/>
        <v>2.7987952692279456E-2</v>
      </c>
      <c r="L36" s="19">
        <f t="shared" si="12"/>
        <v>2.5387870239774082E-2</v>
      </c>
    </row>
    <row r="37" spans="1:12">
      <c r="A37">
        <v>2008</v>
      </c>
      <c r="B37" s="19" t="s">
        <v>13</v>
      </c>
      <c r="C37" s="4">
        <f t="shared" si="13"/>
        <v>33854.160000000003</v>
      </c>
      <c r="D37" s="4">
        <v>1758.9</v>
      </c>
      <c r="E37" s="4">
        <v>2135.1</v>
      </c>
      <c r="F37" s="4">
        <v>594.29999999999995</v>
      </c>
      <c r="G37" s="4">
        <v>279.88</v>
      </c>
      <c r="H37" s="3">
        <f t="shared" si="9"/>
        <v>3.4951456310679668E-2</v>
      </c>
      <c r="I37" s="20">
        <f>Combined!B40</f>
        <v>3.5000000000000003E-2</v>
      </c>
      <c r="J37" s="3">
        <f t="shared" si="10"/>
        <v>0</v>
      </c>
      <c r="K37" s="3">
        <f t="shared" si="11"/>
        <v>0</v>
      </c>
      <c r="L37" s="19">
        <f t="shared" si="12"/>
        <v>2.3899133679087574E-2</v>
      </c>
    </row>
    <row r="38" spans="1:12">
      <c r="A38">
        <v>2009</v>
      </c>
      <c r="B38" s="19" t="s">
        <v>13</v>
      </c>
      <c r="C38" s="4">
        <f t="shared" si="13"/>
        <v>36345.839999999997</v>
      </c>
      <c r="D38" s="4">
        <v>1827.6</v>
      </c>
      <c r="E38" s="4">
        <v>2218.5</v>
      </c>
      <c r="F38" s="4">
        <v>681.9</v>
      </c>
      <c r="G38" s="4">
        <v>323.87</v>
      </c>
      <c r="H38" s="3">
        <f t="shared" si="9"/>
        <v>3.9058502473136511E-2</v>
      </c>
      <c r="I38" s="20">
        <f>Combined!B41</f>
        <v>3.9E-2</v>
      </c>
      <c r="J38" s="3">
        <f t="shared" si="10"/>
        <v>0.14740030287733472</v>
      </c>
      <c r="K38" s="3">
        <f t="shared" si="11"/>
        <v>0.1571745033585823</v>
      </c>
      <c r="L38" s="19">
        <f t="shared" si="12"/>
        <v>7.3600408339772508E-2</v>
      </c>
    </row>
    <row r="39" spans="1:12">
      <c r="A39">
        <v>2010</v>
      </c>
      <c r="B39" s="19" t="s">
        <v>13</v>
      </c>
      <c r="C39" s="4">
        <f t="shared" si="13"/>
        <v>37375.440000000002</v>
      </c>
      <c r="D39" s="4">
        <v>1889.7</v>
      </c>
      <c r="E39" s="4">
        <v>2293.8000000000002</v>
      </c>
      <c r="F39" s="4">
        <v>699</v>
      </c>
      <c r="G39" s="4">
        <v>323.87</v>
      </c>
      <c r="H39" s="3">
        <f t="shared" si="9"/>
        <v>3.3978988837820169E-2</v>
      </c>
      <c r="I39" s="20">
        <f>Combined!B42</f>
        <v>3.4000000000000002E-2</v>
      </c>
      <c r="J39" s="3">
        <f t="shared" si="10"/>
        <v>2.5076990761108701E-2</v>
      </c>
      <c r="K39" s="3">
        <f t="shared" si="11"/>
        <v>0</v>
      </c>
      <c r="L39" s="19">
        <f t="shared" si="12"/>
        <v>2.8327863656473641E-2</v>
      </c>
    </row>
    <row r="40" spans="1:12">
      <c r="A40">
        <v>2011</v>
      </c>
      <c r="B40" s="19" t="s">
        <v>13</v>
      </c>
      <c r="C40" s="4">
        <f t="shared" si="13"/>
        <v>37690.080000000002</v>
      </c>
      <c r="D40" s="4">
        <v>1916.1</v>
      </c>
      <c r="E40" s="4">
        <v>2325.9</v>
      </c>
      <c r="F40" s="4">
        <v>694.8</v>
      </c>
      <c r="G40" s="4">
        <v>325.04000000000002</v>
      </c>
      <c r="H40" s="3">
        <f t="shared" si="9"/>
        <v>1.3970471503413167E-2</v>
      </c>
      <c r="I40" s="20">
        <f>Combined!B43</f>
        <v>1.4E-2</v>
      </c>
      <c r="J40" s="3">
        <f t="shared" si="10"/>
        <v>-6.0085836909871898E-3</v>
      </c>
      <c r="K40" s="3">
        <f t="shared" si="11"/>
        <v>3.6125605953006325E-3</v>
      </c>
      <c r="L40" s="19">
        <f t="shared" si="12"/>
        <v>8.4183624326562949E-3</v>
      </c>
    </row>
    <row r="41" spans="1:12">
      <c r="A41">
        <v>2012</v>
      </c>
      <c r="B41" s="19" t="s">
        <v>13</v>
      </c>
      <c r="C41" s="4">
        <f t="shared" si="13"/>
        <v>38510.880000000005</v>
      </c>
      <c r="D41" s="4">
        <v>1946.7</v>
      </c>
      <c r="E41" s="4">
        <v>2363.1</v>
      </c>
      <c r="F41" s="4">
        <v>705.9</v>
      </c>
      <c r="G41" s="4">
        <v>348.44</v>
      </c>
      <c r="H41" s="3">
        <f t="shared" si="9"/>
        <v>1.5969938938468837E-2</v>
      </c>
      <c r="I41" s="20">
        <f>Combined!B44</f>
        <v>1.6E-2</v>
      </c>
      <c r="J41" s="3">
        <f t="shared" si="10"/>
        <v>1.5975820379965491E-2</v>
      </c>
      <c r="K41" s="3">
        <f t="shared" si="11"/>
        <v>7.1991139552055064E-2</v>
      </c>
      <c r="L41" s="19">
        <f t="shared" si="12"/>
        <v>2.1777613632022082E-2</v>
      </c>
    </row>
    <row r="42" spans="1:12">
      <c r="A42">
        <v>2013</v>
      </c>
      <c r="B42" s="19" t="s">
        <v>13</v>
      </c>
      <c r="C42" s="4">
        <f t="shared" si="13"/>
        <v>39312.840000000004</v>
      </c>
      <c r="D42" s="4">
        <v>1979.7</v>
      </c>
      <c r="E42" s="4">
        <v>2403.3000000000002</v>
      </c>
      <c r="F42" s="4">
        <v>732.3</v>
      </c>
      <c r="G42" s="4">
        <v>352.27</v>
      </c>
      <c r="H42" s="3">
        <f t="shared" si="9"/>
        <v>1.6951764524580058E-2</v>
      </c>
      <c r="I42" s="20">
        <f>Combined!B45</f>
        <v>1.7000000000000001E-2</v>
      </c>
      <c r="J42" s="3">
        <f t="shared" si="10"/>
        <v>3.7399065023374388E-2</v>
      </c>
      <c r="K42" s="3">
        <f t="shared" si="11"/>
        <v>1.0991849385833957E-2</v>
      </c>
      <c r="L42" s="19">
        <f t="shared" si="12"/>
        <v>2.0824244992583889E-2</v>
      </c>
    </row>
    <row r="43" spans="1:12">
      <c r="A43">
        <v>2014</v>
      </c>
      <c r="B43" s="19" t="s">
        <v>13</v>
      </c>
      <c r="C43" s="4">
        <f t="shared" si="13"/>
        <v>40078.200000000004</v>
      </c>
      <c r="D43" s="4">
        <v>1999.5</v>
      </c>
      <c r="E43" s="4">
        <v>2427.3000000000002</v>
      </c>
      <c r="F43" s="4">
        <v>768.9</v>
      </c>
      <c r="G43" s="4">
        <v>357.55</v>
      </c>
      <c r="H43" s="3">
        <f t="shared" si="9"/>
        <v>1.0001515381118329E-2</v>
      </c>
      <c r="I43" s="20">
        <f>Combined!B46</f>
        <v>0.01</v>
      </c>
      <c r="J43" s="3">
        <f t="shared" si="10"/>
        <v>4.9979516591560871E-2</v>
      </c>
      <c r="K43" s="3">
        <f t="shared" si="11"/>
        <v>1.4988503136798562E-2</v>
      </c>
      <c r="L43" s="19">
        <f t="shared" si="12"/>
        <v>1.9468448476375671E-2</v>
      </c>
    </row>
    <row r="44" spans="1:12">
      <c r="A44">
        <v>2015</v>
      </c>
      <c r="B44" s="19" t="s">
        <v>13</v>
      </c>
      <c r="C44" s="4">
        <f t="shared" si="13"/>
        <v>40515.839999999997</v>
      </c>
      <c r="D44" s="4">
        <v>2019.6</v>
      </c>
      <c r="E44" s="4">
        <v>2451.6</v>
      </c>
      <c r="F44" s="4">
        <v>772.8</v>
      </c>
      <c r="G44" s="4">
        <v>367.92</v>
      </c>
      <c r="H44" s="3">
        <f t="shared" si="9"/>
        <v>1.0052513128282025E-2</v>
      </c>
      <c r="I44" s="20">
        <f>Combined!B47</f>
        <v>0.01</v>
      </c>
      <c r="J44" s="3">
        <f t="shared" si="10"/>
        <v>5.0721810378462446E-3</v>
      </c>
      <c r="K44" s="3">
        <f t="shared" si="11"/>
        <v>2.9002936652216486E-2</v>
      </c>
      <c r="L44" s="19">
        <f t="shared" si="12"/>
        <v>1.0919652080183044E-2</v>
      </c>
    </row>
    <row r="45" spans="1:12">
      <c r="A45">
        <v>2016</v>
      </c>
      <c r="B45" s="19" t="s">
        <v>13</v>
      </c>
      <c r="C45" s="4">
        <f t="shared" si="13"/>
        <v>41185.408800000005</v>
      </c>
      <c r="D45" s="4">
        <f>D44+(D44*I45)</f>
        <v>2045.8547999999998</v>
      </c>
      <c r="E45" s="4">
        <v>2483.4</v>
      </c>
      <c r="F45" s="4">
        <v>799.2</v>
      </c>
      <c r="G45" s="4">
        <v>368.29</v>
      </c>
      <c r="H45" s="3">
        <f t="shared" si="9"/>
        <v>1.2999999999999966E-2</v>
      </c>
      <c r="I45" s="20">
        <f>Combined!B48</f>
        <v>1.2999999999999999E-2</v>
      </c>
      <c r="J45" s="3">
        <f t="shared" si="10"/>
        <v>3.4161490683229934E-2</v>
      </c>
      <c r="K45" s="3">
        <f t="shared" si="11"/>
        <v>1.0056534029136892E-3</v>
      </c>
      <c r="L45" s="19">
        <f t="shared" si="12"/>
        <v>1.6526099421855952E-2</v>
      </c>
    </row>
    <row r="46" spans="1:12">
      <c r="A46">
        <v>2017</v>
      </c>
      <c r="B46" s="19" t="s">
        <v>13</v>
      </c>
      <c r="C46" s="4">
        <f t="shared" si="13"/>
        <v>49589.986504799992</v>
      </c>
      <c r="D46" s="4">
        <f>D45+(D45*I46)</f>
        <v>2088.8177507999999</v>
      </c>
      <c r="E46" s="4">
        <v>2535.6</v>
      </c>
      <c r="F46" s="4">
        <v>1452</v>
      </c>
      <c r="G46" s="4">
        <v>368.29</v>
      </c>
      <c r="H46" s="3">
        <f t="shared" si="9"/>
        <v>2.1000000000000022E-2</v>
      </c>
      <c r="I46" s="20">
        <f>Combined!B49</f>
        <v>2.1000000000000001E-2</v>
      </c>
      <c r="J46" s="3">
        <f t="shared" si="10"/>
        <v>0.81681681681681673</v>
      </c>
      <c r="K46" s="3">
        <f t="shared" si="11"/>
        <v>0</v>
      </c>
      <c r="L46" s="19">
        <f t="shared" si="12"/>
        <v>0.20406687585919958</v>
      </c>
    </row>
    <row r="47" spans="1:12">
      <c r="A47">
        <v>2018</v>
      </c>
      <c r="B47" s="19" t="s">
        <v>13</v>
      </c>
      <c r="C47" s="4">
        <f t="shared" si="13"/>
        <v>50269.680000000008</v>
      </c>
      <c r="D47" s="4">
        <v>2139</v>
      </c>
      <c r="E47" s="4">
        <v>2596.5</v>
      </c>
      <c r="F47" s="4">
        <v>1452</v>
      </c>
      <c r="G47" s="4">
        <v>369.39</v>
      </c>
      <c r="H47" s="3">
        <f t="shared" si="9"/>
        <v>2.4024235326792261E-2</v>
      </c>
      <c r="I47" s="20">
        <f>Combined!B50</f>
        <v>2.4E-2</v>
      </c>
      <c r="J47" s="3">
        <f t="shared" si="10"/>
        <v>0</v>
      </c>
      <c r="K47" s="3">
        <f t="shared" si="11"/>
        <v>2.9867767248634657E-3</v>
      </c>
      <c r="L47" s="19">
        <f t="shared" si="12"/>
        <v>1.3706264976180738E-2</v>
      </c>
    </row>
    <row r="48" spans="1:12">
      <c r="A48">
        <v>2019</v>
      </c>
      <c r="B48" s="19" t="s">
        <v>13</v>
      </c>
      <c r="C48" s="4">
        <f t="shared" si="13"/>
        <v>51331.680000000008</v>
      </c>
      <c r="D48" s="4">
        <v>2194.5</v>
      </c>
      <c r="E48" s="4">
        <v>2664</v>
      </c>
      <c r="F48" s="4">
        <v>1479</v>
      </c>
      <c r="G48" s="4">
        <v>369.39</v>
      </c>
      <c r="H48" s="3">
        <f t="shared" si="9"/>
        <v>2.5946704067321177E-2</v>
      </c>
      <c r="I48" s="20">
        <f>Combined!B51</f>
        <v>2.5999999999999999E-2</v>
      </c>
      <c r="J48" s="3">
        <f t="shared" si="10"/>
        <v>1.859504132231405E-2</v>
      </c>
      <c r="K48" s="3">
        <f t="shared" si="11"/>
        <v>0</v>
      </c>
      <c r="L48" s="19">
        <f t="shared" si="12"/>
        <v>2.1126054512382014E-2</v>
      </c>
    </row>
    <row r="49" spans="1:12">
      <c r="A49">
        <v>2020</v>
      </c>
      <c r="B49" s="19" t="s">
        <v>13</v>
      </c>
      <c r="C49" s="4">
        <f t="shared" si="13"/>
        <v>52275.12</v>
      </c>
      <c r="D49" s="4">
        <v>2262.6</v>
      </c>
      <c r="E49" s="4">
        <v>2746.5</v>
      </c>
      <c r="F49" s="4">
        <v>1479</v>
      </c>
      <c r="G49" s="4">
        <v>372.71</v>
      </c>
      <c r="H49" s="3">
        <f t="shared" si="9"/>
        <v>3.1032125768967831E-2</v>
      </c>
      <c r="I49" s="20">
        <f>Combined!B52</f>
        <v>3.1E-2</v>
      </c>
      <c r="J49" s="3">
        <f t="shared" si="10"/>
        <v>0</v>
      </c>
      <c r="K49" s="3">
        <f t="shared" si="11"/>
        <v>8.9877906819350647E-3</v>
      </c>
      <c r="L49" s="19">
        <f t="shared" si="12"/>
        <v>1.8379293255159287E-2</v>
      </c>
    </row>
    <row r="50" spans="1:12">
      <c r="A50">
        <v>2021</v>
      </c>
      <c r="B50" s="19" t="s">
        <v>13</v>
      </c>
      <c r="C50" s="4">
        <f t="shared" si="13"/>
        <v>53990.399999999994</v>
      </c>
      <c r="D50" s="4">
        <v>2330.4</v>
      </c>
      <c r="E50" s="4">
        <v>2829</v>
      </c>
      <c r="F50" s="4">
        <v>1533</v>
      </c>
      <c r="G50" s="4">
        <v>386.5</v>
      </c>
      <c r="H50" s="3">
        <f t="shared" si="9"/>
        <v>2.99655263855742E-2</v>
      </c>
      <c r="I50" s="20">
        <f>Combined!B53</f>
        <v>0.03</v>
      </c>
      <c r="J50" s="3">
        <f t="shared" si="10"/>
        <v>3.6511156186612576E-2</v>
      </c>
      <c r="K50" s="3">
        <f t="shared" si="11"/>
        <v>3.6999275576185292E-2</v>
      </c>
      <c r="L50" s="19">
        <f t="shared" si="12"/>
        <v>3.2812550215092599E-2</v>
      </c>
    </row>
    <row r="51" spans="1:12">
      <c r="A51">
        <v>2022</v>
      </c>
      <c r="B51" s="19" t="s">
        <v>13</v>
      </c>
      <c r="C51" s="4">
        <f t="shared" si="13"/>
        <v>56405.16</v>
      </c>
      <c r="D51" s="4">
        <v>2393.4</v>
      </c>
      <c r="E51" s="4">
        <v>2905.5</v>
      </c>
      <c r="F51" s="4">
        <v>1644</v>
      </c>
      <c r="G51" s="4">
        <v>406.98</v>
      </c>
      <c r="H51" s="3">
        <f t="shared" si="9"/>
        <v>2.7033985581874354E-2</v>
      </c>
      <c r="I51" s="20">
        <f>Combined!B54</f>
        <v>2.7E-2</v>
      </c>
      <c r="J51" s="3">
        <f t="shared" si="10"/>
        <v>7.2407045009784732E-2</v>
      </c>
      <c r="K51" s="3">
        <f t="shared" si="11"/>
        <v>5.2988357050452829E-2</v>
      </c>
      <c r="L51" s="19">
        <f t="shared" si="12"/>
        <v>4.4725729018492352E-2</v>
      </c>
    </row>
    <row r="52" spans="1:12">
      <c r="B52" s="19"/>
      <c r="C52" s="4"/>
      <c r="H52" s="3"/>
      <c r="I52" s="3"/>
      <c r="J52" s="3"/>
      <c r="K52" s="3"/>
      <c r="L52" s="19"/>
    </row>
    <row r="53" spans="1:12" ht="18" customHeight="1"/>
    <row r="111" spans="6:11">
      <c r="F111" s="13"/>
      <c r="H111" s="10"/>
      <c r="I111" s="10"/>
      <c r="J111" s="18"/>
      <c r="K111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51"/>
  <sheetViews>
    <sheetView workbookViewId="0">
      <pane ySplit="1" topLeftCell="A29" activePane="bottomLeft" state="frozen"/>
      <selection pane="bottomLeft" activeCell="I51" sqref="I51"/>
    </sheetView>
  </sheetViews>
  <sheetFormatPr defaultRowHeight="14.4"/>
  <cols>
    <col min="1" max="1" width="5" bestFit="1" customWidth="1"/>
    <col min="2" max="2" width="5" style="16" bestFit="1" customWidth="1"/>
    <col min="3" max="4" width="12.109375" bestFit="1" customWidth="1"/>
    <col min="5" max="5" width="12.44140625" bestFit="1" customWidth="1"/>
    <col min="6" max="6" width="10.109375" bestFit="1" customWidth="1"/>
  </cols>
  <sheetData>
    <row r="1" spans="1:12">
      <c r="A1" t="s">
        <v>38</v>
      </c>
      <c r="B1" s="19" t="s">
        <v>39</v>
      </c>
      <c r="C1" t="s">
        <v>48</v>
      </c>
      <c r="D1" s="4" t="s">
        <v>49</v>
      </c>
      <c r="E1" s="4" t="s">
        <v>50</v>
      </c>
      <c r="F1" s="4" t="s">
        <v>40</v>
      </c>
      <c r="G1" s="4" t="s">
        <v>41</v>
      </c>
      <c r="H1" t="s">
        <v>46</v>
      </c>
      <c r="I1" t="s">
        <v>47</v>
      </c>
      <c r="J1" s="16" t="s">
        <v>43</v>
      </c>
      <c r="K1" s="16" t="s">
        <v>44</v>
      </c>
      <c r="L1" s="16" t="s">
        <v>45</v>
      </c>
    </row>
    <row r="2" spans="1:12">
      <c r="A2">
        <v>1973</v>
      </c>
      <c r="B2" s="16" t="s">
        <v>42</v>
      </c>
      <c r="C2" s="4">
        <f t="shared" ref="C2:C33" si="0">(((D2+E2)/2)+F2+G2)*12</f>
        <v>14711.76</v>
      </c>
      <c r="D2" s="4">
        <v>748.2</v>
      </c>
      <c r="E2" s="4">
        <v>1216.8</v>
      </c>
      <c r="F2" s="4">
        <v>195.6</v>
      </c>
      <c r="G2" s="4">
        <v>47.88</v>
      </c>
      <c r="H2" s="3"/>
      <c r="I2" s="3">
        <f>Combined!B5</f>
        <v>6.7000000000000004E-2</v>
      </c>
      <c r="J2" s="3"/>
      <c r="K2" s="3"/>
      <c r="L2" s="19"/>
    </row>
    <row r="3" spans="1:12">
      <c r="A3">
        <v>1974</v>
      </c>
      <c r="B3" s="16" t="s">
        <v>42</v>
      </c>
      <c r="C3" s="4">
        <f t="shared" si="0"/>
        <v>16290.840000000002</v>
      </c>
      <c r="D3" s="4">
        <v>838.2</v>
      </c>
      <c r="E3" s="4">
        <v>1363.2</v>
      </c>
      <c r="F3" s="4">
        <v>206.4</v>
      </c>
      <c r="G3" s="4">
        <v>50.47</v>
      </c>
      <c r="H3" s="3">
        <f t="shared" ref="H3:H11" si="1">(D3-D2)/D2</f>
        <v>0.12028869286287089</v>
      </c>
      <c r="I3" s="3">
        <f>Combined!B6</f>
        <v>6.2E-2</v>
      </c>
      <c r="J3" s="3">
        <f t="shared" ref="J3:J11" si="2">(F3-F2)/F2</f>
        <v>5.5214723926380431E-2</v>
      </c>
      <c r="K3" s="3">
        <f t="shared" ref="K3:K11" si="3">(G3-G2)/G2</f>
        <v>5.4093567251461909E-2</v>
      </c>
      <c r="L3" s="19">
        <f t="shared" ref="L3:L11" si="4">(C3-C2)/C2</f>
        <v>0.10733454053084075</v>
      </c>
    </row>
    <row r="4" spans="1:12">
      <c r="A4">
        <v>1975</v>
      </c>
      <c r="B4" s="16" t="s">
        <v>42</v>
      </c>
      <c r="C4" s="4">
        <f t="shared" si="0"/>
        <v>17104.8</v>
      </c>
      <c r="D4" s="4">
        <v>880.2</v>
      </c>
      <c r="E4" s="4">
        <v>1431.3</v>
      </c>
      <c r="F4" s="4">
        <v>216.6</v>
      </c>
      <c r="G4" s="4">
        <v>53.05</v>
      </c>
      <c r="H4" s="3">
        <f t="shared" si="1"/>
        <v>5.0107372942018606E-2</v>
      </c>
      <c r="I4" s="3">
        <f>Combined!B7</f>
        <v>5.5199999999999999E-2</v>
      </c>
      <c r="J4" s="3">
        <f t="shared" si="2"/>
        <v>4.9418604651162733E-2</v>
      </c>
      <c r="K4" s="3">
        <f t="shared" si="3"/>
        <v>5.111947691698035E-2</v>
      </c>
      <c r="L4" s="19">
        <f t="shared" si="4"/>
        <v>4.9964274402056447E-2</v>
      </c>
    </row>
    <row r="5" spans="1:12">
      <c r="A5">
        <v>1976</v>
      </c>
      <c r="B5" s="16" t="s">
        <v>42</v>
      </c>
      <c r="C5" s="4">
        <f t="shared" si="0"/>
        <v>17959.079999999998</v>
      </c>
      <c r="D5" s="4">
        <v>912</v>
      </c>
      <c r="E5" s="4">
        <v>1483.2</v>
      </c>
      <c r="F5" s="4">
        <v>242.7</v>
      </c>
      <c r="G5" s="4">
        <v>56.29</v>
      </c>
      <c r="H5" s="3">
        <f t="shared" si="1"/>
        <v>3.6128152692569818E-2</v>
      </c>
      <c r="I5" s="3">
        <f>Combined!B8</f>
        <v>0.05</v>
      </c>
      <c r="J5" s="3">
        <f t="shared" si="2"/>
        <v>0.12049861495844873</v>
      </c>
      <c r="K5" s="3">
        <f t="shared" si="3"/>
        <v>6.1074458058435477E-2</v>
      </c>
      <c r="L5" s="19">
        <f t="shared" si="4"/>
        <v>4.9943875403395475E-2</v>
      </c>
    </row>
    <row r="6" spans="1:12">
      <c r="A6">
        <v>1977</v>
      </c>
      <c r="B6" s="16" t="s">
        <v>42</v>
      </c>
      <c r="C6" s="4">
        <f t="shared" si="0"/>
        <v>19230.96</v>
      </c>
      <c r="D6" s="4">
        <v>968.4</v>
      </c>
      <c r="E6" s="4">
        <v>1575.3</v>
      </c>
      <c r="F6" s="4">
        <v>271.2</v>
      </c>
      <c r="G6" s="4">
        <v>59.53</v>
      </c>
      <c r="H6" s="3">
        <f t="shared" si="1"/>
        <v>6.1842105263157872E-2</v>
      </c>
      <c r="I6" s="3">
        <f>Combined!B9</f>
        <v>3.5999999999999997E-2</v>
      </c>
      <c r="J6" s="3">
        <f t="shared" si="2"/>
        <v>0.11742892459826948</v>
      </c>
      <c r="K6" s="3">
        <f t="shared" si="3"/>
        <v>5.7559069106413251E-2</v>
      </c>
      <c r="L6" s="19">
        <f t="shared" si="4"/>
        <v>7.0820999739407656E-2</v>
      </c>
    </row>
    <row r="7" spans="1:12">
      <c r="A7">
        <v>1978</v>
      </c>
      <c r="B7" s="16" t="s">
        <v>42</v>
      </c>
      <c r="C7" s="4">
        <f t="shared" si="0"/>
        <v>20290.800000000003</v>
      </c>
      <c r="D7" s="4">
        <v>1021.8</v>
      </c>
      <c r="E7" s="4">
        <v>1662</v>
      </c>
      <c r="F7" s="4">
        <v>286.2</v>
      </c>
      <c r="G7" s="4">
        <v>62.8</v>
      </c>
      <c r="H7" s="3">
        <f t="shared" si="1"/>
        <v>5.5142503097893411E-2</v>
      </c>
      <c r="I7" s="3">
        <f>Combined!B10</f>
        <v>6.2E-2</v>
      </c>
      <c r="J7" s="3">
        <f t="shared" si="2"/>
        <v>5.5309734513274339E-2</v>
      </c>
      <c r="K7" s="3">
        <f t="shared" si="3"/>
        <v>5.4930287250125921E-2</v>
      </c>
      <c r="L7" s="19">
        <f t="shared" si="4"/>
        <v>5.5111133297557888E-2</v>
      </c>
    </row>
    <row r="8" spans="1:12">
      <c r="A8">
        <v>1979</v>
      </c>
      <c r="B8" s="16" t="s">
        <v>42</v>
      </c>
      <c r="C8" s="4">
        <f t="shared" si="0"/>
        <v>21715.32</v>
      </c>
      <c r="D8" s="4">
        <v>1093.5</v>
      </c>
      <c r="E8" s="4">
        <v>1778.7</v>
      </c>
      <c r="F8" s="4">
        <v>306.3</v>
      </c>
      <c r="G8" s="4">
        <v>67.209999999999994</v>
      </c>
      <c r="H8" s="3">
        <f t="shared" si="1"/>
        <v>7.0170287727539679E-2</v>
      </c>
      <c r="I8" s="3">
        <f>Combined!B11</f>
        <v>5.5E-2</v>
      </c>
      <c r="J8" s="3">
        <f t="shared" si="2"/>
        <v>7.0230607966457109E-2</v>
      </c>
      <c r="K8" s="3">
        <f t="shared" si="3"/>
        <v>7.0222929936305675E-2</v>
      </c>
      <c r="L8" s="19">
        <f t="shared" si="4"/>
        <v>7.020521615707595E-2</v>
      </c>
    </row>
    <row r="9" spans="1:12">
      <c r="A9">
        <v>1980</v>
      </c>
      <c r="B9" s="16" t="s">
        <v>42</v>
      </c>
      <c r="C9" s="4">
        <f t="shared" si="0"/>
        <v>24347.399999999998</v>
      </c>
      <c r="D9" s="4">
        <v>1221.3</v>
      </c>
      <c r="E9" s="4">
        <v>1986.9</v>
      </c>
      <c r="F9" s="4">
        <v>342</v>
      </c>
      <c r="G9" s="4">
        <v>82.85</v>
      </c>
      <c r="H9" s="3">
        <f t="shared" si="1"/>
        <v>0.11687242798353906</v>
      </c>
      <c r="I9" s="3">
        <f>Combined!B12</f>
        <v>7.0000000000000007E-2</v>
      </c>
      <c r="J9" s="3">
        <f t="shared" si="2"/>
        <v>0.11655239960822719</v>
      </c>
      <c r="K9" s="3">
        <f t="shared" si="3"/>
        <v>0.23270346674601997</v>
      </c>
      <c r="L9" s="19">
        <f t="shared" si="4"/>
        <v>0.12120843717707122</v>
      </c>
    </row>
    <row r="10" spans="1:12">
      <c r="A10">
        <v>1981</v>
      </c>
      <c r="B10" s="16" t="s">
        <v>42</v>
      </c>
      <c r="C10" s="4">
        <f t="shared" si="0"/>
        <v>28030.079999999994</v>
      </c>
      <c r="D10" s="4">
        <v>1395.9</v>
      </c>
      <c r="E10" s="4">
        <v>2305.1999999999998</v>
      </c>
      <c r="F10" s="4">
        <v>390.9</v>
      </c>
      <c r="G10" s="4">
        <v>94.39</v>
      </c>
      <c r="H10" s="3">
        <f t="shared" si="1"/>
        <v>0.14296241709653659</v>
      </c>
      <c r="I10" s="3">
        <f>Combined!B13</f>
        <v>0.11700000000000001</v>
      </c>
      <c r="J10" s="3">
        <f t="shared" si="2"/>
        <v>0.14298245614035082</v>
      </c>
      <c r="K10" s="3">
        <f t="shared" si="3"/>
        <v>0.13928786964393491</v>
      </c>
      <c r="L10" s="19">
        <f t="shared" si="4"/>
        <v>0.15125557554400046</v>
      </c>
    </row>
    <row r="11" spans="1:12">
      <c r="A11">
        <v>1982</v>
      </c>
      <c r="B11" s="16" t="s">
        <v>42</v>
      </c>
      <c r="C11" s="4">
        <f t="shared" si="0"/>
        <v>28937.640000000003</v>
      </c>
      <c r="D11" s="4">
        <v>1451.7</v>
      </c>
      <c r="E11" s="4">
        <v>2361.9</v>
      </c>
      <c r="F11" s="4">
        <v>406.5</v>
      </c>
      <c r="G11" s="4">
        <v>98.17</v>
      </c>
      <c r="H11" s="3">
        <f t="shared" si="1"/>
        <v>3.9974210186976111E-2</v>
      </c>
      <c r="I11" s="3">
        <f>Combined!B14</f>
        <v>0.14299999999999999</v>
      </c>
      <c r="J11" s="3">
        <f t="shared" si="2"/>
        <v>3.9907904834996226E-2</v>
      </c>
      <c r="K11" s="3">
        <f t="shared" si="3"/>
        <v>4.0046615107532588E-2</v>
      </c>
      <c r="L11" s="19">
        <f t="shared" si="4"/>
        <v>3.2378073840674329E-2</v>
      </c>
    </row>
    <row r="12" spans="1:12">
      <c r="A12">
        <v>1983</v>
      </c>
      <c r="B12" s="16" t="s">
        <v>42</v>
      </c>
      <c r="C12" s="4">
        <f t="shared" si="0"/>
        <v>28937.640000000003</v>
      </c>
      <c r="D12" s="4">
        <v>1451.7</v>
      </c>
      <c r="E12" s="4">
        <v>2361.9</v>
      </c>
      <c r="F12" s="4">
        <v>406.5</v>
      </c>
      <c r="G12" s="4">
        <v>98.17</v>
      </c>
      <c r="H12" s="3">
        <f>(D13-D11)/D11</f>
        <v>4.0090927877660706E-2</v>
      </c>
      <c r="I12" s="3">
        <f>Combined!B15</f>
        <v>0.04</v>
      </c>
      <c r="J12" s="3">
        <f>(F13-F11)/F11</f>
        <v>3.9852398523985214E-2</v>
      </c>
      <c r="K12" s="3">
        <f>(G13-G11)/G11</f>
        <v>4.003259651624725E-2</v>
      </c>
      <c r="L12" s="19">
        <f>(C13-C11)/C11</f>
        <v>4.0008791318158446E-2</v>
      </c>
    </row>
    <row r="13" spans="1:12">
      <c r="A13">
        <v>1984</v>
      </c>
      <c r="B13" s="16" t="s">
        <v>42</v>
      </c>
      <c r="C13" s="4">
        <f t="shared" si="0"/>
        <v>30095.399999999998</v>
      </c>
      <c r="D13" s="4">
        <v>1509.9</v>
      </c>
      <c r="E13" s="4">
        <v>2456.4</v>
      </c>
      <c r="F13" s="4">
        <v>422.7</v>
      </c>
      <c r="G13" s="4">
        <v>102.1</v>
      </c>
      <c r="H13" s="3">
        <f t="shared" ref="H13" si="5">(D14-D13)/D13</f>
        <v>3.993641963043907E-2</v>
      </c>
      <c r="I13" s="3">
        <f>Combined!B16</f>
        <v>0.04</v>
      </c>
      <c r="J13" s="3">
        <f t="shared" ref="J13" si="6">(F14-F13)/F13</f>
        <v>-4.2583392476934264E-3</v>
      </c>
      <c r="K13" s="3">
        <f t="shared" ref="K13" si="7">(G14-G13)/G13</f>
        <v>5.1714005876591591E-2</v>
      </c>
      <c r="L13" s="19">
        <f t="shared" ref="L13" si="8">(C14-C13)/C13</f>
        <v>3.3026974221974217E-2</v>
      </c>
    </row>
    <row r="14" spans="1:12">
      <c r="A14">
        <v>1985</v>
      </c>
      <c r="B14" s="16" t="s">
        <v>42</v>
      </c>
      <c r="C14" s="4">
        <f t="shared" si="0"/>
        <v>31089.360000000001</v>
      </c>
      <c r="D14" s="4">
        <v>1570.2</v>
      </c>
      <c r="E14" s="4">
        <v>2554.8000000000002</v>
      </c>
      <c r="F14" s="4">
        <v>420.9</v>
      </c>
      <c r="G14" s="4">
        <v>107.38</v>
      </c>
      <c r="H14" s="3">
        <f t="shared" ref="H14:H51" si="9">(D14-D13)/D13</f>
        <v>3.993641963043907E-2</v>
      </c>
      <c r="I14" s="3">
        <f>Combined!B17</f>
        <v>0.04</v>
      </c>
      <c r="J14" s="3">
        <f t="shared" ref="J14:J51" si="10">(F14-F13)/F13</f>
        <v>-4.2583392476934264E-3</v>
      </c>
      <c r="K14" s="3">
        <f t="shared" ref="K14:K51" si="11">(G14-G13)/G13</f>
        <v>5.1714005876591591E-2</v>
      </c>
      <c r="L14" s="19">
        <f t="shared" ref="L14:L51" si="12">(C14-C13)/C13</f>
        <v>3.3026974221974217E-2</v>
      </c>
    </row>
    <row r="15" spans="1:12">
      <c r="A15">
        <v>1986</v>
      </c>
      <c r="B15" s="16" t="s">
        <v>42</v>
      </c>
      <c r="C15" s="4">
        <f t="shared" si="0"/>
        <v>31026</v>
      </c>
      <c r="D15" s="4">
        <v>1570.2</v>
      </c>
      <c r="E15" s="4">
        <v>2554.8000000000002</v>
      </c>
      <c r="F15" s="4">
        <v>420.9</v>
      </c>
      <c r="G15" s="4">
        <v>102.1</v>
      </c>
      <c r="H15" s="3">
        <f t="shared" si="9"/>
        <v>0</v>
      </c>
      <c r="I15" s="3">
        <f>Combined!B18</f>
        <v>0</v>
      </c>
      <c r="J15" s="3">
        <f t="shared" si="10"/>
        <v>0</v>
      </c>
      <c r="K15" s="3">
        <f t="shared" si="11"/>
        <v>-4.9171167815235624E-2</v>
      </c>
      <c r="L15" s="19">
        <f t="shared" si="12"/>
        <v>-2.0379962791128728E-3</v>
      </c>
    </row>
    <row r="16" spans="1:12">
      <c r="A16">
        <v>1987</v>
      </c>
      <c r="B16" s="16" t="s">
        <v>42</v>
      </c>
      <c r="C16" s="4">
        <f t="shared" si="0"/>
        <v>32965.200000000004</v>
      </c>
      <c r="D16" s="4">
        <v>1665.9</v>
      </c>
      <c r="E16" s="4">
        <v>2710.2</v>
      </c>
      <c r="F16" s="4">
        <v>446.4</v>
      </c>
      <c r="G16" s="4">
        <v>112.65</v>
      </c>
      <c r="H16" s="3">
        <f t="shared" si="9"/>
        <v>6.0947649980894178E-2</v>
      </c>
      <c r="I16" s="3">
        <f>Combined!B19</f>
        <v>0.03</v>
      </c>
      <c r="J16" s="3">
        <f t="shared" si="10"/>
        <v>6.0584461867426949E-2</v>
      </c>
      <c r="K16" s="3">
        <f t="shared" si="11"/>
        <v>0.10333006856023517</v>
      </c>
      <c r="L16" s="19">
        <f t="shared" si="12"/>
        <v>6.250241732740297E-2</v>
      </c>
    </row>
    <row r="17" spans="1:12">
      <c r="A17">
        <v>1988</v>
      </c>
      <c r="B17" s="16" t="s">
        <v>42</v>
      </c>
      <c r="C17" s="4">
        <f t="shared" si="0"/>
        <v>33899.399999999994</v>
      </c>
      <c r="D17" s="4">
        <v>1699.2</v>
      </c>
      <c r="E17" s="4">
        <v>2764.5</v>
      </c>
      <c r="F17" s="4">
        <v>478.2</v>
      </c>
      <c r="G17" s="4">
        <v>114.9</v>
      </c>
      <c r="H17" s="3">
        <f t="shared" si="9"/>
        <v>1.9989195029713639E-2</v>
      </c>
      <c r="I17" s="3">
        <f>Combined!B20</f>
        <v>0.02</v>
      </c>
      <c r="J17" s="3">
        <f t="shared" si="10"/>
        <v>7.123655913978498E-2</v>
      </c>
      <c r="K17" s="3">
        <f t="shared" si="11"/>
        <v>1.9973368841544607E-2</v>
      </c>
      <c r="L17" s="19">
        <f t="shared" si="12"/>
        <v>2.8338975647045662E-2</v>
      </c>
    </row>
    <row r="18" spans="1:12">
      <c r="A18">
        <v>1989</v>
      </c>
      <c r="B18" s="16" t="s">
        <v>42</v>
      </c>
      <c r="C18" s="4">
        <f t="shared" si="0"/>
        <v>35053.919999999998</v>
      </c>
      <c r="D18" s="4">
        <v>1768.8</v>
      </c>
      <c r="E18" s="4">
        <v>2877.9</v>
      </c>
      <c r="F18" s="4">
        <v>478.2</v>
      </c>
      <c r="G18" s="4">
        <v>119.61</v>
      </c>
      <c r="H18" s="3">
        <f t="shared" si="9"/>
        <v>4.0960451977401079E-2</v>
      </c>
      <c r="I18" s="3">
        <f>Combined!B21</f>
        <v>4.1000000000000002E-2</v>
      </c>
      <c r="J18" s="3">
        <f t="shared" si="10"/>
        <v>0</v>
      </c>
      <c r="K18" s="3">
        <f t="shared" si="11"/>
        <v>4.0992167101827619E-2</v>
      </c>
      <c r="L18" s="19">
        <f t="shared" si="12"/>
        <v>3.4057239951149704E-2</v>
      </c>
    </row>
    <row r="19" spans="1:12">
      <c r="A19">
        <v>1990</v>
      </c>
      <c r="B19" s="16" t="s">
        <v>42</v>
      </c>
      <c r="C19" s="4">
        <f t="shared" si="0"/>
        <v>36265.32</v>
      </c>
      <c r="D19" s="4">
        <v>1832.4</v>
      </c>
      <c r="E19" s="4">
        <v>2981.4</v>
      </c>
      <c r="F19" s="4">
        <v>495.6</v>
      </c>
      <c r="G19" s="4">
        <v>119.61</v>
      </c>
      <c r="H19" s="3">
        <f t="shared" si="9"/>
        <v>3.5956580732700215E-2</v>
      </c>
      <c r="I19" s="3">
        <f>Combined!B22</f>
        <v>3.5999999999999997E-2</v>
      </c>
      <c r="J19" s="3">
        <f t="shared" si="10"/>
        <v>3.6386449184441727E-2</v>
      </c>
      <c r="K19" s="3">
        <f t="shared" si="11"/>
        <v>0</v>
      </c>
      <c r="L19" s="19">
        <f t="shared" si="12"/>
        <v>3.4558189212504663E-2</v>
      </c>
    </row>
    <row r="20" spans="1:12">
      <c r="A20">
        <v>1991</v>
      </c>
      <c r="B20" s="16" t="s">
        <v>42</v>
      </c>
      <c r="C20" s="4">
        <f t="shared" si="0"/>
        <v>37801.799999999996</v>
      </c>
      <c r="D20" s="4">
        <v>1907.4</v>
      </c>
      <c r="E20" s="4">
        <v>3103.5</v>
      </c>
      <c r="F20" s="4">
        <v>515.70000000000005</v>
      </c>
      <c r="G20" s="4">
        <v>129</v>
      </c>
      <c r="H20" s="3">
        <f t="shared" si="9"/>
        <v>4.0929927963326784E-2</v>
      </c>
      <c r="I20" s="3">
        <f>Combined!B23</f>
        <v>4.1000000000000002E-2</v>
      </c>
      <c r="J20" s="3">
        <f t="shared" si="10"/>
        <v>4.0556900726392293E-2</v>
      </c>
      <c r="K20" s="3">
        <f t="shared" si="11"/>
        <v>7.850514171055932E-2</v>
      </c>
      <c r="L20" s="19">
        <f t="shared" si="12"/>
        <v>4.2367749684822743E-2</v>
      </c>
    </row>
    <row r="21" spans="1:12">
      <c r="A21">
        <v>1992</v>
      </c>
      <c r="B21" s="16" t="s">
        <v>42</v>
      </c>
      <c r="C21" s="4">
        <f t="shared" si="0"/>
        <v>39363.839999999997</v>
      </c>
      <c r="D21" s="4">
        <v>1987.5</v>
      </c>
      <c r="E21" s="4">
        <v>3233.7</v>
      </c>
      <c r="F21" s="4">
        <v>537.29999999999995</v>
      </c>
      <c r="G21" s="4">
        <v>132.41999999999999</v>
      </c>
      <c r="H21" s="3">
        <f t="shared" si="9"/>
        <v>4.1994337842088655E-2</v>
      </c>
      <c r="I21" s="3">
        <f>Combined!B24</f>
        <v>4.2000000000000003E-2</v>
      </c>
      <c r="J21" s="3">
        <f t="shared" si="10"/>
        <v>4.1884816753926524E-2</v>
      </c>
      <c r="K21" s="3">
        <f t="shared" si="11"/>
        <v>2.6511627906976646E-2</v>
      </c>
      <c r="L21" s="19">
        <f t="shared" si="12"/>
        <v>4.1321841817056358E-2</v>
      </c>
    </row>
    <row r="22" spans="1:12">
      <c r="A22">
        <v>1993</v>
      </c>
      <c r="B22" s="16" t="s">
        <v>42</v>
      </c>
      <c r="C22" s="4">
        <f t="shared" si="0"/>
        <v>40844.28</v>
      </c>
      <c r="D22" s="4">
        <v>2061</v>
      </c>
      <c r="E22" s="4">
        <v>3353.4</v>
      </c>
      <c r="F22" s="4">
        <v>557.1</v>
      </c>
      <c r="G22" s="4">
        <v>139.38999999999999</v>
      </c>
      <c r="H22" s="3">
        <f t="shared" si="9"/>
        <v>3.6981132075471698E-2</v>
      </c>
      <c r="I22" s="3">
        <f>Combined!B25</f>
        <v>3.6999999999999998E-2</v>
      </c>
      <c r="J22" s="3">
        <f t="shared" si="10"/>
        <v>3.6850921273031953E-2</v>
      </c>
      <c r="K22" s="3">
        <f t="shared" si="11"/>
        <v>5.2635553541761061E-2</v>
      </c>
      <c r="L22" s="19">
        <f t="shared" si="12"/>
        <v>3.7609135694078692E-2</v>
      </c>
    </row>
    <row r="23" spans="1:12">
      <c r="A23">
        <v>1994</v>
      </c>
      <c r="B23" s="16" t="s">
        <v>42</v>
      </c>
      <c r="C23" s="4">
        <f t="shared" si="0"/>
        <v>41743.32</v>
      </c>
      <c r="D23" s="4">
        <v>2106.3000000000002</v>
      </c>
      <c r="E23" s="4">
        <v>3427.2</v>
      </c>
      <c r="F23" s="4">
        <v>569.4</v>
      </c>
      <c r="G23" s="4">
        <v>142.46</v>
      </c>
      <c r="H23" s="3">
        <f t="shared" si="9"/>
        <v>2.1979621542940409E-2</v>
      </c>
      <c r="I23" s="3">
        <f>Combined!B26</f>
        <v>2.1999999999999999E-2</v>
      </c>
      <c r="J23" s="3">
        <f t="shared" si="10"/>
        <v>2.2078621432417796E-2</v>
      </c>
      <c r="K23" s="3">
        <f t="shared" si="11"/>
        <v>2.2024535476002739E-2</v>
      </c>
      <c r="L23" s="19">
        <f t="shared" si="12"/>
        <v>2.2011405268987504E-2</v>
      </c>
    </row>
    <row r="24" spans="1:12">
      <c r="A24">
        <v>1995</v>
      </c>
      <c r="B24" s="16" t="s">
        <v>42</v>
      </c>
      <c r="C24" s="4">
        <f t="shared" si="0"/>
        <v>42827.88</v>
      </c>
      <c r="D24" s="4">
        <v>2161.1999999999998</v>
      </c>
      <c r="E24" s="4">
        <v>3516.3</v>
      </c>
      <c r="F24" s="4">
        <v>584.1</v>
      </c>
      <c r="G24" s="4">
        <v>146.13999999999999</v>
      </c>
      <c r="H24" s="3">
        <f t="shared" si="9"/>
        <v>2.6064663153396776E-2</v>
      </c>
      <c r="I24" s="3">
        <f>Combined!B27</f>
        <v>2.5999999999999999E-2</v>
      </c>
      <c r="J24" s="3">
        <f t="shared" si="10"/>
        <v>2.5816649104320417E-2</v>
      </c>
      <c r="K24" s="3">
        <f t="shared" si="11"/>
        <v>2.5831812438579096E-2</v>
      </c>
      <c r="L24" s="19">
        <f t="shared" si="12"/>
        <v>2.5981642092674891E-2</v>
      </c>
    </row>
    <row r="25" spans="1:12">
      <c r="A25">
        <v>1996</v>
      </c>
      <c r="B25" s="16" t="s">
        <v>42</v>
      </c>
      <c r="C25" s="4">
        <f t="shared" si="0"/>
        <v>44051.040000000001</v>
      </c>
      <c r="D25" s="4">
        <v>2213.1</v>
      </c>
      <c r="E25" s="4">
        <v>3600.6</v>
      </c>
      <c r="F25" s="4">
        <v>614.4</v>
      </c>
      <c r="G25" s="4">
        <v>149.66999999999999</v>
      </c>
      <c r="H25" s="3">
        <f t="shared" si="9"/>
        <v>2.4014436424208817E-2</v>
      </c>
      <c r="I25" s="3">
        <f>Combined!B28</f>
        <v>2.4E-2</v>
      </c>
      <c r="J25" s="3">
        <f t="shared" si="10"/>
        <v>5.187467899332298E-2</v>
      </c>
      <c r="K25" s="3">
        <f t="shared" si="11"/>
        <v>2.4154919939783779E-2</v>
      </c>
      <c r="L25" s="19">
        <f t="shared" si="12"/>
        <v>2.855990070019818E-2</v>
      </c>
    </row>
    <row r="26" spans="1:12">
      <c r="A26">
        <v>1997</v>
      </c>
      <c r="B26" s="16" t="s">
        <v>42</v>
      </c>
      <c r="C26" s="4">
        <f t="shared" si="0"/>
        <v>45489.119999999995</v>
      </c>
      <c r="D26" s="4">
        <v>2279.4</v>
      </c>
      <c r="E26" s="4">
        <v>3708.6</v>
      </c>
      <c r="F26" s="4">
        <v>642.6</v>
      </c>
      <c r="G26" s="4">
        <v>154.16</v>
      </c>
      <c r="H26" s="3">
        <f t="shared" si="9"/>
        <v>2.9957977497627845E-2</v>
      </c>
      <c r="I26" s="3">
        <f>Combined!B29</f>
        <v>0.03</v>
      </c>
      <c r="J26" s="3">
        <f t="shared" si="10"/>
        <v>4.5898437500000076E-2</v>
      </c>
      <c r="K26" s="3">
        <f t="shared" si="11"/>
        <v>2.9999331863432947E-2</v>
      </c>
      <c r="L26" s="19">
        <f t="shared" si="12"/>
        <v>3.2645767273598865E-2</v>
      </c>
    </row>
    <row r="27" spans="1:12">
      <c r="A27">
        <v>1998</v>
      </c>
      <c r="B27" s="16" t="s">
        <v>42</v>
      </c>
      <c r="C27" s="4">
        <f t="shared" si="0"/>
        <v>46729.8</v>
      </c>
      <c r="D27" s="4">
        <v>2343.3000000000002</v>
      </c>
      <c r="E27" s="4">
        <v>3812.4</v>
      </c>
      <c r="F27" s="4">
        <v>660.6</v>
      </c>
      <c r="G27" s="4">
        <v>155.69999999999999</v>
      </c>
      <c r="H27" s="3">
        <f t="shared" si="9"/>
        <v>2.8033693077125599E-2</v>
      </c>
      <c r="I27" s="3">
        <f>Combined!B30</f>
        <v>2.8000000000000001E-2</v>
      </c>
      <c r="J27" s="3">
        <f t="shared" si="10"/>
        <v>2.8011204481792715E-2</v>
      </c>
      <c r="K27" s="3">
        <f t="shared" si="11"/>
        <v>9.9896211728074218E-3</v>
      </c>
      <c r="L27" s="19">
        <f t="shared" si="12"/>
        <v>2.7274214141755383E-2</v>
      </c>
    </row>
    <row r="28" spans="1:12">
      <c r="A28">
        <v>1999</v>
      </c>
      <c r="B28" s="16" t="s">
        <v>42</v>
      </c>
      <c r="C28" s="4">
        <f t="shared" si="0"/>
        <v>48361.320000000007</v>
      </c>
      <c r="D28" s="4">
        <v>2427.6</v>
      </c>
      <c r="E28" s="4">
        <v>3949.5</v>
      </c>
      <c r="F28" s="4">
        <v>684.3</v>
      </c>
      <c r="G28" s="4">
        <v>157.26</v>
      </c>
      <c r="H28" s="3">
        <f t="shared" si="9"/>
        <v>3.5974907182178856E-2</v>
      </c>
      <c r="I28" s="3">
        <f>Combined!B31</f>
        <v>3.5999999999999997E-2</v>
      </c>
      <c r="J28" s="3">
        <f t="shared" si="10"/>
        <v>3.5876475930971742E-2</v>
      </c>
      <c r="K28" s="3">
        <f t="shared" si="11"/>
        <v>1.0019267822736046E-2</v>
      </c>
      <c r="L28" s="19">
        <f t="shared" si="12"/>
        <v>3.4913909325526835E-2</v>
      </c>
    </row>
    <row r="29" spans="1:12">
      <c r="A29">
        <v>2000</v>
      </c>
      <c r="B29" s="16" t="s">
        <v>42</v>
      </c>
      <c r="C29" s="4">
        <f t="shared" si="0"/>
        <v>50460.959999999999</v>
      </c>
      <c r="D29" s="4">
        <v>2544</v>
      </c>
      <c r="E29" s="4">
        <v>4139.1000000000004</v>
      </c>
      <c r="F29" s="4">
        <v>704.7</v>
      </c>
      <c r="G29" s="4">
        <v>158.83000000000001</v>
      </c>
      <c r="H29" s="3">
        <f t="shared" si="9"/>
        <v>4.79485912011864E-2</v>
      </c>
      <c r="I29" s="3">
        <f>Combined!B32</f>
        <v>4.8000000000000001E-2</v>
      </c>
      <c r="J29" s="3">
        <f t="shared" si="10"/>
        <v>2.981148619026756E-2</v>
      </c>
      <c r="K29" s="3">
        <f t="shared" si="11"/>
        <v>9.9834668701514803E-3</v>
      </c>
      <c r="L29" s="19">
        <f t="shared" si="12"/>
        <v>4.3415688405527224E-2</v>
      </c>
    </row>
    <row r="30" spans="1:12">
      <c r="A30">
        <v>2001</v>
      </c>
      <c r="B30" s="16" t="s">
        <v>42</v>
      </c>
      <c r="C30" s="4">
        <f t="shared" si="0"/>
        <v>52258.44</v>
      </c>
      <c r="D30" s="4">
        <v>2638.2</v>
      </c>
      <c r="E30" s="4">
        <v>4292.1000000000004</v>
      </c>
      <c r="F30" s="4">
        <v>729.3</v>
      </c>
      <c r="G30" s="4">
        <v>160.41999999999999</v>
      </c>
      <c r="H30" s="3">
        <f t="shared" si="9"/>
        <v>3.7028301886792382E-2</v>
      </c>
      <c r="I30" s="3">
        <f>Combined!B33</f>
        <v>3.6999999999999998E-2</v>
      </c>
      <c r="J30" s="3">
        <f t="shared" si="10"/>
        <v>3.4908471690080753E-2</v>
      </c>
      <c r="K30" s="3">
        <f t="shared" si="11"/>
        <v>1.0010703267644493E-2</v>
      </c>
      <c r="L30" s="19">
        <f t="shared" si="12"/>
        <v>3.5621201023523993E-2</v>
      </c>
    </row>
    <row r="31" spans="1:12">
      <c r="A31">
        <v>2002</v>
      </c>
      <c r="B31" s="16" t="s">
        <v>42</v>
      </c>
      <c r="C31" s="4">
        <f t="shared" si="0"/>
        <v>55227.839999999997</v>
      </c>
      <c r="D31" s="4">
        <v>2796.6</v>
      </c>
      <c r="E31" s="4">
        <v>4549.5</v>
      </c>
      <c r="F31" s="4">
        <v>762.9</v>
      </c>
      <c r="G31" s="4">
        <v>166.37</v>
      </c>
      <c r="H31" s="3">
        <f t="shared" si="9"/>
        <v>6.0040937002501744E-2</v>
      </c>
      <c r="I31" s="3">
        <f>Combined!B34</f>
        <v>6.9000000000000006E-2</v>
      </c>
      <c r="J31" s="3">
        <f t="shared" si="10"/>
        <v>4.6071575483340226E-2</v>
      </c>
      <c r="K31" s="3">
        <f t="shared" si="11"/>
        <v>3.709013838673493E-2</v>
      </c>
      <c r="L31" s="19">
        <f t="shared" si="12"/>
        <v>5.6821443579257135E-2</v>
      </c>
    </row>
    <row r="32" spans="1:12">
      <c r="A32">
        <v>2003</v>
      </c>
      <c r="B32" s="16" t="s">
        <v>42</v>
      </c>
      <c r="C32" s="4">
        <f t="shared" si="0"/>
        <v>57430.2</v>
      </c>
      <c r="D32" s="4">
        <v>2911.2</v>
      </c>
      <c r="E32" s="4">
        <v>4736.1000000000004</v>
      </c>
      <c r="F32" s="4">
        <v>795</v>
      </c>
      <c r="G32" s="4">
        <v>167.2</v>
      </c>
      <c r="H32" s="3">
        <f t="shared" si="9"/>
        <v>4.0978330830293896E-2</v>
      </c>
      <c r="I32" s="3">
        <f>Combined!B35</f>
        <v>4.1000000000000002E-2</v>
      </c>
      <c r="J32" s="3">
        <f t="shared" si="10"/>
        <v>4.2076287848997279E-2</v>
      </c>
      <c r="K32" s="3">
        <f t="shared" si="11"/>
        <v>4.9888802067679511E-3</v>
      </c>
      <c r="L32" s="19">
        <f t="shared" si="12"/>
        <v>3.9877713848667638E-2</v>
      </c>
    </row>
    <row r="33" spans="1:12">
      <c r="A33">
        <v>2004</v>
      </c>
      <c r="B33" s="16" t="s">
        <v>42</v>
      </c>
      <c r="C33" s="4">
        <f t="shared" si="0"/>
        <v>59501.16</v>
      </c>
      <c r="D33" s="4">
        <v>3018.9</v>
      </c>
      <c r="E33" s="4">
        <v>4911.3</v>
      </c>
      <c r="F33" s="4">
        <v>818.1</v>
      </c>
      <c r="G33" s="4">
        <v>175.23</v>
      </c>
      <c r="H33" s="3">
        <f t="shared" si="9"/>
        <v>3.6995053586150135E-2</v>
      </c>
      <c r="I33" s="3">
        <f>Combined!B36</f>
        <v>4.2000000000000003E-2</v>
      </c>
      <c r="J33" s="3">
        <f t="shared" si="10"/>
        <v>2.9056603773584936E-2</v>
      </c>
      <c r="K33" s="3">
        <f t="shared" si="11"/>
        <v>4.8026315789473695E-2</v>
      </c>
      <c r="L33" s="19">
        <f t="shared" si="12"/>
        <v>3.6060469926972337E-2</v>
      </c>
    </row>
    <row r="34" spans="1:12">
      <c r="A34">
        <v>2005</v>
      </c>
      <c r="B34" s="16" t="s">
        <v>42</v>
      </c>
      <c r="C34" s="4">
        <f t="shared" ref="C34:C65" si="13">(((D34+E34)/2)+F34+G34)*12</f>
        <v>61703.280000000006</v>
      </c>
      <c r="D34" s="4">
        <v>3124.5</v>
      </c>
      <c r="E34" s="4">
        <v>5083.2</v>
      </c>
      <c r="F34" s="4">
        <v>854.1</v>
      </c>
      <c r="G34" s="4">
        <v>183.99</v>
      </c>
      <c r="H34" s="3">
        <f t="shared" si="9"/>
        <v>3.497962834144884E-2</v>
      </c>
      <c r="I34" s="3">
        <f>Combined!B37</f>
        <v>3.5000000000000003E-2</v>
      </c>
      <c r="J34" s="3">
        <f t="shared" si="10"/>
        <v>4.4004400440044E-2</v>
      </c>
      <c r="K34" s="3">
        <f t="shared" si="11"/>
        <v>4.9991439821948411E-2</v>
      </c>
      <c r="L34" s="19">
        <f t="shared" si="12"/>
        <v>3.7009698634446829E-2</v>
      </c>
    </row>
    <row r="35" spans="1:12">
      <c r="A35">
        <v>2006</v>
      </c>
      <c r="B35" s="16" t="s">
        <v>42</v>
      </c>
      <c r="C35" s="4">
        <f t="shared" si="13"/>
        <v>63876.479999999996</v>
      </c>
      <c r="D35" s="4">
        <v>3221.4</v>
      </c>
      <c r="E35" s="4">
        <v>5240.7</v>
      </c>
      <c r="F35" s="4">
        <v>904.5</v>
      </c>
      <c r="G35" s="4">
        <v>187.49</v>
      </c>
      <c r="H35" s="3">
        <f t="shared" si="9"/>
        <v>3.1012962073931859E-2</v>
      </c>
      <c r="I35" s="3">
        <f>Combined!B38</f>
        <v>3.1E-2</v>
      </c>
      <c r="J35" s="3">
        <f t="shared" si="10"/>
        <v>5.9009483667017887E-2</v>
      </c>
      <c r="K35" s="3">
        <f t="shared" si="11"/>
        <v>1.9022772976792217E-2</v>
      </c>
      <c r="L35" s="19">
        <f t="shared" si="12"/>
        <v>3.5220169819173142E-2</v>
      </c>
    </row>
    <row r="36" spans="1:12">
      <c r="A36">
        <v>2007</v>
      </c>
      <c r="B36" s="16" t="s">
        <v>42</v>
      </c>
      <c r="C36" s="4">
        <f t="shared" si="13"/>
        <v>65437.079999999987</v>
      </c>
      <c r="D36" s="4">
        <v>3292.2</v>
      </c>
      <c r="E36" s="4">
        <v>5355.9</v>
      </c>
      <c r="F36" s="4">
        <v>936.3</v>
      </c>
      <c r="G36" s="4">
        <v>192.74</v>
      </c>
      <c r="H36" s="3">
        <f t="shared" si="9"/>
        <v>2.1978021978021893E-2</v>
      </c>
      <c r="I36" s="3">
        <f>Combined!B39</f>
        <v>2.7E-2</v>
      </c>
      <c r="J36" s="3">
        <f t="shared" si="10"/>
        <v>3.5157545605306748E-2</v>
      </c>
      <c r="K36" s="3">
        <f t="shared" si="11"/>
        <v>2.8001493412982026E-2</v>
      </c>
      <c r="L36" s="19">
        <f t="shared" si="12"/>
        <v>2.4431527848747948E-2</v>
      </c>
    </row>
    <row r="37" spans="1:12">
      <c r="A37">
        <v>2008</v>
      </c>
      <c r="B37" s="16" t="s">
        <v>42</v>
      </c>
      <c r="C37" s="4">
        <f t="shared" si="13"/>
        <v>67253.279999999999</v>
      </c>
      <c r="D37" s="4">
        <v>3407.4</v>
      </c>
      <c r="E37" s="4">
        <v>5543.4</v>
      </c>
      <c r="F37" s="4">
        <v>936.3</v>
      </c>
      <c r="G37" s="4">
        <v>192.74</v>
      </c>
      <c r="H37" s="3">
        <f t="shared" si="9"/>
        <v>3.4991798797156998E-2</v>
      </c>
      <c r="I37" s="3">
        <f>Combined!B40</f>
        <v>3.5000000000000003E-2</v>
      </c>
      <c r="J37" s="3">
        <f t="shared" si="10"/>
        <v>0</v>
      </c>
      <c r="K37" s="3">
        <f t="shared" si="11"/>
        <v>0</v>
      </c>
      <c r="L37" s="19">
        <f t="shared" si="12"/>
        <v>2.7754905934066924E-2</v>
      </c>
    </row>
    <row r="38" spans="1:12">
      <c r="A38">
        <v>2009</v>
      </c>
      <c r="B38" s="16" t="s">
        <v>42</v>
      </c>
      <c r="C38" s="4">
        <f t="shared" si="13"/>
        <v>71364.479999999996</v>
      </c>
      <c r="D38" s="4">
        <v>3540.3</v>
      </c>
      <c r="E38" s="4">
        <v>5759.7</v>
      </c>
      <c r="F38" s="4">
        <v>1074</v>
      </c>
      <c r="G38" s="4">
        <v>223.04</v>
      </c>
      <c r="H38" s="3">
        <f t="shared" si="9"/>
        <v>3.900334565944711E-2</v>
      </c>
      <c r="I38" s="3">
        <f>Combined!B41</f>
        <v>3.9E-2</v>
      </c>
      <c r="J38" s="3">
        <f t="shared" si="10"/>
        <v>0.14706824735661653</v>
      </c>
      <c r="K38" s="3">
        <f t="shared" si="11"/>
        <v>0.15720659956417962</v>
      </c>
      <c r="L38" s="19">
        <f t="shared" si="12"/>
        <v>6.1130103988980125E-2</v>
      </c>
    </row>
    <row r="39" spans="1:12">
      <c r="A39">
        <v>2010</v>
      </c>
      <c r="B39" s="16" t="s">
        <v>42</v>
      </c>
      <c r="C39" s="4">
        <f t="shared" si="13"/>
        <v>73585.680000000008</v>
      </c>
      <c r="D39" s="4">
        <v>3660.6</v>
      </c>
      <c r="E39" s="4">
        <v>5955.6</v>
      </c>
      <c r="F39" s="4">
        <v>1101</v>
      </c>
      <c r="G39" s="4">
        <v>223.04</v>
      </c>
      <c r="H39" s="3">
        <f t="shared" si="9"/>
        <v>3.3980171171934505E-2</v>
      </c>
      <c r="I39" s="3">
        <f>Combined!B42</f>
        <v>3.4000000000000002E-2</v>
      </c>
      <c r="J39" s="3">
        <f t="shared" si="10"/>
        <v>2.5139664804469275E-2</v>
      </c>
      <c r="K39" s="3">
        <f t="shared" si="11"/>
        <v>0</v>
      </c>
      <c r="L39" s="19">
        <f t="shared" si="12"/>
        <v>3.1124727595577124E-2</v>
      </c>
    </row>
    <row r="40" spans="1:12">
      <c r="A40">
        <v>2011</v>
      </c>
      <c r="B40" s="16" t="s">
        <v>42</v>
      </c>
      <c r="C40" s="4">
        <f t="shared" si="13"/>
        <v>74324.28</v>
      </c>
      <c r="D40" s="4">
        <v>3711.9</v>
      </c>
      <c r="E40" s="4">
        <v>6039</v>
      </c>
      <c r="F40" s="4">
        <v>1094.4000000000001</v>
      </c>
      <c r="G40" s="4">
        <v>223.84</v>
      </c>
      <c r="H40" s="3">
        <f t="shared" si="9"/>
        <v>1.4014096049827948E-2</v>
      </c>
      <c r="I40" s="3">
        <f>Combined!B43</f>
        <v>1.4E-2</v>
      </c>
      <c r="J40" s="3">
        <f t="shared" si="10"/>
        <v>-5.9945504087192637E-3</v>
      </c>
      <c r="K40" s="3">
        <f t="shared" si="11"/>
        <v>3.586800573888143E-3</v>
      </c>
      <c r="L40" s="19">
        <f t="shared" si="12"/>
        <v>1.003727899232556E-2</v>
      </c>
    </row>
    <row r="41" spans="1:12">
      <c r="A41">
        <v>2012</v>
      </c>
      <c r="B41" s="16" t="s">
        <v>42</v>
      </c>
      <c r="C41" s="4">
        <f t="shared" si="13"/>
        <v>75662.520000000019</v>
      </c>
      <c r="D41" s="4">
        <v>3771.3</v>
      </c>
      <c r="E41" s="4">
        <v>6135.6</v>
      </c>
      <c r="F41" s="4">
        <v>1111.8</v>
      </c>
      <c r="G41" s="4">
        <v>239.96</v>
      </c>
      <c r="H41" s="3">
        <f t="shared" si="9"/>
        <v>1.6002586276569974E-2</v>
      </c>
      <c r="I41" s="3">
        <f>Combined!B44</f>
        <v>1.6E-2</v>
      </c>
      <c r="J41" s="3">
        <f t="shared" si="10"/>
        <v>1.5899122807017416E-2</v>
      </c>
      <c r="K41" s="3">
        <f t="shared" si="11"/>
        <v>7.2015725518227325E-2</v>
      </c>
      <c r="L41" s="19">
        <f t="shared" si="12"/>
        <v>1.8005421646869902E-2</v>
      </c>
    </row>
    <row r="42" spans="1:12">
      <c r="A42">
        <v>2013</v>
      </c>
      <c r="B42" s="16" t="s">
        <v>42</v>
      </c>
      <c r="C42" s="4">
        <f t="shared" si="13"/>
        <v>77206.200000000012</v>
      </c>
      <c r="D42" s="4">
        <v>3835.5</v>
      </c>
      <c r="E42" s="4">
        <v>6240</v>
      </c>
      <c r="F42" s="4">
        <v>1153.5</v>
      </c>
      <c r="G42" s="4">
        <v>242.6</v>
      </c>
      <c r="H42" s="3">
        <f t="shared" si="9"/>
        <v>1.7023307612759477E-2</v>
      </c>
      <c r="I42" s="3">
        <f>Combined!B45</f>
        <v>1.7000000000000001E-2</v>
      </c>
      <c r="J42" s="3">
        <f t="shared" si="10"/>
        <v>3.7506745817593133E-2</v>
      </c>
      <c r="K42" s="3">
        <f t="shared" si="11"/>
        <v>1.1001833638939766E-2</v>
      </c>
      <c r="L42" s="19">
        <f t="shared" si="12"/>
        <v>2.0402175343882185E-2</v>
      </c>
    </row>
    <row r="43" spans="1:12">
      <c r="A43">
        <v>2014</v>
      </c>
      <c r="B43" s="16" t="s">
        <v>42</v>
      </c>
      <c r="C43" s="4">
        <f t="shared" si="13"/>
        <v>78545.88</v>
      </c>
      <c r="D43" s="4">
        <v>3873.9</v>
      </c>
      <c r="E43" s="4">
        <v>6302.4</v>
      </c>
      <c r="F43" s="4">
        <v>1211.0999999999999</v>
      </c>
      <c r="G43" s="4">
        <v>246.24</v>
      </c>
      <c r="H43" s="3">
        <f t="shared" si="9"/>
        <v>1.0011732499022315E-2</v>
      </c>
      <c r="I43" s="3">
        <f>Combined!B46</f>
        <v>0.01</v>
      </c>
      <c r="J43" s="3">
        <f t="shared" si="10"/>
        <v>4.9934980494148164E-2</v>
      </c>
      <c r="K43" s="3">
        <f t="shared" si="11"/>
        <v>1.5004122011541693E-2</v>
      </c>
      <c r="L43" s="19">
        <f t="shared" si="12"/>
        <v>1.7351974323305548E-2</v>
      </c>
    </row>
    <row r="44" spans="1:12">
      <c r="A44" s="16">
        <v>2015</v>
      </c>
      <c r="B44" s="16" t="s">
        <v>42</v>
      </c>
      <c r="C44" s="4">
        <f t="shared" si="13"/>
        <v>79313.760000000009</v>
      </c>
      <c r="D44" s="4">
        <v>3912.6</v>
      </c>
      <c r="E44" s="4">
        <v>6365.4</v>
      </c>
      <c r="F44" s="4">
        <v>1217.0999999999999</v>
      </c>
      <c r="G44" s="4">
        <v>253.38</v>
      </c>
      <c r="H44" s="3">
        <f t="shared" si="9"/>
        <v>9.9899326260357302E-3</v>
      </c>
      <c r="I44" s="3">
        <f>Combined!B47</f>
        <v>0.01</v>
      </c>
      <c r="J44" s="3">
        <f t="shared" si="10"/>
        <v>4.9541738915035924E-3</v>
      </c>
      <c r="K44" s="3">
        <f t="shared" si="11"/>
        <v>2.899610136452236E-2</v>
      </c>
      <c r="L44" s="19">
        <f t="shared" si="12"/>
        <v>9.7761970455993944E-3</v>
      </c>
    </row>
    <row r="45" spans="1:12">
      <c r="A45" s="16">
        <v>2016</v>
      </c>
      <c r="B45" s="16" t="s">
        <v>42</v>
      </c>
      <c r="C45" s="4">
        <f t="shared" si="13"/>
        <v>80615.542799999996</v>
      </c>
      <c r="D45" s="4">
        <f>D44+(D44*I45)</f>
        <v>3963.4638</v>
      </c>
      <c r="E45" s="4">
        <v>6448.2</v>
      </c>
      <c r="F45" s="4">
        <v>1258.5</v>
      </c>
      <c r="G45" s="4">
        <v>253.63</v>
      </c>
      <c r="H45" s="3">
        <f t="shared" si="9"/>
        <v>1.3000000000000022E-2</v>
      </c>
      <c r="I45" s="3">
        <f>Combined!B48</f>
        <v>1.2999999999999999E-2</v>
      </c>
      <c r="J45" s="3">
        <f t="shared" si="10"/>
        <v>3.4015282228247554E-2</v>
      </c>
      <c r="K45" s="3">
        <f t="shared" si="11"/>
        <v>9.8666035204041363E-4</v>
      </c>
      <c r="L45" s="19">
        <f t="shared" si="12"/>
        <v>1.6413076369093914E-2</v>
      </c>
    </row>
    <row r="46" spans="1:12">
      <c r="A46">
        <v>2017</v>
      </c>
      <c r="B46" s="16" t="s">
        <v>42</v>
      </c>
      <c r="C46" s="4">
        <f t="shared" si="13"/>
        <v>88100.739238800001</v>
      </c>
      <c r="D46" s="4">
        <f>D45+(D45*I46)</f>
        <v>4046.6965398000002</v>
      </c>
      <c r="E46" s="4">
        <v>6583.5</v>
      </c>
      <c r="F46" s="4">
        <v>1773</v>
      </c>
      <c r="G46" s="4">
        <v>253.63</v>
      </c>
      <c r="H46" s="3">
        <f t="shared" si="9"/>
        <v>2.1000000000000053E-2</v>
      </c>
      <c r="I46" s="3">
        <f>Combined!B49</f>
        <v>2.1000000000000001E-2</v>
      </c>
      <c r="J46" s="3">
        <f t="shared" si="10"/>
        <v>0.40882002383790228</v>
      </c>
      <c r="K46" s="3">
        <f t="shared" si="11"/>
        <v>0</v>
      </c>
      <c r="L46" s="19">
        <f t="shared" si="12"/>
        <v>9.2850536990988358E-2</v>
      </c>
    </row>
    <row r="47" spans="1:12">
      <c r="A47">
        <v>2018</v>
      </c>
      <c r="B47" s="16" t="s">
        <v>42</v>
      </c>
      <c r="C47" s="4">
        <f t="shared" si="13"/>
        <v>89641.680000000008</v>
      </c>
      <c r="D47" s="4">
        <v>4143.8999999999996</v>
      </c>
      <c r="E47" s="4">
        <v>6741.6</v>
      </c>
      <c r="F47" s="4">
        <v>1773</v>
      </c>
      <c r="G47" s="4">
        <v>254.39</v>
      </c>
      <c r="H47" s="3">
        <f t="shared" si="9"/>
        <v>2.402044710889132E-2</v>
      </c>
      <c r="I47" s="3">
        <f>Combined!B50</f>
        <v>2.4E-2</v>
      </c>
      <c r="J47" s="3">
        <f t="shared" si="10"/>
        <v>0</v>
      </c>
      <c r="K47" s="3">
        <f t="shared" si="11"/>
        <v>2.9964909513858413E-3</v>
      </c>
      <c r="L47" s="19">
        <f t="shared" si="12"/>
        <v>1.7490667780019818E-2</v>
      </c>
    </row>
    <row r="48" spans="1:12">
      <c r="A48">
        <v>2019</v>
      </c>
      <c r="B48" s="16" t="s">
        <v>42</v>
      </c>
      <c r="C48" s="4">
        <f t="shared" si="13"/>
        <v>91339.080000000016</v>
      </c>
      <c r="D48" s="4">
        <v>4251.6000000000004</v>
      </c>
      <c r="E48" s="4">
        <v>6916.8</v>
      </c>
      <c r="F48" s="4">
        <v>1773</v>
      </c>
      <c r="G48" s="4">
        <v>254.39</v>
      </c>
      <c r="H48" s="3">
        <f t="shared" si="9"/>
        <v>2.5990009411424198E-2</v>
      </c>
      <c r="I48" s="3">
        <f>Combined!B51</f>
        <v>2.5999999999999999E-2</v>
      </c>
      <c r="J48" s="3">
        <f t="shared" si="10"/>
        <v>0</v>
      </c>
      <c r="K48" s="3">
        <f t="shared" si="11"/>
        <v>0</v>
      </c>
      <c r="L48" s="19">
        <f t="shared" si="12"/>
        <v>1.8935388091789539E-2</v>
      </c>
    </row>
    <row r="49" spans="1:12">
      <c r="A49">
        <v>2020</v>
      </c>
      <c r="B49" s="16" t="s">
        <v>42</v>
      </c>
      <c r="C49" s="4">
        <f t="shared" si="13"/>
        <v>94991.760000000009</v>
      </c>
      <c r="D49" s="4">
        <v>4383.3</v>
      </c>
      <c r="E49" s="4">
        <v>7131.3</v>
      </c>
      <c r="F49" s="4">
        <v>1902</v>
      </c>
      <c r="G49" s="4">
        <v>256.68</v>
      </c>
      <c r="H49" s="3">
        <f t="shared" si="9"/>
        <v>3.0976573525261033E-2</v>
      </c>
      <c r="I49" s="3">
        <f>Combined!B52</f>
        <v>3.1E-2</v>
      </c>
      <c r="J49" s="3">
        <f t="shared" si="10"/>
        <v>7.2758037225042302E-2</v>
      </c>
      <c r="K49" s="3">
        <f t="shared" si="11"/>
        <v>9.0019261763434905E-3</v>
      </c>
      <c r="L49" s="19">
        <f t="shared" si="12"/>
        <v>3.9990330535407105E-2</v>
      </c>
    </row>
    <row r="50" spans="1:12">
      <c r="A50">
        <v>2021</v>
      </c>
      <c r="B50" s="16" t="s">
        <v>42</v>
      </c>
      <c r="C50" s="4">
        <f t="shared" si="13"/>
        <v>98797.56</v>
      </c>
      <c r="D50" s="4">
        <v>4514.7</v>
      </c>
      <c r="E50" s="4">
        <v>7345.2</v>
      </c>
      <c r="F50" s="4">
        <v>2037</v>
      </c>
      <c r="G50" s="4">
        <v>266.18</v>
      </c>
      <c r="H50" s="3">
        <f t="shared" si="9"/>
        <v>2.9977414276914569E-2</v>
      </c>
      <c r="I50" s="3">
        <f>Combined!B53</f>
        <v>0.03</v>
      </c>
      <c r="J50" s="3">
        <f t="shared" si="10"/>
        <v>7.0977917981072558E-2</v>
      </c>
      <c r="K50" s="3">
        <f t="shared" si="11"/>
        <v>3.7011064360292972E-2</v>
      </c>
      <c r="L50" s="19">
        <f t="shared" si="12"/>
        <v>4.0064527702192147E-2</v>
      </c>
    </row>
    <row r="51" spans="1:12">
      <c r="A51">
        <v>2022</v>
      </c>
      <c r="B51" s="16" t="s">
        <v>42</v>
      </c>
      <c r="C51" s="4">
        <f t="shared" si="13"/>
        <v>100311.48000000001</v>
      </c>
      <c r="D51" s="4">
        <v>4636.5</v>
      </c>
      <c r="E51" s="4">
        <v>7543.5</v>
      </c>
      <c r="F51" s="4">
        <v>1989</v>
      </c>
      <c r="G51" s="4">
        <v>280.29000000000002</v>
      </c>
      <c r="H51" s="3">
        <f t="shared" si="9"/>
        <v>2.6978536779852524E-2</v>
      </c>
      <c r="I51" s="3">
        <f>Combined!B54</f>
        <v>2.7E-2</v>
      </c>
      <c r="J51" s="3">
        <f t="shared" si="10"/>
        <v>-2.3564064801178203E-2</v>
      </c>
      <c r="K51" s="3">
        <f t="shared" si="11"/>
        <v>5.3009241866406244E-2</v>
      </c>
      <c r="L51" s="19">
        <f t="shared" si="12"/>
        <v>1.5323455356589908E-2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50"/>
  <sheetViews>
    <sheetView workbookViewId="0">
      <selection activeCell="E33" sqref="E33"/>
    </sheetView>
  </sheetViews>
  <sheetFormatPr defaultRowHeight="14.4"/>
  <cols>
    <col min="1" max="2" width="8.88671875" style="16"/>
    <col min="3" max="4" width="10.109375" style="16" bestFit="1" customWidth="1"/>
    <col min="5" max="5" width="8.88671875" style="16"/>
    <col min="6" max="7" width="10.109375" style="16" bestFit="1" customWidth="1"/>
    <col min="8" max="16384" width="8.88671875" style="16"/>
  </cols>
  <sheetData>
    <row r="1" spans="1:9">
      <c r="A1" s="16" t="s">
        <v>38</v>
      </c>
      <c r="B1" s="16" t="s">
        <v>14</v>
      </c>
      <c r="C1" s="16" t="s">
        <v>63</v>
      </c>
      <c r="D1" s="16" t="s">
        <v>65</v>
      </c>
      <c r="E1" s="16" t="s">
        <v>66</v>
      </c>
      <c r="F1" s="16" t="s">
        <v>64</v>
      </c>
      <c r="G1" s="16" t="s">
        <v>71</v>
      </c>
      <c r="I1" s="16" t="s">
        <v>67</v>
      </c>
    </row>
    <row r="2" spans="1:9">
      <c r="A2" s="44">
        <v>2021</v>
      </c>
      <c r="B2" s="16" t="s">
        <v>13</v>
      </c>
      <c r="C2" s="42">
        <f>('E4 Total Pay'!D50+'E4 Total Pay'!E50)/2</f>
        <v>2579.6999999999998</v>
      </c>
      <c r="D2" s="31">
        <f>'E4 Total Pay'!F50</f>
        <v>1533</v>
      </c>
      <c r="E2" s="31">
        <f>'E4 Total Pay'!G50</f>
        <v>386.5</v>
      </c>
      <c r="F2" s="31">
        <f>SUM(C2:E2)</f>
        <v>4499.2</v>
      </c>
      <c r="G2" s="40">
        <f>C2-(C2*30%)+D2+E2</f>
        <v>3725.29</v>
      </c>
      <c r="I2" s="16">
        <v>2050</v>
      </c>
    </row>
    <row r="3" spans="1:9">
      <c r="B3" s="44" t="s">
        <v>42</v>
      </c>
      <c r="C3" s="41">
        <f>('O3 Total Pay'!D50+'O3 Total Pay'!E50)/2</f>
        <v>5929.95</v>
      </c>
      <c r="D3" s="31">
        <f>'O3 Total Pay'!F50</f>
        <v>2037</v>
      </c>
      <c r="E3" s="31">
        <f>'O3 Total Pay'!G50</f>
        <v>266.18</v>
      </c>
      <c r="F3" s="31">
        <f>SUM(C3:E3)</f>
        <v>8233.1299999999992</v>
      </c>
      <c r="G3" s="40">
        <f>C3-(C3*30%)+D3+E3</f>
        <v>6454.1450000000004</v>
      </c>
      <c r="I3" s="16">
        <v>2050</v>
      </c>
    </row>
    <row r="4" spans="1:9">
      <c r="B4" s="44" t="s">
        <v>69</v>
      </c>
      <c r="C4" s="41">
        <f>50401/12</f>
        <v>4200.083333333333</v>
      </c>
      <c r="F4" s="31">
        <f t="shared" ref="F4:F5" si="0">SUM(C4:E4)</f>
        <v>4200.083333333333</v>
      </c>
      <c r="G4" s="40">
        <f>F4-(F4*30%)</f>
        <v>2940.0583333333334</v>
      </c>
      <c r="I4" s="16">
        <v>2050</v>
      </c>
    </row>
    <row r="5" spans="1:9">
      <c r="B5" s="44" t="s">
        <v>70</v>
      </c>
      <c r="C5" s="41">
        <f>115456/12</f>
        <v>9621.3333333333339</v>
      </c>
      <c r="F5" s="31">
        <f t="shared" si="0"/>
        <v>9621.3333333333339</v>
      </c>
      <c r="G5" s="40">
        <f>F5-(F5*30%)</f>
        <v>6734.9333333333343</v>
      </c>
      <c r="I5" s="16">
        <v>2050</v>
      </c>
    </row>
    <row r="6" spans="1:9">
      <c r="B6" s="44"/>
      <c r="C6" s="45"/>
      <c r="G6" s="40"/>
    </row>
    <row r="7" spans="1:9">
      <c r="B7" s="44"/>
      <c r="C7" s="45"/>
      <c r="D7" s="16" t="s">
        <v>68</v>
      </c>
      <c r="G7" s="40"/>
    </row>
    <row r="8" spans="1:9">
      <c r="B8" s="44"/>
      <c r="C8" s="45"/>
      <c r="G8" s="40"/>
    </row>
    <row r="9" spans="1:9">
      <c r="B9" s="44"/>
      <c r="C9" s="45"/>
      <c r="G9" s="40"/>
    </row>
    <row r="10" spans="1:9">
      <c r="B10" s="44"/>
      <c r="C10" s="45"/>
      <c r="G10" s="40"/>
    </row>
    <row r="11" spans="1:9">
      <c r="B11" s="44"/>
      <c r="C11" s="45"/>
      <c r="G11" s="40"/>
    </row>
    <row r="12" spans="1:9">
      <c r="B12" s="44"/>
      <c r="C12" s="45"/>
      <c r="G12" s="40"/>
    </row>
    <row r="13" spans="1:9">
      <c r="B13" s="44"/>
      <c r="C13" s="45"/>
      <c r="G13" s="40"/>
    </row>
    <row r="14" spans="1:9">
      <c r="B14" s="44"/>
      <c r="C14" s="45"/>
      <c r="G14" s="40"/>
    </row>
    <row r="15" spans="1:9">
      <c r="B15" s="44"/>
      <c r="C15" s="45"/>
      <c r="G15" s="40"/>
    </row>
    <row r="16" spans="1:9">
      <c r="B16" s="44"/>
      <c r="C16" s="45"/>
      <c r="G16" s="40"/>
    </row>
    <row r="17" spans="2:7">
      <c r="B17" s="44"/>
      <c r="C17" s="45"/>
      <c r="G17" s="40"/>
    </row>
    <row r="18" spans="2:7">
      <c r="B18" s="44"/>
      <c r="C18" s="45"/>
      <c r="G18" s="40"/>
    </row>
    <row r="19" spans="2:7">
      <c r="B19" s="44"/>
      <c r="C19" s="45"/>
      <c r="G19" s="40"/>
    </row>
    <row r="20" spans="2:7">
      <c r="C20" s="40"/>
      <c r="E20" s="40"/>
      <c r="G20" s="40"/>
    </row>
    <row r="21" spans="2:7">
      <c r="C21" s="40"/>
      <c r="E21" s="40"/>
      <c r="G21" s="40"/>
    </row>
    <row r="22" spans="2:7">
      <c r="C22" s="40"/>
      <c r="E22" s="40"/>
      <c r="G22" s="40"/>
    </row>
    <row r="23" spans="2:7">
      <c r="C23" s="40"/>
      <c r="E23" s="40"/>
      <c r="G23" s="40"/>
    </row>
    <row r="24" spans="2:7">
      <c r="C24" s="40"/>
      <c r="E24" s="40"/>
      <c r="G24" s="40"/>
    </row>
    <row r="25" spans="2:7">
      <c r="C25" s="40"/>
      <c r="E25" s="40"/>
      <c r="G25" s="40"/>
    </row>
    <row r="26" spans="2:7">
      <c r="C26" s="40"/>
      <c r="G26" s="40"/>
    </row>
    <row r="27" spans="2:7">
      <c r="C27" s="40"/>
      <c r="G27" s="40"/>
    </row>
    <row r="28" spans="2:7">
      <c r="C28" s="40"/>
      <c r="G28" s="40"/>
    </row>
    <row r="29" spans="2:7">
      <c r="C29" s="40"/>
      <c r="G29" s="40"/>
    </row>
    <row r="30" spans="2:7">
      <c r="C30" s="40"/>
      <c r="G30" s="40"/>
    </row>
    <row r="31" spans="2:7">
      <c r="C31" s="40"/>
      <c r="G31" s="40"/>
    </row>
    <row r="32" spans="2:7">
      <c r="C32" s="40"/>
      <c r="G32" s="40"/>
    </row>
    <row r="33" spans="3:9">
      <c r="C33" s="40"/>
      <c r="G33" s="40"/>
      <c r="I33" s="43"/>
    </row>
    <row r="34" spans="3:9">
      <c r="C34" s="40"/>
      <c r="G34" s="40"/>
      <c r="I34" s="43"/>
    </row>
    <row r="35" spans="3:9">
      <c r="C35" s="40"/>
      <c r="G35" s="40"/>
      <c r="I35" s="43"/>
    </row>
    <row r="36" spans="3:9">
      <c r="C36" s="40"/>
      <c r="G36" s="40"/>
      <c r="I36" s="43"/>
    </row>
    <row r="37" spans="3:9">
      <c r="C37" s="40"/>
      <c r="G37" s="40"/>
      <c r="I37" s="43"/>
    </row>
    <row r="38" spans="3:9">
      <c r="C38" s="40"/>
      <c r="G38" s="40"/>
      <c r="I38" s="43"/>
    </row>
    <row r="39" spans="3:9">
      <c r="C39" s="40"/>
      <c r="G39" s="40"/>
      <c r="I39" s="43"/>
    </row>
    <row r="40" spans="3:9">
      <c r="C40" s="40"/>
      <c r="G40" s="40"/>
      <c r="I40" s="43"/>
    </row>
    <row r="41" spans="3:9">
      <c r="C41" s="40"/>
      <c r="G41" s="40"/>
      <c r="I41" s="43"/>
    </row>
    <row r="42" spans="3:9">
      <c r="C42" s="40"/>
      <c r="G42" s="40"/>
      <c r="I42" s="43"/>
    </row>
    <row r="43" spans="3:9">
      <c r="C43" s="40"/>
      <c r="G43" s="40"/>
      <c r="I43" s="43"/>
    </row>
    <row r="44" spans="3:9">
      <c r="C44" s="40"/>
      <c r="G44" s="40"/>
      <c r="I44" s="43"/>
    </row>
    <row r="45" spans="3:9">
      <c r="C45" s="40"/>
      <c r="G45" s="40"/>
      <c r="I45" s="43"/>
    </row>
    <row r="46" spans="3:9">
      <c r="C46" s="40"/>
      <c r="G46" s="40"/>
      <c r="I46" s="43"/>
    </row>
    <row r="47" spans="3:9">
      <c r="C47" s="40"/>
      <c r="G47" s="40"/>
      <c r="I47" s="43"/>
    </row>
    <row r="48" spans="3:9">
      <c r="C48" s="40"/>
      <c r="G48" s="40"/>
      <c r="I48" s="43"/>
    </row>
    <row r="49" spans="3:9">
      <c r="C49" s="40"/>
      <c r="G49" s="40"/>
      <c r="I49" s="43"/>
    </row>
    <row r="50" spans="3:9">
      <c r="C50" s="40"/>
      <c r="G50" s="40"/>
      <c r="I50" s="43"/>
    </row>
  </sheetData>
  <sortState ref="F2:H50">
    <sortCondition ref="F2:F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Combined</vt:lpstr>
      <vt:lpstr>Enlisted by Grade</vt:lpstr>
      <vt:lpstr>Officer by Grade</vt:lpstr>
      <vt:lpstr>E4 Total Pay</vt:lpstr>
      <vt:lpstr>O3 Total Pay</vt:lpstr>
      <vt:lpstr>Sheet7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 Harris</dc:creator>
  <cp:lastModifiedBy>Amber Harris</cp:lastModifiedBy>
  <dcterms:created xsi:type="dcterms:W3CDTF">2022-11-15T19:00:22Z</dcterms:created>
  <dcterms:modified xsi:type="dcterms:W3CDTF">2022-11-23T21:27:21Z</dcterms:modified>
</cp:coreProperties>
</file>