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840" yWindow="200" windowWidth="28320" windowHeight="15720"/>
  </bookViews>
  <sheets>
    <sheet name="Interface" sheetId="1" r:id="rId1"/>
    <sheet name="Model" sheetId="3" r:id="rId2"/>
    <sheet name="Pregnancy" sheetId="4" r:id="rId3"/>
    <sheet name="Pregnancy.Calc" sheetId="5" r:id="rId4"/>
  </sheets>
  <definedNames>
    <definedName name="alpha">Model!$B$1</definedName>
    <definedName name="h.hormon">Interface!#REF!</definedName>
    <definedName name="h.late">Interface!$B$6</definedName>
    <definedName name="h.mtctx">Interface!$B$17</definedName>
    <definedName name="h.prep">Interface!$B$9</definedName>
    <definedName name="h.std">Interface!$B$8</definedName>
    <definedName name="h.tx">Interface!$B$7</definedName>
    <definedName name="N">Interface!$B$24</definedName>
    <definedName name="p.conception">Model!$B$2</definedName>
    <definedName name="p.concieve">Model!$C$15</definedName>
    <definedName name="p.delivery">Model!$C$16</definedName>
    <definedName name="p.mtct">Interface!$B$16</definedName>
    <definedName name="TT">Interface!$B$3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7" i="1"/>
  <c r="D26" i="3"/>
  <c r="B8" i="1"/>
  <c r="B6" i="1"/>
  <c r="B9" i="1"/>
  <c r="B3" i="1"/>
  <c r="B1" i="3"/>
  <c r="B12" i="1"/>
  <c r="C16" i="3"/>
  <c r="C15" i="3"/>
  <c r="B2" i="3"/>
  <c r="L2" i="3"/>
  <c r="M2" i="3"/>
  <c r="P2" i="3"/>
  <c r="B17" i="1"/>
  <c r="B16" i="1"/>
  <c r="I2" i="3"/>
  <c r="R2" i="3"/>
  <c r="S2" i="3"/>
  <c r="L3" i="3"/>
  <c r="M3" i="3"/>
  <c r="P3" i="3"/>
  <c r="I3" i="3"/>
  <c r="R3" i="3"/>
  <c r="S3" i="3"/>
  <c r="L4" i="3"/>
  <c r="M4" i="3"/>
  <c r="P4" i="3"/>
  <c r="I4" i="3"/>
  <c r="R4" i="3"/>
  <c r="S4" i="3"/>
  <c r="L5" i="3"/>
  <c r="M5" i="3"/>
  <c r="P5" i="3"/>
  <c r="I5" i="3"/>
  <c r="R5" i="3"/>
  <c r="S5" i="3"/>
  <c r="L6" i="3"/>
  <c r="M6" i="3"/>
  <c r="P6" i="3"/>
  <c r="I6" i="3"/>
  <c r="R6" i="3"/>
  <c r="S6" i="3"/>
  <c r="L7" i="3"/>
  <c r="M7" i="3"/>
  <c r="P7" i="3"/>
  <c r="I7" i="3"/>
  <c r="R7" i="3"/>
  <c r="S7" i="3"/>
  <c r="L8" i="3"/>
  <c r="M8" i="3"/>
  <c r="P8" i="3"/>
  <c r="I8" i="3"/>
  <c r="R8" i="3"/>
  <c r="S8" i="3"/>
  <c r="L9" i="3"/>
  <c r="M9" i="3"/>
  <c r="P9" i="3"/>
  <c r="I9" i="3"/>
  <c r="R9" i="3"/>
  <c r="S9" i="3"/>
  <c r="L10" i="3"/>
  <c r="M10" i="3"/>
  <c r="P10" i="3"/>
  <c r="I10" i="3"/>
  <c r="R10" i="3"/>
  <c r="S10" i="3"/>
  <c r="L11" i="3"/>
  <c r="M11" i="3"/>
  <c r="P11" i="3"/>
  <c r="I11" i="3"/>
  <c r="R11" i="3"/>
  <c r="S11" i="3"/>
  <c r="L12" i="3"/>
  <c r="M12" i="3"/>
  <c r="P12" i="3"/>
  <c r="I12" i="3"/>
  <c r="R12" i="3"/>
  <c r="S12" i="3"/>
  <c r="L13" i="3"/>
  <c r="M13" i="3"/>
  <c r="P13" i="3"/>
  <c r="I13" i="3"/>
  <c r="R13" i="3"/>
  <c r="S13" i="3"/>
  <c r="L14" i="3"/>
  <c r="M14" i="3"/>
  <c r="P14" i="3"/>
  <c r="I14" i="3"/>
  <c r="R14" i="3"/>
  <c r="S14" i="3"/>
  <c r="L15" i="3"/>
  <c r="M15" i="3"/>
  <c r="P15" i="3"/>
  <c r="I15" i="3"/>
  <c r="R15" i="3"/>
  <c r="S15" i="3"/>
  <c r="L16" i="3"/>
  <c r="M16" i="3"/>
  <c r="P16" i="3"/>
  <c r="I16" i="3"/>
  <c r="R16" i="3"/>
  <c r="S16" i="3"/>
  <c r="L17" i="3"/>
  <c r="M17" i="3"/>
  <c r="P17" i="3"/>
  <c r="I17" i="3"/>
  <c r="R17" i="3"/>
  <c r="S17" i="3"/>
  <c r="L18" i="3"/>
  <c r="M18" i="3"/>
  <c r="P18" i="3"/>
  <c r="I18" i="3"/>
  <c r="R18" i="3"/>
  <c r="S18" i="3"/>
  <c r="L19" i="3"/>
  <c r="M19" i="3"/>
  <c r="P19" i="3"/>
  <c r="I19" i="3"/>
  <c r="R19" i="3"/>
  <c r="S19" i="3"/>
  <c r="L20" i="3"/>
  <c r="M20" i="3"/>
  <c r="P20" i="3"/>
  <c r="I20" i="3"/>
  <c r="R20" i="3"/>
  <c r="S20" i="3"/>
  <c r="L21" i="3"/>
  <c r="M21" i="3"/>
  <c r="P21" i="3"/>
  <c r="I21" i="3"/>
  <c r="R21" i="3"/>
  <c r="S21" i="3"/>
  <c r="L22" i="3"/>
  <c r="M22" i="3"/>
  <c r="P22" i="3"/>
  <c r="I22" i="3"/>
  <c r="R22" i="3"/>
  <c r="S22" i="3"/>
  <c r="L23" i="3"/>
  <c r="M23" i="3"/>
  <c r="P23" i="3"/>
  <c r="I23" i="3"/>
  <c r="R23" i="3"/>
  <c r="S23" i="3"/>
  <c r="L24" i="3"/>
  <c r="M24" i="3"/>
  <c r="P24" i="3"/>
  <c r="I24" i="3"/>
  <c r="R24" i="3"/>
  <c r="S24" i="3"/>
  <c r="L25" i="3"/>
  <c r="M25" i="3"/>
  <c r="P25" i="3"/>
  <c r="I25" i="3"/>
  <c r="R25" i="3"/>
  <c r="S25" i="3"/>
  <c r="L26" i="3"/>
  <c r="M26" i="3"/>
  <c r="P26" i="3"/>
  <c r="I26" i="3"/>
  <c r="R26" i="3"/>
  <c r="S26" i="3"/>
  <c r="L27" i="3"/>
  <c r="M27" i="3"/>
  <c r="P27" i="3"/>
  <c r="I27" i="3"/>
  <c r="R27" i="3"/>
  <c r="S27" i="3"/>
  <c r="L28" i="3"/>
  <c r="M28" i="3"/>
  <c r="P28" i="3"/>
  <c r="I28" i="3"/>
  <c r="R28" i="3"/>
  <c r="S28" i="3"/>
  <c r="L29" i="3"/>
  <c r="M29" i="3"/>
  <c r="P29" i="3"/>
  <c r="I29" i="3"/>
  <c r="R29" i="3"/>
  <c r="S29" i="3"/>
  <c r="L30" i="3"/>
  <c r="M30" i="3"/>
  <c r="P30" i="3"/>
  <c r="I30" i="3"/>
  <c r="R30" i="3"/>
  <c r="S30" i="3"/>
  <c r="L31" i="3"/>
  <c r="M31" i="3"/>
  <c r="P31" i="3"/>
  <c r="I31" i="3"/>
  <c r="R31" i="3"/>
  <c r="S31" i="3"/>
  <c r="L32" i="3"/>
  <c r="M32" i="3"/>
  <c r="P32" i="3"/>
  <c r="I32" i="3"/>
  <c r="R32" i="3"/>
  <c r="S32" i="3"/>
  <c r="L33" i="3"/>
  <c r="M33" i="3"/>
  <c r="P33" i="3"/>
  <c r="I33" i="3"/>
  <c r="R33" i="3"/>
  <c r="S33" i="3"/>
  <c r="L34" i="3"/>
  <c r="M34" i="3"/>
  <c r="P34" i="3"/>
  <c r="I34" i="3"/>
  <c r="R34" i="3"/>
  <c r="S34" i="3"/>
  <c r="L35" i="3"/>
  <c r="M35" i="3"/>
  <c r="P35" i="3"/>
  <c r="I35" i="3"/>
  <c r="R35" i="3"/>
  <c r="S35" i="3"/>
  <c r="L36" i="3"/>
  <c r="M36" i="3"/>
  <c r="P36" i="3"/>
  <c r="I36" i="3"/>
  <c r="R36" i="3"/>
  <c r="S36" i="3"/>
  <c r="L37" i="3"/>
  <c r="M37" i="3"/>
  <c r="P37" i="3"/>
  <c r="I37" i="3"/>
  <c r="R37" i="3"/>
  <c r="S37" i="3"/>
  <c r="L38" i="3"/>
  <c r="M38" i="3"/>
  <c r="P38" i="3"/>
  <c r="I38" i="3"/>
  <c r="R38" i="3"/>
  <c r="S38" i="3"/>
  <c r="L39" i="3"/>
  <c r="M39" i="3"/>
  <c r="P39" i="3"/>
  <c r="I39" i="3"/>
  <c r="R39" i="3"/>
  <c r="S39" i="3"/>
  <c r="L40" i="3"/>
  <c r="M40" i="3"/>
  <c r="P40" i="3"/>
  <c r="I40" i="3"/>
  <c r="R40" i="3"/>
  <c r="S40" i="3"/>
  <c r="L41" i="3"/>
  <c r="M41" i="3"/>
  <c r="P41" i="3"/>
  <c r="I41" i="3"/>
  <c r="R41" i="3"/>
  <c r="S41" i="3"/>
  <c r="L42" i="3"/>
  <c r="M42" i="3"/>
  <c r="P42" i="3"/>
  <c r="I42" i="3"/>
  <c r="R42" i="3"/>
  <c r="S42" i="3"/>
  <c r="L43" i="3"/>
  <c r="M43" i="3"/>
  <c r="P43" i="3"/>
  <c r="I43" i="3"/>
  <c r="R43" i="3"/>
  <c r="S43" i="3"/>
  <c r="L44" i="3"/>
  <c r="M44" i="3"/>
  <c r="P44" i="3"/>
  <c r="I44" i="3"/>
  <c r="R44" i="3"/>
  <c r="S44" i="3"/>
  <c r="L45" i="3"/>
  <c r="M45" i="3"/>
  <c r="P45" i="3"/>
  <c r="I45" i="3"/>
  <c r="R45" i="3"/>
  <c r="S45" i="3"/>
  <c r="L46" i="3"/>
  <c r="M46" i="3"/>
  <c r="P46" i="3"/>
  <c r="I46" i="3"/>
  <c r="R46" i="3"/>
  <c r="S46" i="3"/>
  <c r="L47" i="3"/>
  <c r="M47" i="3"/>
  <c r="P47" i="3"/>
  <c r="I47" i="3"/>
  <c r="R47" i="3"/>
  <c r="S47" i="3"/>
  <c r="L48" i="3"/>
  <c r="M48" i="3"/>
  <c r="P48" i="3"/>
  <c r="I48" i="3"/>
  <c r="R48" i="3"/>
  <c r="S48" i="3"/>
  <c r="L49" i="3"/>
  <c r="M49" i="3"/>
  <c r="P49" i="3"/>
  <c r="I49" i="3"/>
  <c r="R49" i="3"/>
  <c r="S49" i="3"/>
  <c r="L50" i="3"/>
  <c r="M50" i="3"/>
  <c r="P50" i="3"/>
  <c r="I50" i="3"/>
  <c r="R50" i="3"/>
  <c r="S50" i="3"/>
  <c r="L51" i="3"/>
  <c r="M51" i="3"/>
  <c r="P51" i="3"/>
  <c r="I51" i="3"/>
  <c r="R51" i="3"/>
  <c r="S51" i="3"/>
  <c r="L52" i="3"/>
  <c r="M52" i="3"/>
  <c r="P52" i="3"/>
  <c r="I52" i="3"/>
  <c r="R52" i="3"/>
  <c r="S52" i="3"/>
  <c r="L53" i="3"/>
  <c r="M53" i="3"/>
  <c r="P53" i="3"/>
  <c r="I53" i="3"/>
  <c r="R53" i="3"/>
  <c r="S53" i="3"/>
  <c r="L54" i="3"/>
  <c r="M54" i="3"/>
  <c r="P54" i="3"/>
  <c r="I54" i="3"/>
  <c r="R54" i="3"/>
  <c r="S54" i="3"/>
  <c r="L55" i="3"/>
  <c r="M55" i="3"/>
  <c r="P55" i="3"/>
  <c r="I55" i="3"/>
  <c r="R55" i="3"/>
  <c r="S55" i="3"/>
  <c r="L56" i="3"/>
  <c r="M56" i="3"/>
  <c r="P56" i="3"/>
  <c r="I56" i="3"/>
  <c r="R56" i="3"/>
  <c r="S56" i="3"/>
  <c r="L57" i="3"/>
  <c r="M57" i="3"/>
  <c r="P57" i="3"/>
  <c r="I57" i="3"/>
  <c r="R57" i="3"/>
  <c r="S57" i="3"/>
  <c r="L58" i="3"/>
  <c r="M58" i="3"/>
  <c r="P58" i="3"/>
  <c r="I58" i="3"/>
  <c r="R58" i="3"/>
  <c r="S58" i="3"/>
  <c r="L59" i="3"/>
  <c r="M59" i="3"/>
  <c r="P59" i="3"/>
  <c r="I59" i="3"/>
  <c r="R59" i="3"/>
  <c r="S59" i="3"/>
  <c r="L60" i="3"/>
  <c r="M60" i="3"/>
  <c r="P60" i="3"/>
  <c r="I60" i="3"/>
  <c r="R60" i="3"/>
  <c r="S60" i="3"/>
  <c r="L61" i="3"/>
  <c r="M61" i="3"/>
  <c r="P61" i="3"/>
  <c r="I61" i="3"/>
  <c r="R61" i="3"/>
  <c r="S61" i="3"/>
  <c r="L62" i="3"/>
  <c r="M62" i="3"/>
  <c r="P62" i="3"/>
  <c r="I62" i="3"/>
  <c r="R62" i="3"/>
  <c r="S62" i="3"/>
  <c r="L63" i="3"/>
  <c r="M63" i="3"/>
  <c r="P63" i="3"/>
  <c r="I63" i="3"/>
  <c r="R63" i="3"/>
  <c r="S63" i="3"/>
  <c r="L64" i="3"/>
  <c r="M64" i="3"/>
  <c r="P64" i="3"/>
  <c r="I64" i="3"/>
  <c r="R64" i="3"/>
  <c r="S64" i="3"/>
  <c r="L65" i="3"/>
  <c r="M65" i="3"/>
  <c r="P65" i="3"/>
  <c r="I65" i="3"/>
  <c r="R65" i="3"/>
  <c r="S65" i="3"/>
  <c r="L66" i="3"/>
  <c r="M66" i="3"/>
  <c r="P66" i="3"/>
  <c r="I66" i="3"/>
  <c r="R66" i="3"/>
  <c r="S66" i="3"/>
  <c r="L67" i="3"/>
  <c r="M67" i="3"/>
  <c r="P67" i="3"/>
  <c r="I67" i="3"/>
  <c r="R67" i="3"/>
  <c r="S67" i="3"/>
  <c r="L68" i="3"/>
  <c r="M68" i="3"/>
  <c r="P68" i="3"/>
  <c r="I68" i="3"/>
  <c r="R68" i="3"/>
  <c r="S68" i="3"/>
  <c r="L69" i="3"/>
  <c r="M69" i="3"/>
  <c r="P69" i="3"/>
  <c r="I69" i="3"/>
  <c r="R69" i="3"/>
  <c r="S69" i="3"/>
  <c r="L70" i="3"/>
  <c r="M70" i="3"/>
  <c r="P70" i="3"/>
  <c r="I70" i="3"/>
  <c r="R70" i="3"/>
  <c r="S70" i="3"/>
  <c r="L71" i="3"/>
  <c r="M71" i="3"/>
  <c r="P71" i="3"/>
  <c r="I71" i="3"/>
  <c r="R71" i="3"/>
  <c r="S71" i="3"/>
  <c r="L72" i="3"/>
  <c r="M72" i="3"/>
  <c r="P72" i="3"/>
  <c r="I72" i="3"/>
  <c r="R72" i="3"/>
  <c r="S72" i="3"/>
  <c r="L73" i="3"/>
  <c r="M73" i="3"/>
  <c r="P73" i="3"/>
  <c r="I73" i="3"/>
  <c r="R73" i="3"/>
  <c r="S73" i="3"/>
  <c r="L74" i="3"/>
  <c r="M74" i="3"/>
  <c r="P74" i="3"/>
  <c r="I74" i="3"/>
  <c r="R74" i="3"/>
  <c r="S74" i="3"/>
  <c r="L75" i="3"/>
  <c r="M75" i="3"/>
  <c r="P75" i="3"/>
  <c r="I75" i="3"/>
  <c r="R75" i="3"/>
  <c r="S75" i="3"/>
  <c r="L76" i="3"/>
  <c r="M76" i="3"/>
  <c r="P76" i="3"/>
  <c r="I76" i="3"/>
  <c r="R76" i="3"/>
  <c r="S76" i="3"/>
  <c r="L77" i="3"/>
  <c r="M77" i="3"/>
  <c r="P77" i="3"/>
  <c r="I77" i="3"/>
  <c r="R77" i="3"/>
  <c r="S77" i="3"/>
  <c r="L78" i="3"/>
  <c r="M78" i="3"/>
  <c r="P78" i="3"/>
  <c r="I78" i="3"/>
  <c r="R78" i="3"/>
  <c r="S78" i="3"/>
  <c r="L79" i="3"/>
  <c r="M79" i="3"/>
  <c r="P79" i="3"/>
  <c r="I79" i="3"/>
  <c r="R79" i="3"/>
  <c r="S79" i="3"/>
  <c r="L80" i="3"/>
  <c r="M80" i="3"/>
  <c r="P80" i="3"/>
  <c r="I80" i="3"/>
  <c r="R80" i="3"/>
  <c r="S80" i="3"/>
  <c r="L81" i="3"/>
  <c r="M81" i="3"/>
  <c r="P81" i="3"/>
  <c r="I81" i="3"/>
  <c r="R81" i="3"/>
  <c r="S81" i="3"/>
  <c r="L82" i="3"/>
  <c r="M82" i="3"/>
  <c r="P82" i="3"/>
  <c r="I82" i="3"/>
  <c r="R82" i="3"/>
  <c r="S82" i="3"/>
  <c r="L83" i="3"/>
  <c r="M83" i="3"/>
  <c r="P83" i="3"/>
  <c r="I83" i="3"/>
  <c r="R83" i="3"/>
  <c r="S83" i="3"/>
  <c r="L84" i="3"/>
  <c r="M84" i="3"/>
  <c r="P84" i="3"/>
  <c r="I84" i="3"/>
  <c r="R84" i="3"/>
  <c r="S84" i="3"/>
  <c r="L85" i="3"/>
  <c r="M85" i="3"/>
  <c r="P85" i="3"/>
  <c r="I85" i="3"/>
  <c r="R85" i="3"/>
  <c r="S85" i="3"/>
  <c r="L86" i="3"/>
  <c r="M86" i="3"/>
  <c r="P86" i="3"/>
  <c r="I86" i="3"/>
  <c r="R86" i="3"/>
  <c r="S86" i="3"/>
  <c r="L87" i="3"/>
  <c r="M87" i="3"/>
  <c r="P87" i="3"/>
  <c r="I87" i="3"/>
  <c r="R87" i="3"/>
  <c r="S87" i="3"/>
  <c r="L88" i="3"/>
  <c r="M88" i="3"/>
  <c r="P88" i="3"/>
  <c r="I88" i="3"/>
  <c r="R88" i="3"/>
  <c r="S88" i="3"/>
  <c r="L89" i="3"/>
  <c r="M89" i="3"/>
  <c r="P89" i="3"/>
  <c r="I89" i="3"/>
  <c r="R89" i="3"/>
  <c r="S89" i="3"/>
  <c r="L90" i="3"/>
  <c r="M90" i="3"/>
  <c r="P90" i="3"/>
  <c r="I90" i="3"/>
  <c r="R90" i="3"/>
  <c r="S90" i="3"/>
  <c r="L91" i="3"/>
  <c r="M91" i="3"/>
  <c r="P91" i="3"/>
  <c r="I91" i="3"/>
  <c r="R91" i="3"/>
  <c r="S91" i="3"/>
  <c r="L92" i="3"/>
  <c r="M92" i="3"/>
  <c r="P92" i="3"/>
  <c r="I92" i="3"/>
  <c r="R92" i="3"/>
  <c r="S92" i="3"/>
  <c r="L93" i="3"/>
  <c r="M93" i="3"/>
  <c r="P93" i="3"/>
  <c r="I93" i="3"/>
  <c r="R93" i="3"/>
  <c r="S93" i="3"/>
  <c r="L94" i="3"/>
  <c r="M94" i="3"/>
  <c r="P94" i="3"/>
  <c r="I94" i="3"/>
  <c r="R94" i="3"/>
  <c r="S94" i="3"/>
  <c r="L95" i="3"/>
  <c r="M95" i="3"/>
  <c r="P95" i="3"/>
  <c r="I95" i="3"/>
  <c r="R95" i="3"/>
  <c r="S95" i="3"/>
  <c r="L96" i="3"/>
  <c r="M96" i="3"/>
  <c r="P96" i="3"/>
  <c r="I96" i="3"/>
  <c r="R96" i="3"/>
  <c r="S96" i="3"/>
  <c r="L97" i="3"/>
  <c r="M97" i="3"/>
  <c r="P97" i="3"/>
  <c r="I97" i="3"/>
  <c r="R97" i="3"/>
  <c r="S97" i="3"/>
  <c r="L98" i="3"/>
  <c r="M98" i="3"/>
  <c r="P98" i="3"/>
  <c r="I98" i="3"/>
  <c r="R98" i="3"/>
  <c r="S98" i="3"/>
  <c r="L99" i="3"/>
  <c r="M99" i="3"/>
  <c r="P99" i="3"/>
  <c r="I99" i="3"/>
  <c r="R99" i="3"/>
  <c r="S99" i="3"/>
  <c r="L100" i="3"/>
  <c r="M100" i="3"/>
  <c r="P100" i="3"/>
  <c r="I100" i="3"/>
  <c r="R100" i="3"/>
  <c r="S100" i="3"/>
  <c r="L101" i="3"/>
  <c r="M101" i="3"/>
  <c r="P101" i="3"/>
  <c r="I101" i="3"/>
  <c r="R101" i="3"/>
  <c r="S101" i="3"/>
  <c r="E14" i="4"/>
  <c r="E13" i="4"/>
  <c r="E12" i="4"/>
  <c r="E11" i="4"/>
  <c r="E10" i="4"/>
  <c r="E9" i="4"/>
  <c r="E8" i="4"/>
  <c r="E7" i="4"/>
  <c r="E6" i="4"/>
  <c r="E5" i="4"/>
  <c r="D23" i="3"/>
  <c r="D27" i="3"/>
  <c r="D28" i="3"/>
  <c r="B24" i="1"/>
  <c r="D13" i="4"/>
  <c r="D22" i="3"/>
  <c r="E3" i="4"/>
  <c r="F3" i="4"/>
  <c r="E4" i="4"/>
  <c r="F4" i="4"/>
  <c r="F5" i="4"/>
  <c r="F6" i="4"/>
  <c r="F7" i="4"/>
  <c r="F8" i="4"/>
  <c r="F9" i="4"/>
  <c r="F10" i="4"/>
  <c r="F11" i="4"/>
  <c r="F12" i="4"/>
  <c r="F13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2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D3" i="4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C30" i="5"/>
  <c r="C31" i="5"/>
  <c r="C32" i="5"/>
  <c r="C33" i="5"/>
  <c r="C34" i="5"/>
  <c r="W29" i="5"/>
  <c r="W30" i="5"/>
  <c r="W31" i="5"/>
  <c r="W32" i="5"/>
  <c r="W33" i="5"/>
  <c r="S33" i="5"/>
  <c r="T33" i="5"/>
  <c r="U33" i="5"/>
  <c r="V33" i="5"/>
  <c r="X33" i="5"/>
  <c r="K29" i="5"/>
  <c r="K30" i="5"/>
  <c r="K31" i="5"/>
  <c r="K32" i="5"/>
  <c r="K33" i="5"/>
  <c r="H33" i="5"/>
  <c r="I33" i="5"/>
  <c r="J33" i="5"/>
  <c r="L33" i="5"/>
  <c r="S32" i="5"/>
  <c r="T32" i="5"/>
  <c r="U32" i="5"/>
  <c r="V32" i="5"/>
  <c r="X32" i="5"/>
  <c r="H32" i="5"/>
  <c r="I32" i="5"/>
  <c r="J32" i="5"/>
  <c r="L32" i="5"/>
  <c r="S31" i="5"/>
  <c r="T31" i="5"/>
  <c r="U31" i="5"/>
  <c r="V31" i="5"/>
  <c r="X31" i="5"/>
  <c r="H31" i="5"/>
  <c r="I31" i="5"/>
  <c r="J31" i="5"/>
  <c r="L31" i="5"/>
  <c r="S30" i="5"/>
  <c r="T30" i="5"/>
  <c r="U30" i="5"/>
  <c r="V30" i="5"/>
  <c r="X30" i="5"/>
  <c r="H30" i="5"/>
  <c r="I30" i="5"/>
  <c r="J30" i="5"/>
  <c r="L30" i="5"/>
  <c r="S29" i="5"/>
  <c r="T29" i="5"/>
  <c r="U29" i="5"/>
  <c r="V29" i="5"/>
  <c r="X29" i="5"/>
  <c r="H29" i="5"/>
  <c r="I29" i="5"/>
  <c r="J29" i="5"/>
  <c r="L29" i="5"/>
  <c r="S28" i="5"/>
  <c r="T28" i="5"/>
  <c r="U28" i="5"/>
  <c r="V28" i="5"/>
  <c r="X28" i="5"/>
  <c r="H28" i="5"/>
  <c r="I28" i="5"/>
  <c r="J28" i="5"/>
  <c r="L28" i="5"/>
  <c r="S27" i="5"/>
  <c r="T27" i="5"/>
  <c r="U27" i="5"/>
  <c r="V27" i="5"/>
  <c r="X27" i="5"/>
  <c r="H27" i="5"/>
  <c r="I27" i="5"/>
  <c r="J27" i="5"/>
  <c r="L27" i="5"/>
  <c r="S26" i="5"/>
  <c r="T26" i="5"/>
  <c r="U26" i="5"/>
  <c r="V26" i="5"/>
  <c r="X26" i="5"/>
  <c r="H26" i="5"/>
  <c r="I26" i="5"/>
  <c r="J26" i="5"/>
  <c r="L26" i="5"/>
  <c r="S25" i="5"/>
  <c r="T25" i="5"/>
  <c r="U25" i="5"/>
  <c r="V25" i="5"/>
  <c r="X25" i="5"/>
  <c r="H25" i="5"/>
  <c r="I25" i="5"/>
  <c r="J25" i="5"/>
  <c r="L25" i="5"/>
  <c r="S24" i="5"/>
  <c r="T24" i="5"/>
  <c r="U24" i="5"/>
  <c r="V24" i="5"/>
  <c r="X24" i="5"/>
  <c r="H24" i="5"/>
  <c r="I24" i="5"/>
  <c r="J24" i="5"/>
  <c r="L24" i="5"/>
  <c r="S23" i="5"/>
  <c r="T23" i="5"/>
  <c r="U23" i="5"/>
  <c r="V23" i="5"/>
  <c r="X23" i="5"/>
  <c r="H23" i="5"/>
  <c r="I23" i="5"/>
  <c r="J23" i="5"/>
  <c r="L23" i="5"/>
  <c r="S22" i="5"/>
  <c r="T22" i="5"/>
  <c r="U22" i="5"/>
  <c r="V22" i="5"/>
  <c r="X22" i="5"/>
  <c r="H22" i="5"/>
  <c r="I22" i="5"/>
  <c r="J22" i="5"/>
  <c r="L22" i="5"/>
  <c r="S21" i="5"/>
  <c r="T21" i="5"/>
  <c r="U21" i="5"/>
  <c r="V21" i="5"/>
  <c r="X21" i="5"/>
  <c r="H21" i="5"/>
  <c r="I21" i="5"/>
  <c r="J21" i="5"/>
  <c r="L21" i="5"/>
  <c r="S20" i="5"/>
  <c r="T20" i="5"/>
  <c r="U20" i="5"/>
  <c r="V20" i="5"/>
  <c r="X20" i="5"/>
  <c r="H20" i="5"/>
  <c r="I20" i="5"/>
  <c r="J20" i="5"/>
  <c r="L20" i="5"/>
  <c r="S19" i="5"/>
  <c r="T19" i="5"/>
  <c r="U19" i="5"/>
  <c r="V19" i="5"/>
  <c r="X19" i="5"/>
  <c r="H19" i="5"/>
  <c r="I19" i="5"/>
  <c r="J19" i="5"/>
  <c r="L19" i="5"/>
  <c r="S18" i="5"/>
  <c r="T18" i="5"/>
  <c r="U18" i="5"/>
  <c r="V18" i="5"/>
  <c r="X18" i="5"/>
  <c r="H18" i="5"/>
  <c r="I18" i="5"/>
  <c r="J18" i="5"/>
  <c r="L18" i="5"/>
  <c r="S17" i="5"/>
  <c r="T17" i="5"/>
  <c r="U17" i="5"/>
  <c r="V17" i="5"/>
  <c r="X17" i="5"/>
  <c r="H17" i="5"/>
  <c r="I17" i="5"/>
  <c r="J17" i="5"/>
  <c r="L17" i="5"/>
  <c r="S16" i="5"/>
  <c r="T16" i="5"/>
  <c r="U16" i="5"/>
  <c r="V16" i="5"/>
  <c r="X16" i="5"/>
  <c r="H16" i="5"/>
  <c r="I16" i="5"/>
  <c r="J16" i="5"/>
  <c r="L16" i="5"/>
  <c r="S15" i="5"/>
  <c r="T15" i="5"/>
  <c r="U15" i="5"/>
  <c r="V15" i="5"/>
  <c r="X15" i="5"/>
  <c r="H15" i="5"/>
  <c r="I15" i="5"/>
  <c r="J15" i="5"/>
  <c r="L15" i="5"/>
  <c r="S14" i="5"/>
  <c r="T14" i="5"/>
  <c r="U14" i="5"/>
  <c r="V14" i="5"/>
  <c r="X14" i="5"/>
  <c r="H14" i="5"/>
  <c r="I14" i="5"/>
  <c r="J14" i="5"/>
  <c r="L14" i="5"/>
  <c r="S13" i="5"/>
  <c r="T13" i="5"/>
  <c r="U13" i="5"/>
  <c r="V13" i="5"/>
  <c r="X13" i="5"/>
  <c r="H13" i="5"/>
  <c r="I13" i="5"/>
  <c r="J13" i="5"/>
  <c r="L13" i="5"/>
  <c r="S12" i="5"/>
  <c r="T12" i="5"/>
  <c r="U12" i="5"/>
  <c r="V12" i="5"/>
  <c r="X12" i="5"/>
  <c r="H12" i="5"/>
  <c r="I12" i="5"/>
  <c r="J12" i="5"/>
  <c r="L12" i="5"/>
  <c r="S11" i="5"/>
  <c r="T11" i="5"/>
  <c r="U11" i="5"/>
  <c r="V11" i="5"/>
  <c r="X11" i="5"/>
  <c r="H11" i="5"/>
  <c r="I11" i="5"/>
  <c r="J11" i="5"/>
  <c r="L11" i="5"/>
  <c r="S10" i="5"/>
  <c r="T10" i="5"/>
  <c r="U10" i="5"/>
  <c r="V10" i="5"/>
  <c r="X10" i="5"/>
  <c r="H10" i="5"/>
  <c r="I10" i="5"/>
  <c r="J10" i="5"/>
  <c r="L10" i="5"/>
  <c r="S9" i="5"/>
  <c r="T9" i="5"/>
  <c r="U9" i="5"/>
  <c r="V9" i="5"/>
  <c r="X9" i="5"/>
  <c r="H9" i="5"/>
  <c r="I9" i="5"/>
  <c r="J9" i="5"/>
  <c r="L9" i="5"/>
  <c r="S8" i="5"/>
  <c r="T8" i="5"/>
  <c r="U8" i="5"/>
  <c r="V8" i="5"/>
  <c r="X8" i="5"/>
  <c r="H8" i="5"/>
  <c r="I8" i="5"/>
  <c r="J8" i="5"/>
  <c r="L8" i="5"/>
  <c r="S7" i="5"/>
  <c r="T7" i="5"/>
  <c r="U7" i="5"/>
  <c r="V7" i="5"/>
  <c r="X7" i="5"/>
  <c r="H7" i="5"/>
  <c r="I7" i="5"/>
  <c r="J7" i="5"/>
  <c r="L7" i="5"/>
  <c r="S6" i="5"/>
  <c r="T6" i="5"/>
  <c r="U6" i="5"/>
  <c r="V6" i="5"/>
  <c r="X6" i="5"/>
  <c r="H6" i="5"/>
  <c r="I6" i="5"/>
  <c r="J6" i="5"/>
  <c r="L6" i="5"/>
  <c r="S5" i="5"/>
  <c r="T5" i="5"/>
  <c r="U5" i="5"/>
  <c r="V5" i="5"/>
  <c r="X5" i="5"/>
  <c r="H5" i="5"/>
  <c r="I5" i="5"/>
  <c r="J5" i="5"/>
  <c r="L5" i="5"/>
  <c r="S4" i="5"/>
  <c r="T4" i="5"/>
  <c r="U4" i="5"/>
  <c r="V4" i="5"/>
  <c r="X4" i="5"/>
  <c r="H4" i="5"/>
  <c r="I4" i="5"/>
  <c r="J4" i="5"/>
  <c r="L4" i="5"/>
  <c r="S3" i="5"/>
  <c r="T3" i="5"/>
  <c r="U3" i="5"/>
  <c r="V3" i="5"/>
  <c r="X3" i="5"/>
  <c r="H3" i="5"/>
  <c r="I3" i="5"/>
  <c r="J3" i="5"/>
  <c r="L3" i="5"/>
  <c r="S2" i="5"/>
  <c r="T2" i="5"/>
  <c r="U2" i="5"/>
  <c r="V2" i="5"/>
  <c r="X2" i="5"/>
  <c r="H2" i="5"/>
  <c r="I2" i="5"/>
  <c r="J2" i="5"/>
  <c r="L2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B110" i="3"/>
  <c r="J101" i="3"/>
  <c r="K101" i="3"/>
  <c r="O101" i="3"/>
  <c r="H101" i="3"/>
  <c r="G101" i="3"/>
  <c r="Q101" i="3"/>
  <c r="N101" i="3"/>
  <c r="J100" i="3"/>
  <c r="K100" i="3"/>
  <c r="O100" i="3"/>
  <c r="H100" i="3"/>
  <c r="G100" i="3"/>
  <c r="Q100" i="3"/>
  <c r="N100" i="3"/>
  <c r="J99" i="3"/>
  <c r="K99" i="3"/>
  <c r="O99" i="3"/>
  <c r="H99" i="3"/>
  <c r="G99" i="3"/>
  <c r="Q99" i="3"/>
  <c r="N99" i="3"/>
  <c r="J98" i="3"/>
  <c r="K98" i="3"/>
  <c r="O98" i="3"/>
  <c r="H98" i="3"/>
  <c r="G98" i="3"/>
  <c r="Q98" i="3"/>
  <c r="N98" i="3"/>
  <c r="J97" i="3"/>
  <c r="K97" i="3"/>
  <c r="O97" i="3"/>
  <c r="H97" i="3"/>
  <c r="G97" i="3"/>
  <c r="Q97" i="3"/>
  <c r="N97" i="3"/>
  <c r="J96" i="3"/>
  <c r="K96" i="3"/>
  <c r="O96" i="3"/>
  <c r="H96" i="3"/>
  <c r="G96" i="3"/>
  <c r="Q96" i="3"/>
  <c r="N96" i="3"/>
  <c r="J95" i="3"/>
  <c r="K95" i="3"/>
  <c r="O95" i="3"/>
  <c r="H95" i="3"/>
  <c r="G95" i="3"/>
  <c r="Q95" i="3"/>
  <c r="N95" i="3"/>
  <c r="J94" i="3"/>
  <c r="K94" i="3"/>
  <c r="O94" i="3"/>
  <c r="H94" i="3"/>
  <c r="G94" i="3"/>
  <c r="Q94" i="3"/>
  <c r="N94" i="3"/>
  <c r="J93" i="3"/>
  <c r="K93" i="3"/>
  <c r="O93" i="3"/>
  <c r="H93" i="3"/>
  <c r="G93" i="3"/>
  <c r="Q93" i="3"/>
  <c r="N93" i="3"/>
  <c r="J92" i="3"/>
  <c r="K92" i="3"/>
  <c r="O92" i="3"/>
  <c r="H92" i="3"/>
  <c r="G92" i="3"/>
  <c r="Q92" i="3"/>
  <c r="N92" i="3"/>
  <c r="J91" i="3"/>
  <c r="K91" i="3"/>
  <c r="O91" i="3"/>
  <c r="H91" i="3"/>
  <c r="G91" i="3"/>
  <c r="Q91" i="3"/>
  <c r="N91" i="3"/>
  <c r="J90" i="3"/>
  <c r="K90" i="3"/>
  <c r="O90" i="3"/>
  <c r="H90" i="3"/>
  <c r="G90" i="3"/>
  <c r="Q90" i="3"/>
  <c r="N90" i="3"/>
  <c r="J89" i="3"/>
  <c r="K89" i="3"/>
  <c r="O89" i="3"/>
  <c r="H89" i="3"/>
  <c r="G89" i="3"/>
  <c r="Q89" i="3"/>
  <c r="N89" i="3"/>
  <c r="J88" i="3"/>
  <c r="K88" i="3"/>
  <c r="O88" i="3"/>
  <c r="H88" i="3"/>
  <c r="G88" i="3"/>
  <c r="Q88" i="3"/>
  <c r="N88" i="3"/>
  <c r="J87" i="3"/>
  <c r="K87" i="3"/>
  <c r="O87" i="3"/>
  <c r="H87" i="3"/>
  <c r="G87" i="3"/>
  <c r="Q87" i="3"/>
  <c r="N87" i="3"/>
  <c r="J86" i="3"/>
  <c r="K86" i="3"/>
  <c r="O86" i="3"/>
  <c r="H86" i="3"/>
  <c r="G86" i="3"/>
  <c r="Q86" i="3"/>
  <c r="N86" i="3"/>
  <c r="J85" i="3"/>
  <c r="K85" i="3"/>
  <c r="O85" i="3"/>
  <c r="H85" i="3"/>
  <c r="G85" i="3"/>
  <c r="Q85" i="3"/>
  <c r="N85" i="3"/>
  <c r="J84" i="3"/>
  <c r="K84" i="3"/>
  <c r="O84" i="3"/>
  <c r="H84" i="3"/>
  <c r="G84" i="3"/>
  <c r="Q84" i="3"/>
  <c r="N84" i="3"/>
  <c r="J83" i="3"/>
  <c r="K83" i="3"/>
  <c r="O83" i="3"/>
  <c r="H83" i="3"/>
  <c r="G83" i="3"/>
  <c r="Q83" i="3"/>
  <c r="N83" i="3"/>
  <c r="J82" i="3"/>
  <c r="K82" i="3"/>
  <c r="O82" i="3"/>
  <c r="H82" i="3"/>
  <c r="G82" i="3"/>
  <c r="Q82" i="3"/>
  <c r="N82" i="3"/>
  <c r="J81" i="3"/>
  <c r="K81" i="3"/>
  <c r="O81" i="3"/>
  <c r="H81" i="3"/>
  <c r="G81" i="3"/>
  <c r="Q81" i="3"/>
  <c r="N81" i="3"/>
  <c r="J80" i="3"/>
  <c r="K80" i="3"/>
  <c r="O80" i="3"/>
  <c r="H80" i="3"/>
  <c r="G80" i="3"/>
  <c r="Q80" i="3"/>
  <c r="N80" i="3"/>
  <c r="J79" i="3"/>
  <c r="K79" i="3"/>
  <c r="O79" i="3"/>
  <c r="H79" i="3"/>
  <c r="G79" i="3"/>
  <c r="Q79" i="3"/>
  <c r="N79" i="3"/>
  <c r="J78" i="3"/>
  <c r="K78" i="3"/>
  <c r="O78" i="3"/>
  <c r="H78" i="3"/>
  <c r="G78" i="3"/>
  <c r="Q78" i="3"/>
  <c r="N78" i="3"/>
  <c r="J77" i="3"/>
  <c r="K77" i="3"/>
  <c r="O77" i="3"/>
  <c r="H77" i="3"/>
  <c r="G77" i="3"/>
  <c r="Q77" i="3"/>
  <c r="N77" i="3"/>
  <c r="J76" i="3"/>
  <c r="K76" i="3"/>
  <c r="O76" i="3"/>
  <c r="H76" i="3"/>
  <c r="G76" i="3"/>
  <c r="Q76" i="3"/>
  <c r="N76" i="3"/>
  <c r="J75" i="3"/>
  <c r="K75" i="3"/>
  <c r="O75" i="3"/>
  <c r="H75" i="3"/>
  <c r="G75" i="3"/>
  <c r="Q75" i="3"/>
  <c r="N75" i="3"/>
  <c r="J74" i="3"/>
  <c r="K74" i="3"/>
  <c r="O74" i="3"/>
  <c r="H74" i="3"/>
  <c r="G74" i="3"/>
  <c r="Q74" i="3"/>
  <c r="N74" i="3"/>
  <c r="J73" i="3"/>
  <c r="K73" i="3"/>
  <c r="O73" i="3"/>
  <c r="H73" i="3"/>
  <c r="G73" i="3"/>
  <c r="Q73" i="3"/>
  <c r="N73" i="3"/>
  <c r="J72" i="3"/>
  <c r="K72" i="3"/>
  <c r="O72" i="3"/>
  <c r="H72" i="3"/>
  <c r="G72" i="3"/>
  <c r="Q72" i="3"/>
  <c r="N72" i="3"/>
  <c r="J71" i="3"/>
  <c r="K71" i="3"/>
  <c r="O71" i="3"/>
  <c r="H71" i="3"/>
  <c r="G71" i="3"/>
  <c r="Q71" i="3"/>
  <c r="N71" i="3"/>
  <c r="J70" i="3"/>
  <c r="K70" i="3"/>
  <c r="O70" i="3"/>
  <c r="H70" i="3"/>
  <c r="G70" i="3"/>
  <c r="Q70" i="3"/>
  <c r="N70" i="3"/>
  <c r="J69" i="3"/>
  <c r="K69" i="3"/>
  <c r="O69" i="3"/>
  <c r="H69" i="3"/>
  <c r="G69" i="3"/>
  <c r="Q69" i="3"/>
  <c r="N69" i="3"/>
  <c r="J68" i="3"/>
  <c r="K68" i="3"/>
  <c r="O68" i="3"/>
  <c r="H68" i="3"/>
  <c r="G68" i="3"/>
  <c r="Q68" i="3"/>
  <c r="N68" i="3"/>
  <c r="J67" i="3"/>
  <c r="K67" i="3"/>
  <c r="O67" i="3"/>
  <c r="H67" i="3"/>
  <c r="G67" i="3"/>
  <c r="Q67" i="3"/>
  <c r="N67" i="3"/>
  <c r="J66" i="3"/>
  <c r="K66" i="3"/>
  <c r="O66" i="3"/>
  <c r="H66" i="3"/>
  <c r="G66" i="3"/>
  <c r="Q66" i="3"/>
  <c r="N66" i="3"/>
  <c r="J65" i="3"/>
  <c r="K65" i="3"/>
  <c r="O65" i="3"/>
  <c r="H65" i="3"/>
  <c r="G65" i="3"/>
  <c r="Q65" i="3"/>
  <c r="N65" i="3"/>
  <c r="J64" i="3"/>
  <c r="K64" i="3"/>
  <c r="O64" i="3"/>
  <c r="H64" i="3"/>
  <c r="G64" i="3"/>
  <c r="Q64" i="3"/>
  <c r="N64" i="3"/>
  <c r="J63" i="3"/>
  <c r="K63" i="3"/>
  <c r="O63" i="3"/>
  <c r="H63" i="3"/>
  <c r="G63" i="3"/>
  <c r="Q63" i="3"/>
  <c r="N63" i="3"/>
  <c r="J62" i="3"/>
  <c r="K62" i="3"/>
  <c r="O62" i="3"/>
  <c r="H62" i="3"/>
  <c r="G62" i="3"/>
  <c r="Q62" i="3"/>
  <c r="N62" i="3"/>
  <c r="J61" i="3"/>
  <c r="K61" i="3"/>
  <c r="O61" i="3"/>
  <c r="H61" i="3"/>
  <c r="G61" i="3"/>
  <c r="Q61" i="3"/>
  <c r="N61" i="3"/>
  <c r="J60" i="3"/>
  <c r="K60" i="3"/>
  <c r="O60" i="3"/>
  <c r="H60" i="3"/>
  <c r="G60" i="3"/>
  <c r="Q60" i="3"/>
  <c r="N60" i="3"/>
  <c r="J59" i="3"/>
  <c r="K59" i="3"/>
  <c r="O59" i="3"/>
  <c r="H59" i="3"/>
  <c r="G59" i="3"/>
  <c r="Q59" i="3"/>
  <c r="N59" i="3"/>
  <c r="J58" i="3"/>
  <c r="K58" i="3"/>
  <c r="O58" i="3"/>
  <c r="H58" i="3"/>
  <c r="G58" i="3"/>
  <c r="Q58" i="3"/>
  <c r="N58" i="3"/>
  <c r="J57" i="3"/>
  <c r="K57" i="3"/>
  <c r="O57" i="3"/>
  <c r="H57" i="3"/>
  <c r="G57" i="3"/>
  <c r="Q57" i="3"/>
  <c r="N57" i="3"/>
  <c r="J56" i="3"/>
  <c r="K56" i="3"/>
  <c r="O56" i="3"/>
  <c r="H56" i="3"/>
  <c r="G56" i="3"/>
  <c r="Q56" i="3"/>
  <c r="N56" i="3"/>
  <c r="J55" i="3"/>
  <c r="K55" i="3"/>
  <c r="O55" i="3"/>
  <c r="H55" i="3"/>
  <c r="G55" i="3"/>
  <c r="Q55" i="3"/>
  <c r="N55" i="3"/>
  <c r="J54" i="3"/>
  <c r="K54" i="3"/>
  <c r="O54" i="3"/>
  <c r="H54" i="3"/>
  <c r="G54" i="3"/>
  <c r="Q54" i="3"/>
  <c r="N54" i="3"/>
  <c r="J53" i="3"/>
  <c r="K53" i="3"/>
  <c r="O53" i="3"/>
  <c r="H53" i="3"/>
  <c r="G53" i="3"/>
  <c r="Q53" i="3"/>
  <c r="N53" i="3"/>
  <c r="J52" i="3"/>
  <c r="K52" i="3"/>
  <c r="O52" i="3"/>
  <c r="H52" i="3"/>
  <c r="G52" i="3"/>
  <c r="Q52" i="3"/>
  <c r="N52" i="3"/>
  <c r="J51" i="3"/>
  <c r="K51" i="3"/>
  <c r="O51" i="3"/>
  <c r="H51" i="3"/>
  <c r="G51" i="3"/>
  <c r="Q51" i="3"/>
  <c r="N51" i="3"/>
  <c r="J50" i="3"/>
  <c r="K50" i="3"/>
  <c r="O50" i="3"/>
  <c r="H50" i="3"/>
  <c r="G50" i="3"/>
  <c r="Q50" i="3"/>
  <c r="N50" i="3"/>
  <c r="J49" i="3"/>
  <c r="K49" i="3"/>
  <c r="O49" i="3"/>
  <c r="H49" i="3"/>
  <c r="G49" i="3"/>
  <c r="Q49" i="3"/>
  <c r="N49" i="3"/>
  <c r="J48" i="3"/>
  <c r="K48" i="3"/>
  <c r="O48" i="3"/>
  <c r="H48" i="3"/>
  <c r="G48" i="3"/>
  <c r="Q48" i="3"/>
  <c r="N48" i="3"/>
  <c r="J47" i="3"/>
  <c r="K47" i="3"/>
  <c r="O47" i="3"/>
  <c r="H47" i="3"/>
  <c r="G47" i="3"/>
  <c r="Q47" i="3"/>
  <c r="N47" i="3"/>
  <c r="J46" i="3"/>
  <c r="K46" i="3"/>
  <c r="O46" i="3"/>
  <c r="H46" i="3"/>
  <c r="G46" i="3"/>
  <c r="Q46" i="3"/>
  <c r="N46" i="3"/>
  <c r="J45" i="3"/>
  <c r="K45" i="3"/>
  <c r="O45" i="3"/>
  <c r="H45" i="3"/>
  <c r="G45" i="3"/>
  <c r="Q45" i="3"/>
  <c r="N45" i="3"/>
  <c r="J44" i="3"/>
  <c r="K44" i="3"/>
  <c r="O44" i="3"/>
  <c r="H44" i="3"/>
  <c r="G44" i="3"/>
  <c r="Q44" i="3"/>
  <c r="N44" i="3"/>
  <c r="J43" i="3"/>
  <c r="K43" i="3"/>
  <c r="O43" i="3"/>
  <c r="H43" i="3"/>
  <c r="G43" i="3"/>
  <c r="Q43" i="3"/>
  <c r="N43" i="3"/>
  <c r="J42" i="3"/>
  <c r="K42" i="3"/>
  <c r="O42" i="3"/>
  <c r="H42" i="3"/>
  <c r="G42" i="3"/>
  <c r="Q42" i="3"/>
  <c r="N42" i="3"/>
  <c r="J41" i="3"/>
  <c r="K41" i="3"/>
  <c r="O41" i="3"/>
  <c r="H41" i="3"/>
  <c r="G41" i="3"/>
  <c r="Q41" i="3"/>
  <c r="N41" i="3"/>
  <c r="J40" i="3"/>
  <c r="K40" i="3"/>
  <c r="O40" i="3"/>
  <c r="H40" i="3"/>
  <c r="G40" i="3"/>
  <c r="Q40" i="3"/>
  <c r="N40" i="3"/>
  <c r="J39" i="3"/>
  <c r="K39" i="3"/>
  <c r="O39" i="3"/>
  <c r="H39" i="3"/>
  <c r="G39" i="3"/>
  <c r="Q39" i="3"/>
  <c r="N39" i="3"/>
  <c r="J38" i="3"/>
  <c r="K38" i="3"/>
  <c r="O38" i="3"/>
  <c r="H38" i="3"/>
  <c r="G38" i="3"/>
  <c r="Q38" i="3"/>
  <c r="N38" i="3"/>
  <c r="J37" i="3"/>
  <c r="K37" i="3"/>
  <c r="O37" i="3"/>
  <c r="H37" i="3"/>
  <c r="G37" i="3"/>
  <c r="Q37" i="3"/>
  <c r="N37" i="3"/>
  <c r="J36" i="3"/>
  <c r="K36" i="3"/>
  <c r="O36" i="3"/>
  <c r="H36" i="3"/>
  <c r="G36" i="3"/>
  <c r="Q36" i="3"/>
  <c r="N36" i="3"/>
  <c r="J35" i="3"/>
  <c r="K35" i="3"/>
  <c r="O35" i="3"/>
  <c r="H35" i="3"/>
  <c r="G35" i="3"/>
  <c r="Q35" i="3"/>
  <c r="N35" i="3"/>
  <c r="J34" i="3"/>
  <c r="K34" i="3"/>
  <c r="O34" i="3"/>
  <c r="H34" i="3"/>
  <c r="G34" i="3"/>
  <c r="Q34" i="3"/>
  <c r="N34" i="3"/>
  <c r="J33" i="3"/>
  <c r="K33" i="3"/>
  <c r="O33" i="3"/>
  <c r="H33" i="3"/>
  <c r="G33" i="3"/>
  <c r="Q33" i="3"/>
  <c r="N33" i="3"/>
  <c r="J32" i="3"/>
  <c r="K32" i="3"/>
  <c r="O32" i="3"/>
  <c r="H32" i="3"/>
  <c r="G32" i="3"/>
  <c r="Q32" i="3"/>
  <c r="N32" i="3"/>
  <c r="J31" i="3"/>
  <c r="K31" i="3"/>
  <c r="O31" i="3"/>
  <c r="H31" i="3"/>
  <c r="G31" i="3"/>
  <c r="Q31" i="3"/>
  <c r="N31" i="3"/>
  <c r="J30" i="3"/>
  <c r="K30" i="3"/>
  <c r="O30" i="3"/>
  <c r="H30" i="3"/>
  <c r="G30" i="3"/>
  <c r="Q30" i="3"/>
  <c r="N30" i="3"/>
  <c r="J29" i="3"/>
  <c r="K29" i="3"/>
  <c r="O29" i="3"/>
  <c r="H29" i="3"/>
  <c r="G29" i="3"/>
  <c r="Q29" i="3"/>
  <c r="N29" i="3"/>
  <c r="J28" i="3"/>
  <c r="K28" i="3"/>
  <c r="O28" i="3"/>
  <c r="H28" i="3"/>
  <c r="G28" i="3"/>
  <c r="Q28" i="3"/>
  <c r="N28" i="3"/>
  <c r="J27" i="3"/>
  <c r="K27" i="3"/>
  <c r="O27" i="3"/>
  <c r="H27" i="3"/>
  <c r="G27" i="3"/>
  <c r="Q27" i="3"/>
  <c r="N27" i="3"/>
  <c r="J26" i="3"/>
  <c r="K26" i="3"/>
  <c r="O26" i="3"/>
  <c r="H26" i="3"/>
  <c r="G26" i="3"/>
  <c r="Q26" i="3"/>
  <c r="N26" i="3"/>
  <c r="J25" i="3"/>
  <c r="K25" i="3"/>
  <c r="O25" i="3"/>
  <c r="H25" i="3"/>
  <c r="G25" i="3"/>
  <c r="Q25" i="3"/>
  <c r="N25" i="3"/>
  <c r="J24" i="3"/>
  <c r="K24" i="3"/>
  <c r="O24" i="3"/>
  <c r="H24" i="3"/>
  <c r="G24" i="3"/>
  <c r="Q24" i="3"/>
  <c r="N24" i="3"/>
  <c r="J23" i="3"/>
  <c r="K23" i="3"/>
  <c r="O23" i="3"/>
  <c r="H23" i="3"/>
  <c r="G23" i="3"/>
  <c r="Q23" i="3"/>
  <c r="N23" i="3"/>
  <c r="J22" i="3"/>
  <c r="K22" i="3"/>
  <c r="O22" i="3"/>
  <c r="H22" i="3"/>
  <c r="G22" i="3"/>
  <c r="Q22" i="3"/>
  <c r="N22" i="3"/>
  <c r="J21" i="3"/>
  <c r="K21" i="3"/>
  <c r="O21" i="3"/>
  <c r="H21" i="3"/>
  <c r="G21" i="3"/>
  <c r="Q21" i="3"/>
  <c r="N21" i="3"/>
  <c r="J20" i="3"/>
  <c r="K20" i="3"/>
  <c r="O20" i="3"/>
  <c r="H20" i="3"/>
  <c r="G20" i="3"/>
  <c r="Q20" i="3"/>
  <c r="N20" i="3"/>
  <c r="J19" i="3"/>
  <c r="K19" i="3"/>
  <c r="O19" i="3"/>
  <c r="H19" i="3"/>
  <c r="G19" i="3"/>
  <c r="Q19" i="3"/>
  <c r="N19" i="3"/>
  <c r="J18" i="3"/>
  <c r="K18" i="3"/>
  <c r="O18" i="3"/>
  <c r="H18" i="3"/>
  <c r="G18" i="3"/>
  <c r="Q18" i="3"/>
  <c r="N18" i="3"/>
  <c r="J17" i="3"/>
  <c r="K17" i="3"/>
  <c r="O17" i="3"/>
  <c r="H17" i="3"/>
  <c r="G17" i="3"/>
  <c r="Q17" i="3"/>
  <c r="N17" i="3"/>
  <c r="J16" i="3"/>
  <c r="K16" i="3"/>
  <c r="O16" i="3"/>
  <c r="H16" i="3"/>
  <c r="G16" i="3"/>
  <c r="Q16" i="3"/>
  <c r="N16" i="3"/>
  <c r="J15" i="3"/>
  <c r="K15" i="3"/>
  <c r="O15" i="3"/>
  <c r="H15" i="3"/>
  <c r="G15" i="3"/>
  <c r="Q15" i="3"/>
  <c r="N15" i="3"/>
  <c r="J14" i="3"/>
  <c r="K14" i="3"/>
  <c r="O14" i="3"/>
  <c r="H14" i="3"/>
  <c r="G14" i="3"/>
  <c r="Q14" i="3"/>
  <c r="N14" i="3"/>
  <c r="J13" i="3"/>
  <c r="K13" i="3"/>
  <c r="O13" i="3"/>
  <c r="H13" i="3"/>
  <c r="G13" i="3"/>
  <c r="Q13" i="3"/>
  <c r="N13" i="3"/>
  <c r="J12" i="3"/>
  <c r="K12" i="3"/>
  <c r="O12" i="3"/>
  <c r="H12" i="3"/>
  <c r="G12" i="3"/>
  <c r="Q12" i="3"/>
  <c r="N12" i="3"/>
  <c r="J11" i="3"/>
  <c r="K11" i="3"/>
  <c r="O11" i="3"/>
  <c r="H11" i="3"/>
  <c r="G11" i="3"/>
  <c r="Q11" i="3"/>
  <c r="N11" i="3"/>
  <c r="J10" i="3"/>
  <c r="K10" i="3"/>
  <c r="O10" i="3"/>
  <c r="H10" i="3"/>
  <c r="G10" i="3"/>
  <c r="Q10" i="3"/>
  <c r="N10" i="3"/>
  <c r="J9" i="3"/>
  <c r="K9" i="3"/>
  <c r="O9" i="3"/>
  <c r="H9" i="3"/>
  <c r="G9" i="3"/>
  <c r="Q9" i="3"/>
  <c r="N9" i="3"/>
  <c r="J8" i="3"/>
  <c r="K8" i="3"/>
  <c r="O8" i="3"/>
  <c r="H8" i="3"/>
  <c r="G8" i="3"/>
  <c r="Q8" i="3"/>
  <c r="N8" i="3"/>
  <c r="J7" i="3"/>
  <c r="K7" i="3"/>
  <c r="O7" i="3"/>
  <c r="H7" i="3"/>
  <c r="G7" i="3"/>
  <c r="Q7" i="3"/>
  <c r="N7" i="3"/>
  <c r="J6" i="3"/>
  <c r="K6" i="3"/>
  <c r="O6" i="3"/>
  <c r="H6" i="3"/>
  <c r="G6" i="3"/>
  <c r="Q6" i="3"/>
  <c r="N6" i="3"/>
  <c r="J5" i="3"/>
  <c r="K5" i="3"/>
  <c r="O5" i="3"/>
  <c r="H5" i="3"/>
  <c r="G5" i="3"/>
  <c r="Q5" i="3"/>
  <c r="N5" i="3"/>
  <c r="J4" i="3"/>
  <c r="K4" i="3"/>
  <c r="O4" i="3"/>
  <c r="H4" i="3"/>
  <c r="G4" i="3"/>
  <c r="Q4" i="3"/>
  <c r="N4" i="3"/>
  <c r="J3" i="3"/>
  <c r="K3" i="3"/>
  <c r="O3" i="3"/>
  <c r="H3" i="3"/>
  <c r="G3" i="3"/>
  <c r="Q3" i="3"/>
  <c r="N3" i="3"/>
  <c r="J2" i="3"/>
  <c r="K2" i="3"/>
  <c r="O2" i="3"/>
  <c r="H2" i="3"/>
  <c r="G2" i="3"/>
  <c r="Q2" i="3"/>
  <c r="N2" i="3"/>
  <c r="B29" i="1"/>
  <c r="C29" i="1"/>
  <c r="D29" i="1"/>
  <c r="E29" i="1"/>
  <c r="F29" i="1"/>
  <c r="A30" i="1"/>
  <c r="B30" i="1"/>
  <c r="C30" i="1"/>
  <c r="D30" i="1"/>
  <c r="E30" i="1"/>
  <c r="F30" i="1"/>
  <c r="G2" i="4"/>
</calcChain>
</file>

<file path=xl/comments1.xml><?xml version="1.0" encoding="utf-8"?>
<comments xmlns="http://schemas.openxmlformats.org/spreadsheetml/2006/main">
  <authors>
    <author>IST</author>
    <author>CSD</author>
  </authors>
  <commentList>
    <comment ref="A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of transmission during a single unprotected set act between an infected male and uninfected female when the male is past the primary infection but his CD4 count is greater than 350 cells/microL</t>
        </r>
      </text>
    </comment>
    <comment ref="J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Viral load and transmission probabilities for individuals infected with wild-type strains. Viral load is high during primary infection, low after primary infection (when the CD4 count is greater than 350 cells/microL) and high once the CD4 count drops below 350 cells/microL.  Viral load ranges were estimated from empirical studies (S27, S32, S45-S50).</t>
        </r>
      </text>
    </comment>
    <comment ref="A6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in a later stage of infection whereby his has less than 350 cells/microL</t>
        </r>
      </text>
    </comment>
    <comment ref="J6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Take the min and max of the ratio between treatment and primary infection.  Range is 1.29 to 2.35, mean is 1.82</t>
        </r>
      </text>
    </comment>
    <comment ref="A7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on ART and is compliant.</t>
        </r>
      </text>
    </comment>
    <comment ref="J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 xml:space="preserve">See: Cohen et al. (2011) </t>
        </r>
        <r>
          <rPr>
            <sz val="10"/>
            <color indexed="81"/>
            <rFont val="Tahoma"/>
          </rPr>
          <t xml:space="preserve">Prevention of HIV-1 Infection with Early Antiretroviral Therapy.  Table 2, Hazard for total linked transmission.  
</t>
        </r>
        <r>
          <rPr>
            <b/>
            <sz val="10"/>
            <color indexed="81"/>
            <rFont val="Tahoma"/>
          </rPr>
          <t>reduction factor is thus 0.01-0.27 with peak at 0.04.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From Previous NY Times Article:</t>
        </r>
        <r>
          <rPr>
            <sz val="10"/>
            <color indexed="81"/>
            <rFont val="Tahoma"/>
          </rPr>
          <t xml:space="preserve"> ART (Treatment As Prevention) (HPN 052) 96%
(HR  0.037) 95% CIs for HR, 0.005-0.272; exact log-rank test statistic, 13, p&lt;1.15 10-7
*Total of 39 cases of HIV infection among the previously uninfected partners. Of those, 28 were linked through genetic analysis to the HIV-infected partner. Of the 28 linked infections, 27 infections occurred among the 877 couples in which the HIV-infected partner was off ART. Only one case of HIV infection occurred among those couples where the HIV-infected partner was on ART
Ref-HPTN 052, unpublished abstract
</t>
        </r>
      </text>
    </comment>
    <comment ref="A8" authorId="0">
      <text>
        <r>
          <rPr>
            <b/>
            <sz val="10"/>
            <color indexed="81"/>
            <rFont val="Tahoma"/>
          </rPr>
          <t>multiplicative factor of the base transmissibility that yields the overall transmissibility if either the male or the female has other STDs.</t>
        </r>
      </text>
    </comment>
    <comment ref="J8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 Sex Transm Inf 1999;75:3–17
range is 2 to 23
Table 4 gives the peak for HSV2 at 4.1. </t>
        </r>
      </text>
    </comment>
    <comment ref="A9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female is on PrEP.</t>
        </r>
      </text>
    </comment>
    <comment ref="J9" authorId="0">
      <text>
        <r>
          <rPr>
            <b/>
            <sz val="10"/>
            <color indexed="81"/>
            <rFont val="Tahoma"/>
          </rPr>
          <t xml:space="preserve">IST:
Factor = 1- efficacy.
The PrEP IPREX study shows that efficacy ranges from 15.4% to 87.5%
with peak at 43.8%:
Myers and Mayer (2011) http://dx.doi.org/10.1089/apc.2010.0222
</t>
        </r>
        <r>
          <rPr>
            <sz val="10"/>
            <color indexed="81"/>
            <rFont val="Tahoma"/>
          </rPr>
          <t xml:space="preserve">
PreP (IPREX)-
OVERALL RESULT 43.8% 95% CI 
15.4 to 62.6%; p=.005
PreP (IPREX)-
50% or more adherence 50.2% 95% CI 17.9-69.7%; P=0.006
PreP (IPREX)-
90% or more adherence 72.8% 95% CI 40.7-87.5%; P=0.001
</t>
        </r>
        <r>
          <rPr>
            <i/>
            <u/>
            <sz val="10"/>
            <color indexed="81"/>
            <rFont val="Tahoma"/>
            <family val="2"/>
          </rPr>
          <t>Thus 1-0.438 = 0.562 for a peak 
1-0.154 =  0.8460 for a maximum
1-0.875 = 0.1250 for a minimum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Tenofovir Gel 39% overall
Quarraisha et al. (2010) http://dx.doi.org/10.1126/science.1193748</t>
        </r>
        <r>
          <rPr>
            <sz val="10"/>
            <color indexed="81"/>
            <rFont val="Tahoma"/>
          </rPr>
          <t xml:space="preserve">
54% (adherence &gt;80%)
38% (intermediate 50-80%)
28% (low &lt; 50%) 5.6 per 100 women-years (person time of
study observation) (38 out of 680.6 women-years) compared with 9.1 per 100 women-years (60 out of
660.7 women-years) in the placebo gel arm (incidence rate ratio = 0.61; P = 0.017 Ref: Effectiveness and Safety of Tenofovir Gel, an Antiretroviral Microbicide, for the Prevention of HIV Infection in WomenScience 3 September 2010: 
Vol. 329 no. 5996 pp. 1168-1174
(see Figure 2 and Table 2)
</t>
        </r>
        <r>
          <rPr>
            <i/>
            <u/>
            <sz val="10"/>
            <color indexed="81"/>
            <rFont val="Tahoma"/>
            <family val="2"/>
          </rPr>
          <t>1-0.39 = 0. 61 which is included in the range above (0.125 to 0.846)</t>
        </r>
      </text>
    </comment>
    <comment ref="A16" authorId="0">
      <text>
        <r>
          <rPr>
            <b/>
            <sz val="10"/>
            <color indexed="81"/>
            <rFont val="Tahoma"/>
          </rPr>
          <t xml:space="preserve">Probability that a pregnant  HIV+ve woman will infect her baby during pregnancy. </t>
        </r>
      </text>
    </comment>
    <comment ref="J16" authorId="0">
      <text>
        <r>
          <rPr>
            <b/>
            <sz val="10"/>
            <color indexed="81"/>
            <rFont val="Tahoma"/>
          </rPr>
          <t xml:space="preserve">IST:
see:  Cock et al. (2000) Prevention of Mother-to-Child HIV Transmission in Resource-Poor Countries
http://jama.ama-assn.org/content/283/9/1175.long
</t>
        </r>
        <r>
          <rPr>
            <sz val="10"/>
            <color indexed="81"/>
            <rFont val="Tahoma"/>
          </rPr>
          <t xml:space="preserve">10 to 20%
</t>
        </r>
        <r>
          <rPr>
            <b/>
            <sz val="10"/>
            <color indexed="81"/>
            <rFont val="Tahoma"/>
          </rPr>
          <t>However we now use: mode of 0.255 and range 0.184 to  0.325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
</t>
        </r>
      </text>
    </comment>
    <comment ref="A17" authorId="1">
      <text>
        <r>
          <rPr>
            <b/>
            <sz val="8"/>
            <color indexed="81"/>
            <rFont val="Tahoma"/>
          </rPr>
          <t>Multaplicative factor that lowers the mother to child probability of transmission  during pregnancy due to the mother being on ART.</t>
        </r>
      </text>
    </comment>
    <comment ref="J1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see:</t>
        </r>
        <r>
          <rPr>
            <sz val="10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</rPr>
          <t>Zutlevics, T. (2006). "Should ART be offered to HIV-serodiscordant and HIV-seroconcordant couples: an ethical discussion?" Hum Reprod 21(8): 1956-1960.</t>
        </r>
        <r>
          <rPr>
            <sz val="10"/>
            <color indexed="81"/>
            <rFont val="Tahoma"/>
          </rPr>
          <t xml:space="preserve">
This paper states that with treatment - risks fall to 1 to 2% thus the multiplicative reduction factor that multiplies the MTCT prob is between 0.05 and 0.2. Thus, a factor of 1/5 to 1/10
</t>
        </r>
        <r>
          <rPr>
            <b/>
            <sz val="10"/>
            <color indexed="81"/>
            <rFont val="Tahoma"/>
          </rPr>
          <t>However now we use mode of 0.325 and range 0.179 to 0.593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</t>
        </r>
      </text>
    </comment>
    <comment ref="A24" authorId="0">
      <text>
        <r>
          <rPr>
            <b/>
            <sz val="10"/>
            <color indexed="81"/>
            <rFont val="Tahoma"/>
          </rPr>
          <t>Number of unprotected sex acts between an infected male and an uninfected female - prior to the woman being tested for either pregancy and HIV infection.</t>
        </r>
      </text>
    </comment>
  </commentList>
</comments>
</file>

<file path=xl/comments2.xml><?xml version="1.0" encoding="utf-8"?>
<comments xmlns="http://schemas.openxmlformats.org/spreadsheetml/2006/main">
  <authors>
    <author>The RAND Corporation</author>
  </authors>
  <commentList>
    <comment ref="D10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Transmission scroller
</t>
        </r>
      </text>
    </comment>
    <comment ref="C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Late infection?</t>
        </r>
      </text>
    </comment>
    <comment ref="D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Lae Infection Scrller
</t>
        </r>
      </text>
    </comment>
    <comment ref="C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Treatment?</t>
        </r>
      </text>
    </comment>
    <comment ref="D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 scroller</t>
        </r>
      </text>
    </comment>
    <comment ref="C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STD?</t>
        </r>
      </text>
    </comment>
    <comment ref="D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 scroller
</t>
        </r>
      </text>
    </comment>
    <comment ref="C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Prep?</t>
        </r>
      </text>
    </comment>
    <comment ref="D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 eff scroller
</t>
        </r>
      </text>
    </comment>
    <comment ref="C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conception
</t>
        </r>
      </text>
    </comment>
    <comment ref="D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Age</t>
        </r>
      </text>
    </comment>
    <comment ref="C16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delivery
</t>
        </r>
      </text>
    </comment>
  </commentList>
</comments>
</file>

<file path=xl/comments3.xml><?xml version="1.0" encoding="utf-8"?>
<comments xmlns="http://schemas.openxmlformats.org/spreadsheetml/2006/main">
  <authors>
    <author>IST</author>
    <author>The RAND Corporation</author>
  </authors>
  <commentList>
    <comment ref="B1" authorId="0">
      <text>
        <r>
          <rPr>
            <b/>
            <sz val="10"/>
            <color indexed="81"/>
            <rFont val="Tahoma"/>
          </rPr>
          <t>IST:
NOTE - here we are assuming that the probability of conception per sex act = probability of conception during the 3 days of a females fertility in a cycle.
THIS is a bad assumption!! Need to change.</t>
        </r>
      </text>
    </comment>
    <comment ref="C1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  <comment ref="D1" authorId="1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 = prob of conception per sex act (column B) during one cycle. Here we need the number of sex acts per cycle.
T = threshold probability of conception. That is the minimum probability desired of conceiving. This is defined in Model sheet - cell B20
T=1-(1-p)^N
thus N= log(1-T)/log(1-p)
We then add 0.5 and round.</t>
        </r>
      </text>
    </comment>
  </commentList>
</comments>
</file>

<file path=xl/comments4.xml><?xml version="1.0" encoding="utf-8"?>
<comments xmlns="http://schemas.openxmlformats.org/spreadsheetml/2006/main">
  <authors>
    <author>IST</author>
  </authors>
  <commentList>
    <comment ref="B2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per sexual act that the woman becomes preganant.
See Van Noord-Zaadstra et al., 1991</t>
        </r>
      </text>
    </comment>
    <comment ref="C2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</commentList>
</comments>
</file>

<file path=xl/sharedStrings.xml><?xml version="1.0" encoding="utf-8"?>
<sst xmlns="http://schemas.openxmlformats.org/spreadsheetml/2006/main" count="99" uniqueCount="87">
  <si>
    <t>delta</t>
  </si>
  <si>
    <t>TT</t>
  </si>
  <si>
    <t>start.year</t>
  </si>
  <si>
    <t>duration</t>
  </si>
  <si>
    <t>pay.period</t>
  </si>
  <si>
    <t>cur.elast</t>
  </si>
  <si>
    <t>cost</t>
  </si>
  <si>
    <t>MC</t>
  </si>
  <si>
    <t>VA</t>
  </si>
  <si>
    <t>Transmissibility per Act Parameters (alpha)</t>
  </si>
  <si>
    <t>Factors impacting transmission</t>
  </si>
  <si>
    <t>Pregnancy Parameters</t>
  </si>
  <si>
    <t>Mother to Child Transmission during Pregnency</t>
  </si>
  <si>
    <t>MTCT prob.</t>
  </si>
  <si>
    <t>Number of Sexual acts before tests</t>
  </si>
  <si>
    <t>N</t>
  </si>
  <si>
    <t>other STDs</t>
  </si>
  <si>
    <t xml:space="preserve">Treatment  </t>
  </si>
  <si>
    <t>PrEP</t>
  </si>
  <si>
    <t>Base Transmissibility</t>
  </si>
  <si>
    <t xml:space="preserve">Late Stage Infection  </t>
  </si>
  <si>
    <t xml:space="preserve"> overall transmissibility </t>
  </si>
  <si>
    <t xml:space="preserve"> overall prob. to concieve</t>
  </si>
  <si>
    <t>acts</t>
  </si>
  <si>
    <t>SANITY CHECK</t>
  </si>
  <si>
    <t>SCENARIO 4A</t>
  </si>
  <si>
    <t>SCENARIO 4B</t>
  </si>
  <si>
    <t>SCENARIO 5A</t>
  </si>
  <si>
    <t>SCENARIO 5B</t>
  </si>
  <si>
    <t>HIV-ve &amp; baby</t>
  </si>
  <si>
    <t>HIV+ve &amp; -ve baby</t>
  </si>
  <si>
    <t>HIV+ve &amp; +ve baby</t>
  </si>
  <si>
    <t>HIV-ve</t>
  </si>
  <si>
    <t>HIV+ve</t>
  </si>
  <si>
    <t>age</t>
  </si>
  <si>
    <t>Prob of conception</t>
  </si>
  <si>
    <t>Prob of delivery</t>
  </si>
  <si>
    <t>Age</t>
  </si>
  <si>
    <t>Treatment factor</t>
  </si>
  <si>
    <t>0.56 to 0.61</t>
  </si>
  <si>
    <t>0.0017 to 0.0031</t>
  </si>
  <si>
    <t>N conception</t>
  </si>
  <si>
    <t xml:space="preserve">N HIV </t>
  </si>
  <si>
    <t>Total HIV-ve</t>
  </si>
  <si>
    <t>Total HIV+ve</t>
  </si>
  <si>
    <t>HIV+ below threshold</t>
  </si>
  <si>
    <t>reference row</t>
  </si>
  <si>
    <t>N Conception both constraints</t>
  </si>
  <si>
    <t>PREVIOUS CONCEPTION NUMBERS (ANNUAL)</t>
  </si>
  <si>
    <t>Annual P(Conception), Risa Pregnancy Calculator</t>
  </si>
  <si>
    <t>P(conceive), Annual</t>
  </si>
  <si>
    <t>P(not conceive), Annual</t>
  </si>
  <si>
    <t>p(not conceive), monthly</t>
  </si>
  <si>
    <t>p(conceive), monthly</t>
  </si>
  <si>
    <t>p(delivery)</t>
  </si>
  <si>
    <t>p(conceive_monthly)*p(delivery)</t>
  </si>
  <si>
    <t>AGE</t>
  </si>
  <si>
    <t>P(CONCEPTION)_ANNUAL</t>
  </si>
  <si>
    <t>odds of pregnancy at age18-25 is 88% in one year
26-30 years, 80%
31-35 is 65%
36-40 is 55%
41-45 is 38%</t>
  </si>
  <si>
    <t>We use one minus these values to get the probability of not conceiving in a year</t>
  </si>
  <si>
    <t>To get the monthly probability of not conceiving in a year: let P = probability of not conceiving in a year and p = probability of not conceiving in a month then P = p^12.  Solve for p = P^(1/12).</t>
  </si>
  <si>
    <t>The monthly probability of conceiving is then 1-p(not conceive) = 1-P^(1/12)</t>
  </si>
  <si>
    <t>&gt; AGE = c(21.5,28,33,38,43)</t>
  </si>
  <si>
    <t>&gt; P.CONCEIVE = c(.88,.8,.65,.55,.38)</t>
  </si>
  <si>
    <t>&gt; lm.mod = lm(P.CONCEIVE~AGE)</t>
  </si>
  <si>
    <t>&gt; summary(lm.mod)</t>
  </si>
  <si>
    <t>Call:</t>
  </si>
  <si>
    <t>lm(formula = P.CONCEIVE ~ AGE)</t>
  </si>
  <si>
    <t>Residuals:</t>
  </si>
  <si>
    <t xml:space="preserve">        1         2         3         4         5 </t>
  </si>
  <si>
    <t xml:space="preserve">-0.033996  0.038055  0.005018  0.021980 -0.031057 </t>
  </si>
  <si>
    <t>Coefficients:</t>
  </si>
  <si>
    <t xml:space="preserve">             Estimate Std. Error t value Pr(&gt;|t|)    </t>
  </si>
  <si>
    <t>(Intercept)  1.416934   0.073677   19.23 0.000307 ***</t>
  </si>
  <si>
    <t xml:space="preserve">AGE         -0.023392   0.002196  -10.65 0.001768 ** </t>
  </si>
  <si>
    <t>---</t>
  </si>
  <si>
    <t xml:space="preserve">Signif. codes:  0 ‘***’ 0.001 ‘**’ 0.01 ‘*’ 0.05 ‘.’ 0.1 ‘ ’ 1 </t>
  </si>
  <si>
    <t>Residual standard error: 0.03686 on 3 degrees of freedom</t>
  </si>
  <si>
    <t>Multiple R-squared: 0.9742,</t>
  </si>
  <si>
    <t xml:space="preserve">Adjusted R-squared: 0.9657 </t>
  </si>
  <si>
    <t xml:space="preserve">F-statistic: 113.5 on 1 and 3 DF,  p-value: 0.001768 </t>
  </si>
  <si>
    <t xml:space="preserve">Desired Probability of Conception </t>
  </si>
  <si>
    <t xml:space="preserve">Desired Maximum Tolerance of HIV infection </t>
  </si>
  <si>
    <t>Controls</t>
  </si>
  <si>
    <t>Slider bar values</t>
  </si>
  <si>
    <t>1.29 to 2.35</t>
  </si>
  <si>
    <t xml:space="preserve">Median Reference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</si>
</sst>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5" x14ac:knownFonts="1"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b/>
      <sz val="11"/>
      <color indexed="10"/>
      <name val="Times New Roman"/>
      <family val="1"/>
    </font>
    <font>
      <b/>
      <sz val="11"/>
      <color indexed="57"/>
      <name val="Times New Roman"/>
      <family val="1"/>
    </font>
    <font>
      <b/>
      <sz val="11"/>
      <color indexed="48"/>
      <name val="Times New Roman"/>
      <family val="1"/>
    </font>
    <font>
      <b/>
      <sz val="11"/>
      <color indexed="61"/>
      <name val="Times New Roman"/>
      <family val="1"/>
    </font>
    <font>
      <b/>
      <sz val="11"/>
      <color indexed="14"/>
      <name val="Times New Roman"/>
      <family val="1"/>
    </font>
    <font>
      <b/>
      <sz val="8"/>
      <color indexed="81"/>
      <name val="Tahoma"/>
    </font>
    <font>
      <b/>
      <sz val="11"/>
      <color indexed="10"/>
      <name val="Arial"/>
      <family val="2"/>
    </font>
    <font>
      <sz val="8"/>
      <name val="Arial"/>
    </font>
    <font>
      <b/>
      <sz val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0"/>
      <color indexed="8"/>
      <name val="Arial"/>
    </font>
    <font>
      <b/>
      <sz val="12"/>
      <color indexed="8"/>
      <name val="Arial"/>
      <family val="2"/>
    </font>
    <font>
      <i/>
      <u/>
      <sz val="10"/>
      <color indexed="81"/>
      <name val="Tahoma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7" tint="-0.499984740745262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9">
    <xf numFmtId="0" fontId="0" fillId="0" borderId="0" xfId="0"/>
    <xf numFmtId="2" fontId="0" fillId="2" borderId="0" xfId="0" applyNumberFormat="1" applyFill="1"/>
    <xf numFmtId="2" fontId="3" fillId="2" borderId="0" xfId="0" applyNumberFormat="1" applyFont="1" applyFill="1"/>
    <xf numFmtId="2" fontId="4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7" fillId="2" borderId="0" xfId="0" applyNumberFormat="1" applyFont="1" applyFill="1"/>
    <xf numFmtId="3" fontId="7" fillId="2" borderId="0" xfId="0" applyNumberFormat="1" applyFont="1" applyFill="1"/>
    <xf numFmtId="4" fontId="2" fillId="2" borderId="0" xfId="0" applyNumberFormat="1" applyFont="1" applyFill="1"/>
    <xf numFmtId="2" fontId="2" fillId="2" borderId="0" xfId="0" applyNumberFormat="1" applyFont="1" applyFill="1"/>
    <xf numFmtId="2" fontId="1" fillId="2" borderId="0" xfId="0" applyNumberFormat="1" applyFont="1" applyFill="1"/>
    <xf numFmtId="2" fontId="9" fillId="2" borderId="0" xfId="0" applyNumberFormat="1" applyFont="1" applyFill="1"/>
    <xf numFmtId="164" fontId="9" fillId="2" borderId="0" xfId="0" applyNumberFormat="1" applyFont="1" applyFill="1"/>
    <xf numFmtId="4" fontId="6" fillId="2" borderId="0" xfId="0" applyNumberFormat="1" applyFont="1" applyFill="1"/>
    <xf numFmtId="0" fontId="0" fillId="3" borderId="0" xfId="0" applyFill="1"/>
    <xf numFmtId="0" fontId="0" fillId="4" borderId="3" xfId="0" applyFill="1" applyBorder="1"/>
    <xf numFmtId="0" fontId="11" fillId="5" borderId="1" xfId="0" applyFont="1" applyFill="1" applyBorder="1"/>
    <xf numFmtId="11" fontId="11" fillId="6" borderId="1" xfId="0" applyNumberFormat="1" applyFont="1" applyFill="1" applyBorder="1"/>
    <xf numFmtId="10" fontId="0" fillId="5" borderId="3" xfId="0" applyNumberFormat="1" applyFill="1" applyBorder="1"/>
    <xf numFmtId="10" fontId="0" fillId="6" borderId="0" xfId="0" applyNumberFormat="1" applyFill="1"/>
    <xf numFmtId="10" fontId="0" fillId="4" borderId="3" xfId="0" applyNumberFormat="1" applyFill="1" applyBorder="1"/>
    <xf numFmtId="0" fontId="14" fillId="7" borderId="0" xfId="0" applyFont="1" applyFill="1"/>
    <xf numFmtId="2" fontId="14" fillId="7" borderId="0" xfId="0" applyNumberFormat="1" applyFont="1" applyFill="1"/>
    <xf numFmtId="0" fontId="15" fillId="7" borderId="0" xfId="0" applyFont="1" applyFill="1"/>
    <xf numFmtId="0" fontId="14" fillId="7" borderId="3" xfId="0" applyFont="1" applyFill="1" applyBorder="1"/>
    <xf numFmtId="2" fontId="14" fillId="7" borderId="3" xfId="0" applyNumberFormat="1" applyFont="1" applyFill="1" applyBorder="1"/>
    <xf numFmtId="0" fontId="14" fillId="7" borderId="2" xfId="0" applyFont="1" applyFill="1" applyBorder="1"/>
    <xf numFmtId="2" fontId="14" fillId="7" borderId="2" xfId="0" applyNumberFormat="1" applyFont="1" applyFill="1" applyBorder="1"/>
    <xf numFmtId="0" fontId="15" fillId="7" borderId="1" xfId="0" applyFont="1" applyFill="1" applyBorder="1"/>
    <xf numFmtId="2" fontId="15" fillId="7" borderId="1" xfId="0" applyNumberFormat="1" applyFont="1" applyFill="1" applyBorder="1"/>
    <xf numFmtId="1" fontId="5" fillId="2" borderId="0" xfId="0" applyNumberFormat="1" applyFont="1" applyFill="1"/>
    <xf numFmtId="165" fontId="3" fillId="2" borderId="0" xfId="0" applyNumberFormat="1" applyFont="1" applyFill="1"/>
    <xf numFmtId="2" fontId="17" fillId="2" borderId="0" xfId="0" applyNumberFormat="1" applyFont="1" applyFill="1"/>
    <xf numFmtId="2" fontId="18" fillId="2" borderId="0" xfId="0" applyNumberFormat="1" applyFont="1" applyFill="1" applyAlignment="1">
      <alignment horizontal="right"/>
    </xf>
    <xf numFmtId="2" fontId="15" fillId="2" borderId="0" xfId="0" applyNumberFormat="1" applyFont="1" applyFill="1"/>
    <xf numFmtId="0" fontId="14" fillId="7" borderId="5" xfId="0" applyFont="1" applyFill="1" applyBorder="1"/>
    <xf numFmtId="2" fontId="14" fillId="7" borderId="5" xfId="0" applyNumberFormat="1" applyFont="1" applyFill="1" applyBorder="1"/>
    <xf numFmtId="0" fontId="0" fillId="8" borderId="0" xfId="0" applyFill="1"/>
    <xf numFmtId="2" fontId="0" fillId="9" borderId="0" xfId="0" applyNumberFormat="1" applyFill="1"/>
    <xf numFmtId="0" fontId="0" fillId="10" borderId="0" xfId="0" applyFill="1"/>
    <xf numFmtId="0" fontId="11" fillId="10" borderId="0" xfId="0" applyFont="1" applyFill="1"/>
    <xf numFmtId="0" fontId="11" fillId="11" borderId="1" xfId="0" applyFont="1" applyFill="1" applyBorder="1"/>
    <xf numFmtId="10" fontId="11" fillId="9" borderId="7" xfId="0" applyNumberFormat="1" applyFont="1" applyFill="1" applyBorder="1"/>
    <xf numFmtId="10" fontId="11" fillId="11" borderId="7" xfId="0" applyNumberFormat="1" applyFont="1" applyFill="1" applyBorder="1"/>
    <xf numFmtId="10" fontId="11" fillId="12" borderId="7" xfId="0" applyNumberFormat="1" applyFont="1" applyFill="1" applyBorder="1"/>
    <xf numFmtId="0" fontId="11" fillId="13" borderId="6" xfId="0" applyFont="1" applyFill="1" applyBorder="1"/>
    <xf numFmtId="0" fontId="0" fillId="11" borderId="2" xfId="0" applyFill="1" applyBorder="1"/>
    <xf numFmtId="10" fontId="0" fillId="9" borderId="8" xfId="0" applyNumberFormat="1" applyFill="1" applyBorder="1"/>
    <xf numFmtId="10" fontId="0" fillId="11" borderId="8" xfId="0" applyNumberFormat="1" applyFill="1" applyBorder="1"/>
    <xf numFmtId="10" fontId="0" fillId="12" borderId="0" xfId="0" applyNumberFormat="1" applyFill="1"/>
    <xf numFmtId="10" fontId="0" fillId="13" borderId="0" xfId="0" applyNumberFormat="1" applyFill="1"/>
    <xf numFmtId="10" fontId="0" fillId="10" borderId="0" xfId="0" applyNumberFormat="1" applyFill="1"/>
    <xf numFmtId="0" fontId="0" fillId="13" borderId="0" xfId="0" applyFill="1"/>
    <xf numFmtId="0" fontId="11" fillId="11" borderId="9" xfId="0" applyFont="1" applyFill="1" applyBorder="1"/>
    <xf numFmtId="10" fontId="11" fillId="9" borderId="10" xfId="0" applyNumberFormat="1" applyFont="1" applyFill="1" applyBorder="1"/>
    <xf numFmtId="10" fontId="11" fillId="11" borderId="10" xfId="0" applyNumberFormat="1" applyFont="1" applyFill="1" applyBorder="1"/>
    <xf numFmtId="0" fontId="0" fillId="11" borderId="3" xfId="0" applyFill="1" applyBorder="1"/>
    <xf numFmtId="10" fontId="0" fillId="9" borderId="11" xfId="0" applyNumberFormat="1" applyFill="1" applyBorder="1"/>
    <xf numFmtId="10" fontId="0" fillId="11" borderId="11" xfId="0" applyNumberFormat="1" applyFill="1" applyBorder="1"/>
    <xf numFmtId="1" fontId="14" fillId="7" borderId="0" xfId="0" applyNumberFormat="1" applyFont="1" applyFill="1"/>
    <xf numFmtId="0" fontId="19" fillId="15" borderId="0" xfId="0" applyFont="1" applyFill="1"/>
    <xf numFmtId="0" fontId="15" fillId="16" borderId="3" xfId="0" applyFont="1" applyFill="1" applyBorder="1"/>
    <xf numFmtId="0" fontId="19" fillId="16" borderId="3" xfId="0" applyFont="1" applyFill="1" applyBorder="1"/>
    <xf numFmtId="0" fontId="19" fillId="17" borderId="4" xfId="0" applyFont="1" applyFill="1" applyBorder="1"/>
    <xf numFmtId="0" fontId="0" fillId="17" borderId="0" xfId="0" applyFill="1"/>
    <xf numFmtId="0" fontId="15" fillId="18" borderId="3" xfId="0" applyFont="1" applyFill="1" applyBorder="1"/>
    <xf numFmtId="0" fontId="19" fillId="18" borderId="3" xfId="0" applyFont="1" applyFill="1" applyBorder="1"/>
    <xf numFmtId="0" fontId="0" fillId="15" borderId="0" xfId="0" applyFill="1" applyAlignment="1">
      <alignment wrapText="1"/>
    </xf>
    <xf numFmtId="0" fontId="14" fillId="16" borderId="3" xfId="0" applyFont="1" applyFill="1" applyBorder="1"/>
    <xf numFmtId="0" fontId="0" fillId="16" borderId="3" xfId="0" applyFill="1" applyBorder="1"/>
    <xf numFmtId="2" fontId="14" fillId="16" borderId="3" xfId="0" applyNumberFormat="1" applyFont="1" applyFill="1" applyBorder="1"/>
    <xf numFmtId="0" fontId="14" fillId="18" borderId="3" xfId="0" applyFont="1" applyFill="1" applyBorder="1"/>
    <xf numFmtId="0" fontId="0" fillId="18" borderId="3" xfId="0" applyFill="1" applyBorder="1"/>
    <xf numFmtId="2" fontId="14" fillId="18" borderId="3" xfId="0" applyNumberFormat="1" applyFont="1" applyFill="1" applyBorder="1"/>
    <xf numFmtId="0" fontId="0" fillId="15" borderId="0" xfId="0" applyFill="1"/>
    <xf numFmtId="0" fontId="15" fillId="19" borderId="1" xfId="0" applyFont="1" applyFill="1" applyBorder="1"/>
    <xf numFmtId="2" fontId="14" fillId="19" borderId="2" xfId="0" applyNumberFormat="1" applyFont="1" applyFill="1" applyBorder="1"/>
    <xf numFmtId="2" fontId="15" fillId="14" borderId="1" xfId="0" applyNumberFormat="1" applyFont="1" applyFill="1" applyBorder="1"/>
    <xf numFmtId="2" fontId="14" fillId="14" borderId="2" xfId="0" applyNumberFormat="1" applyFont="1" applyFill="1" applyBorder="1"/>
    <xf numFmtId="0" fontId="15" fillId="18" borderId="1" xfId="0" applyFont="1" applyFill="1" applyBorder="1"/>
    <xf numFmtId="0" fontId="14" fillId="18" borderId="2" xfId="0" applyFont="1" applyFill="1" applyBorder="1"/>
    <xf numFmtId="0" fontId="15" fillId="20" borderId="1" xfId="0" applyFont="1" applyFill="1" applyBorder="1"/>
    <xf numFmtId="1" fontId="14" fillId="20" borderId="2" xfId="0" applyNumberFormat="1" applyFont="1" applyFill="1" applyBorder="1"/>
    <xf numFmtId="1" fontId="14" fillId="20" borderId="3" xfId="0" applyNumberFormat="1" applyFont="1" applyFill="1" applyBorder="1"/>
    <xf numFmtId="0" fontId="15" fillId="21" borderId="1" xfId="0" applyFont="1" applyFill="1" applyBorder="1"/>
    <xf numFmtId="0" fontId="14" fillId="21" borderId="3" xfId="0" applyFont="1" applyFill="1" applyBorder="1"/>
    <xf numFmtId="1" fontId="15" fillId="22" borderId="1" xfId="0" applyNumberFormat="1" applyFont="1" applyFill="1" applyBorder="1"/>
    <xf numFmtId="1" fontId="14" fillId="22" borderId="2" xfId="0" applyNumberFormat="1" applyFont="1" applyFill="1" applyBorder="1"/>
    <xf numFmtId="1" fontId="14" fillId="22" borderId="3" xfId="0" applyNumberFormat="1" applyFont="1" applyFill="1" applyBorder="1"/>
    <xf numFmtId="2" fontId="24" fillId="2" borderId="0" xfId="0" applyNumberFormat="1" applyFont="1" applyFill="1"/>
    <xf numFmtId="9" fontId="24" fillId="2" borderId="0" xfId="0" applyNumberFormat="1" applyFont="1" applyFill="1"/>
    <xf numFmtId="0" fontId="0" fillId="23" borderId="0" xfId="0" applyFill="1"/>
    <xf numFmtId="0" fontId="11" fillId="23" borderId="0" xfId="0" applyFont="1" applyFill="1"/>
    <xf numFmtId="1" fontId="0" fillId="23" borderId="0" xfId="0" applyNumberFormat="1" applyFill="1"/>
    <xf numFmtId="0" fontId="0" fillId="20" borderId="0" xfId="0" applyFill="1"/>
    <xf numFmtId="0" fontId="19" fillId="14" borderId="12" xfId="0" applyFont="1" applyFill="1" applyBorder="1" applyAlignment="1">
      <alignment horizontal="center"/>
    </xf>
    <xf numFmtId="166" fontId="19" fillId="18" borderId="3" xfId="0" applyNumberFormat="1" applyFont="1" applyFill="1" applyBorder="1"/>
    <xf numFmtId="166" fontId="0" fillId="18" borderId="3" xfId="0" applyNumberFormat="1" applyFill="1" applyBorder="1"/>
    <xf numFmtId="16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Successful Pregnancy</a:t>
            </a:r>
          </a:p>
        </c:rich>
      </c:tx>
      <c:layout>
        <c:manualLayout>
          <c:xMode val="edge"/>
          <c:yMode val="edge"/>
          <c:x val="0.223463540521122"/>
          <c:y val="0.0326797508520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13460274219"/>
          <c:y val="0.176470729031615"/>
          <c:w val="0.832401477754126"/>
          <c:h val="0.614379575147103"/>
        </c:manualLayout>
      </c:layout>
      <c:lineChart>
        <c:grouping val="standard"/>
        <c:varyColors val="0"/>
        <c:ser>
          <c:idx val="1"/>
          <c:order val="0"/>
          <c:tx>
            <c:strRef>
              <c:f>Model!$G$1</c:f>
              <c:strCache>
                <c:ptCount val="1"/>
                <c:pt idx="0">
                  <c:v>HIV-ve &amp; baby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Model!$G$2:$G$101</c:f>
              <c:numCache>
                <c:formatCode>0.00%</c:formatCode>
                <c:ptCount val="100"/>
                <c:pt idx="0">
                  <c:v>0.0938808078770031</c:v>
                </c:pt>
                <c:pt idx="1">
                  <c:v>0.177342343122325</c:v>
                </c:pt>
                <c:pt idx="2">
                  <c:v>0.25151303582409</c:v>
                </c:pt>
                <c:pt idx="3">
                  <c:v>0.317399179555135</c:v>
                </c:pt>
                <c:pt idx="4">
                  <c:v>0.375898150708544</c:v>
                </c:pt>
                <c:pt idx="5">
                  <c:v>0.427810197050892</c:v>
                </c:pt>
                <c:pt idx="6">
                  <c:v>0.473848950352576</c:v>
                </c:pt>
                <c:pt idx="7">
                  <c:v>0.514650801193525</c:v>
                </c:pt>
                <c:pt idx="8">
                  <c:v>0.550783259095679</c:v>
                </c:pt>
                <c:pt idx="9">
                  <c:v>0.582752407804417</c:v>
                </c:pt>
                <c:pt idx="10">
                  <c:v>0.611009553654646</c:v>
                </c:pt>
                <c:pt idx="11">
                  <c:v>0.635957154357255</c:v>
                </c:pt>
                <c:pt idx="12">
                  <c:v>0.657954106088973</c:v>
                </c:pt>
                <c:pt idx="13">
                  <c:v>0.677320458339032</c:v>
                </c:pt>
                <c:pt idx="14">
                  <c:v>0.694341618448859</c:v>
                </c:pt>
                <c:pt idx="15">
                  <c:v>0.709272101077374</c:v>
                </c:pt>
                <c:pt idx="16">
                  <c:v>0.722338871846442</c:v>
                </c:pt>
                <c:pt idx="17">
                  <c:v>0.733744329090014</c:v>
                </c:pt>
                <c:pt idx="18">
                  <c:v>0.743668962876454</c:v>
                </c:pt>
                <c:pt idx="19">
                  <c:v>0.752273726234089</c:v>
                </c:pt>
                <c:pt idx="20">
                  <c:v>0.759702149729386</c:v>
                </c:pt>
                <c:pt idx="21">
                  <c:v>0.766082227175752</c:v>
                </c:pt>
                <c:pt idx="22">
                  <c:v>0.771528097244408</c:v>
                </c:pt>
                <c:pt idx="23">
                  <c:v>0.776141543067694</c:v>
                </c:pt>
                <c:pt idx="24">
                  <c:v>0.780013329534202</c:v>
                </c:pt>
                <c:pt idx="25">
                  <c:v>0.783224395843039</c:v>
                </c:pt>
                <c:pt idx="26">
                  <c:v>0.785846918983078</c:v>
                </c:pt>
                <c:pt idx="27">
                  <c:v>0.787945262107536</c:v>
                </c:pt>
                <c:pt idx="28">
                  <c:v>0.789576820262107</c:v>
                </c:pt>
                <c:pt idx="29">
                  <c:v>0.790792774576495</c:v>
                </c:pt>
                <c:pt idx="30">
                  <c:v>0.791638764826736</c:v>
                </c:pt>
                <c:pt idx="31">
                  <c:v>0.792155489203349</c:v>
                </c:pt>
                <c:pt idx="32">
                  <c:v>0.792379239164142</c:v>
                </c:pt>
                <c:pt idx="33">
                  <c:v>0.792342376397713</c:v>
                </c:pt>
                <c:pt idx="34">
                  <c:v>0.792073758163243</c:v>
                </c:pt>
                <c:pt idx="35">
                  <c:v>0.791599116594034</c:v>
                </c:pt>
                <c:pt idx="36">
                  <c:v>0.790941396947461</c:v>
                </c:pt>
                <c:pt idx="37">
                  <c:v>0.790121059244761</c:v>
                </c:pt>
                <c:pt idx="38">
                  <c:v>0.789156347263097</c:v>
                </c:pt>
                <c:pt idx="39">
                  <c:v>0.788063528413519</c:v>
                </c:pt>
                <c:pt idx="40">
                  <c:v>0.786857107655939</c:v>
                </c:pt>
                <c:pt idx="41">
                  <c:v>0.785550018261216</c:v>
                </c:pt>
                <c:pt idx="42">
                  <c:v>0.784153791926266</c:v>
                </c:pt>
                <c:pt idx="43">
                  <c:v>0.782678710476912</c:v>
                </c:pt>
                <c:pt idx="44">
                  <c:v>0.781133941151313</c:v>
                </c:pt>
                <c:pt idx="45">
                  <c:v>0.7795276572411</c:v>
                </c:pt>
                <c:pt idx="46">
                  <c:v>0.777867145675018</c:v>
                </c:pt>
                <c:pt idx="47">
                  <c:v>0.776158902958344</c:v>
                </c:pt>
                <c:pt idx="48">
                  <c:v>0.774408720728384</c:v>
                </c:pt>
                <c:pt idx="49">
                  <c:v>0.772621762049931</c:v>
                </c:pt>
                <c:pt idx="50">
                  <c:v>0.770802629452946</c:v>
                </c:pt>
                <c:pt idx="51">
                  <c:v>0.768955425606233</c:v>
                </c:pt>
                <c:pt idx="52">
                  <c:v>0.767083807424145</c:v>
                </c:pt>
                <c:pt idx="53">
                  <c:v>0.765191034317084</c:v>
                </c:pt>
                <c:pt idx="54">
                  <c:v>0.763280011219645</c:v>
                </c:pt>
                <c:pt idx="55">
                  <c:v>0.761353326961633</c:v>
                </c:pt>
                <c:pt idx="56">
                  <c:v>0.759413288486022</c:v>
                </c:pt>
                <c:pt idx="57">
                  <c:v>0.757461951363348</c:v>
                </c:pt>
                <c:pt idx="58">
                  <c:v>0.755501147003392</c:v>
                </c:pt>
                <c:pt idx="59">
                  <c:v>0.753532506921627</c:v>
                </c:pt>
                <c:pt idx="60">
                  <c:v>0.751557484379185</c:v>
                </c:pt>
                <c:pt idx="61">
                  <c:v>0.749577373680641</c:v>
                </c:pt>
                <c:pt idx="62">
                  <c:v>0.7475933273831</c:v>
                </c:pt>
                <c:pt idx="63">
                  <c:v>0.745606371642664</c:v>
                </c:pt>
                <c:pt idx="64">
                  <c:v>0.743617419899879</c:v>
                </c:pt>
                <c:pt idx="65">
                  <c:v>0.74162728508393</c:v>
                </c:pt>
                <c:pt idx="66">
                  <c:v>0.739636690495925</c:v>
                </c:pt>
                <c:pt idx="67">
                  <c:v>0.737646279514219</c:v>
                </c:pt>
                <c:pt idx="68">
                  <c:v>0.735656624249273</c:v>
                </c:pt>
                <c:pt idx="69">
                  <c:v>0.733668233261765</c:v>
                </c:pt>
                <c:pt idx="70">
                  <c:v>0.731681558445309</c:v>
                </c:pt>
                <c:pt idx="71">
                  <c:v>0.729697001164234</c:v>
                </c:pt>
                <c:pt idx="72">
                  <c:v>0.727714917727017</c:v>
                </c:pt>
                <c:pt idx="73">
                  <c:v>0.725735624267308</c:v>
                </c:pt>
                <c:pt idx="74">
                  <c:v>0.723759401096637</c:v>
                </c:pt>
                <c:pt idx="75">
                  <c:v>0.721786496586007</c:v>
                </c:pt>
                <c:pt idx="76">
                  <c:v>0.719817130627346</c:v>
                </c:pt>
                <c:pt idx="77">
                  <c:v>0.717851497720309</c:v>
                </c:pt>
                <c:pt idx="78">
                  <c:v>0.71588976972496</c:v>
                </c:pt>
                <c:pt idx="79">
                  <c:v>0.713932098316521</c:v>
                </c:pt>
                <c:pt idx="80">
                  <c:v>0.711978617174407</c:v>
                </c:pt>
                <c:pt idx="81">
                  <c:v>0.710029443934336</c:v>
                </c:pt>
                <c:pt idx="82">
                  <c:v>0.708084681929128</c:v>
                </c:pt>
                <c:pt idx="83">
                  <c:v>0.706144421741089</c:v>
                </c:pt>
                <c:pt idx="84">
                  <c:v>0.70420874258636</c:v>
                </c:pt>
                <c:pt idx="85">
                  <c:v>0.702277713549411</c:v>
                </c:pt>
                <c:pt idx="86">
                  <c:v>0.700351394683927</c:v>
                </c:pt>
                <c:pt idx="87">
                  <c:v>0.698429837994511</c:v>
                </c:pt>
                <c:pt idx="88">
                  <c:v>0.696513088312133</c:v>
                </c:pt>
                <c:pt idx="89">
                  <c:v>0.694601184074806</c:v>
                </c:pt>
                <c:pt idx="90">
                  <c:v>0.692694158023766</c:v>
                </c:pt>
                <c:pt idx="91">
                  <c:v>0.690792037824274</c:v>
                </c:pt>
                <c:pt idx="92">
                  <c:v>0.688894846619228</c:v>
                </c:pt>
                <c:pt idx="93">
                  <c:v>0.68700260352284</c:v>
                </c:pt>
                <c:pt idx="94">
                  <c:v>0.685115324060862</c:v>
                </c:pt>
                <c:pt idx="95">
                  <c:v>0.683233020563164</c:v>
                </c:pt>
                <c:pt idx="96">
                  <c:v>0.681355702513802</c:v>
                </c:pt>
                <c:pt idx="97">
                  <c:v>0.679483376863191</c:v>
                </c:pt>
                <c:pt idx="98">
                  <c:v>0.67761604830647</c:v>
                </c:pt>
                <c:pt idx="99">
                  <c:v>0.675753719531739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Model!$H$1</c:f>
              <c:strCache>
                <c:ptCount val="1"/>
                <c:pt idx="0">
                  <c:v>HIV+ve &amp; -ve baby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Model!$H$2:$H$101</c:f>
              <c:numCache>
                <c:formatCode>0.00%</c:formatCode>
                <c:ptCount val="100"/>
                <c:pt idx="0">
                  <c:v>0.000211249468915515</c:v>
                </c:pt>
                <c:pt idx="1">
                  <c:v>0.000799207654425044</c:v>
                </c:pt>
                <c:pt idx="2">
                  <c:v>0.00170254113796838</c:v>
                </c:pt>
                <c:pt idx="3">
                  <c:v>0.00286866998665193</c:v>
                </c:pt>
                <c:pt idx="4">
                  <c:v>0.0042525967653464</c:v>
                </c:pt>
                <c:pt idx="5">
                  <c:v>0.00581588593642699</c:v>
                </c:pt>
                <c:pt idx="6">
                  <c:v>0.00752577486884625</c:v>
                </c:pt>
                <c:pt idx="7">
                  <c:v>0.00935439997525214</c:v>
                </c:pt>
                <c:pt idx="8">
                  <c:v>0.0112781235162837</c:v>
                </c:pt>
                <c:pt idx="9">
                  <c:v>0.0132769483878953</c:v>
                </c:pt>
                <c:pt idx="10">
                  <c:v>0.0153340097695995</c:v>
                </c:pt>
                <c:pt idx="11">
                  <c:v>0.0174351338844798</c:v>
                </c:pt>
                <c:pt idx="12">
                  <c:v>0.0195684553282922</c:v>
                </c:pt>
                <c:pt idx="13">
                  <c:v>0.02172408548486</c:v>
                </c:pt>
                <c:pt idx="14">
                  <c:v>0.0238938254758246</c:v>
                </c:pt>
                <c:pt idx="15">
                  <c:v>0.0260709179101317</c:v>
                </c:pt>
                <c:pt idx="16">
                  <c:v>0.0282498324160421</c:v>
                </c:pt>
                <c:pt idx="17">
                  <c:v>0.0304260805679877</c:v>
                </c:pt>
                <c:pt idx="18">
                  <c:v>0.0325960563728391</c:v>
                </c:pt>
                <c:pt idx="19">
                  <c:v>0.0347568989644435</c:v>
                </c:pt>
                <c:pt idx="20">
                  <c:v>0.0369063745798477</c:v>
                </c:pt>
                <c:pt idx="21">
                  <c:v>0.0390427752626908</c:v>
                </c:pt>
                <c:pt idx="22">
                  <c:v>0.0411648320651896</c:v>
                </c:pt>
                <c:pt idx="23">
                  <c:v>0.0432716408055806</c:v>
                </c:pt>
                <c:pt idx="24">
                  <c:v>0.0453625986877397</c:v>
                </c:pt>
                <c:pt idx="25">
                  <c:v>0.0474373503083408</c:v>
                </c:pt>
                <c:pt idx="26">
                  <c:v>0.049495741768143</c:v>
                </c:pt>
                <c:pt idx="27">
                  <c:v>0.0515377817711864</c:v>
                </c:pt>
                <c:pt idx="28">
                  <c:v>0.0535636087417757</c:v>
                </c:pt>
                <c:pt idx="29">
                  <c:v>0.0555734631167477</c:v>
                </c:pt>
                <c:pt idx="30">
                  <c:v>0.0575676640819251</c:v>
                </c:pt>
                <c:pt idx="31">
                  <c:v>0.059546590118872</c:v>
                </c:pt>
                <c:pt idx="32">
                  <c:v>0.061510662812847</c:v>
                </c:pt>
                <c:pt idx="33">
                  <c:v>0.0634603334467365</c:v>
                </c:pt>
                <c:pt idx="34">
                  <c:v>0.0653960719701201</c:v>
                </c:pt>
                <c:pt idx="35">
                  <c:v>0.0673183579886481</c:v>
                </c:pt>
                <c:pt idx="36">
                  <c:v>0.0692276734676528</c:v>
                </c:pt>
                <c:pt idx="37">
                  <c:v>0.0711244968862941</c:v>
                </c:pt>
                <c:pt idx="38">
                  <c:v>0.0730092986153419</c:v>
                </c:pt>
                <c:pt idx="39">
                  <c:v>0.0748825373236556</c:v>
                </c:pt>
                <c:pt idx="40">
                  <c:v>0.0767446572461283</c:v>
                </c:pt>
                <c:pt idx="41">
                  <c:v>0.0785960861698743</c:v>
                </c:pt>
                <c:pt idx="42">
                  <c:v>0.0804372340162309</c:v>
                </c:pt>
                <c:pt idx="43">
                  <c:v>0.0822684919141181</c:v>
                </c:pt>
                <c:pt idx="44">
                  <c:v>0.0840902316758389</c:v>
                </c:pt>
                <c:pt idx="45">
                  <c:v>0.0859028055998025</c:v>
                </c:pt>
                <c:pt idx="46">
                  <c:v>0.0877065465362078</c:v>
                </c:pt>
                <c:pt idx="47">
                  <c:v>0.0895017681616735</c:v>
                </c:pt>
                <c:pt idx="48">
                  <c:v>0.0912887654173438</c:v>
                </c:pt>
                <c:pt idx="49">
                  <c:v>0.093067815072345</c:v>
                </c:pt>
                <c:pt idx="50">
                  <c:v>0.09483917638075</c:v>
                </c:pt>
                <c:pt idx="51">
                  <c:v>0.0966030918055903</c:v>
                </c:pt>
                <c:pt idx="52">
                  <c:v>0.0983597877880465</c:v>
                </c:pt>
                <c:pt idx="53">
                  <c:v>0.100109475543862</c:v>
                </c:pt>
                <c:pt idx="54">
                  <c:v>0.101852351872345</c:v>
                </c:pt>
                <c:pt idx="55">
                  <c:v>0.103588599966157</c:v>
                </c:pt>
                <c:pt idx="56">
                  <c:v>0.105318390212444</c:v>
                </c:pt>
                <c:pt idx="57">
                  <c:v>0.107041880977914</c:v>
                </c:pt>
                <c:pt idx="58">
                  <c:v>0.108759219372099</c:v>
                </c:pt>
                <c:pt idx="59">
                  <c:v>0.110470541984517</c:v>
                </c:pt>
                <c:pt idx="60">
                  <c:v>0.112175975592545</c:v>
                </c:pt>
                <c:pt idx="61">
                  <c:v>0.113875637837866</c:v>
                </c:pt>
                <c:pt idx="62">
                  <c:v>0.115569637870091</c:v>
                </c:pt>
                <c:pt idx="63">
                  <c:v>0.117258076956847</c:v>
                </c:pt>
                <c:pt idx="64">
                  <c:v>0.11894104906014</c:v>
                </c:pt>
                <c:pt idx="65">
                  <c:v>0.12061864137922</c:v>
                </c:pt>
                <c:pt idx="66">
                  <c:v>0.122290934860528</c:v>
                </c:pt>
                <c:pt idx="67">
                  <c:v>0.123958004675554</c:v>
                </c:pt>
                <c:pt idx="68">
                  <c:v>0.12561992066763</c:v>
                </c:pt>
                <c:pt idx="69">
                  <c:v>0.127276747768844</c:v>
                </c:pt>
                <c:pt idx="70">
                  <c:v>0.128928546388352</c:v>
                </c:pt>
                <c:pt idx="71">
                  <c:v>0.130575372773437</c:v>
                </c:pt>
                <c:pt idx="72">
                  <c:v>0.132217279344705</c:v>
                </c:pt>
                <c:pt idx="73">
                  <c:v>0.133854315006814</c:v>
                </c:pt>
                <c:pt idx="74">
                  <c:v>0.135486525436149</c:v>
                </c:pt>
                <c:pt idx="75">
                  <c:v>0.137113953346802</c:v>
                </c:pt>
                <c:pt idx="76">
                  <c:v>0.138736638736224</c:v>
                </c:pt>
                <c:pt idx="77">
                  <c:v>0.140354619111847</c:v>
                </c:pt>
                <c:pt idx="78">
                  <c:v>0.141967929699939</c:v>
                </c:pt>
                <c:pt idx="79">
                  <c:v>0.1435766036379</c:v>
                </c:pt>
                <c:pt idx="80">
                  <c:v>0.145180672151156</c:v>
                </c:pt>
                <c:pt idx="81">
                  <c:v>0.14678016471574</c:v>
                </c:pt>
                <c:pt idx="82">
                  <c:v>0.148375109207606</c:v>
                </c:pt>
                <c:pt idx="83">
                  <c:v>0.149965532039656</c:v>
                </c:pt>
                <c:pt idx="84">
                  <c:v>0.151551458287387</c:v>
                </c:pt>
                <c:pt idx="85">
                  <c:v>0.153132911804047</c:v>
                </c:pt>
                <c:pt idx="86">
                  <c:v>0.154709915326089</c:v>
                </c:pt>
                <c:pt idx="87">
                  <c:v>0.156282490569695</c:v>
                </c:pt>
                <c:pt idx="88">
                  <c:v>0.157850658319064</c:v>
                </c:pt>
                <c:pt idx="89">
                  <c:v>0.159414438507134</c:v>
                </c:pt>
                <c:pt idx="90">
                  <c:v>0.160973850289333</c:v>
                </c:pt>
                <c:pt idx="91">
                  <c:v>0.162528912110949</c:v>
                </c:pt>
                <c:pt idx="92">
                  <c:v>0.164079641768612</c:v>
                </c:pt>
                <c:pt idx="93">
                  <c:v>0.165626056466409</c:v>
                </c:pt>
                <c:pt idx="94">
                  <c:v>0.167168172867053</c:v>
                </c:pt>
                <c:pt idx="95">
                  <c:v>0.168706007138537</c:v>
                </c:pt>
                <c:pt idx="96">
                  <c:v>0.170239574996649</c:v>
                </c:pt>
                <c:pt idx="97">
                  <c:v>0.171768891743702</c:v>
                </c:pt>
                <c:pt idx="98">
                  <c:v>0.173293972303804</c:v>
                </c:pt>
                <c:pt idx="99">
                  <c:v>0.174814831254964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Model!$I$1</c:f>
              <c:strCache>
                <c:ptCount val="1"/>
                <c:pt idx="0">
                  <c:v>HIV+ve &amp; +ve baby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Model!$I$2:$I$101</c:f>
              <c:numCache>
                <c:formatCode>0.00%</c:formatCode>
                <c:ptCount val="100"/>
                <c:pt idx="0">
                  <c:v>4.7634684167224E-5</c:v>
                </c:pt>
                <c:pt idx="1">
                  <c:v>0.000180213490703686</c:v>
                </c:pt>
                <c:pt idx="2">
                  <c:v>0.000383906335032086</c:v>
                </c:pt>
                <c:pt idx="3">
                  <c:v>0.000646856957774455</c:v>
                </c:pt>
                <c:pt idx="4">
                  <c:v>0.000958918878460462</c:v>
                </c:pt>
                <c:pt idx="5">
                  <c:v>0.00131142526017471</c:v>
                </c:pt>
                <c:pt idx="6">
                  <c:v>0.00169698845081827</c:v>
                </c:pt>
                <c:pt idx="7">
                  <c:v>0.00210932548461568</c:v>
                </c:pt>
                <c:pt idx="8">
                  <c:v>0.00254310628308358</c:v>
                </c:pt>
                <c:pt idx="9">
                  <c:v>0.00299382169530972</c:v>
                </c:pt>
                <c:pt idx="10">
                  <c:v>0.00345766886961557</c:v>
                </c:pt>
                <c:pt idx="11">
                  <c:v>0.00393145175826505</c:v>
                </c:pt>
                <c:pt idx="12">
                  <c:v>0.00441249482892863</c:v>
                </c:pt>
                <c:pt idx="13">
                  <c:v>0.00489856829560568</c:v>
                </c:pt>
                <c:pt idx="14">
                  <c:v>0.00538782339160751</c:v>
                </c:pt>
                <c:pt idx="15">
                  <c:v>0.00587873639150029</c:v>
                </c:pt>
                <c:pt idx="16">
                  <c:v>0.00637006025067617</c:v>
                </c:pt>
                <c:pt idx="17">
                  <c:v>0.00686078287317369</c:v>
                </c:pt>
                <c:pt idx="18">
                  <c:v>0.00735009114289509</c:v>
                </c:pt>
                <c:pt idx="19">
                  <c:v>0.00783733996257059</c:v>
                </c:pt>
                <c:pt idx="20">
                  <c:v>0.00832202564055389</c:v>
                </c:pt>
                <c:pt idx="21">
                  <c:v>0.00880376304943029</c:v>
                </c:pt>
                <c:pt idx="22">
                  <c:v>0.00928226605391531</c:v>
                </c:pt>
                <c:pt idx="23">
                  <c:v>0.00975733076988582</c:v>
                </c:pt>
                <c:pt idx="24">
                  <c:v>0.0102288212727256</c:v>
                </c:pt>
                <c:pt idx="25">
                  <c:v>0.010696657422469</c:v>
                </c:pt>
                <c:pt idx="26">
                  <c:v>0.011160804516346</c:v>
                </c:pt>
                <c:pt idx="27">
                  <c:v>0.0116212645170322</c:v>
                </c:pt>
                <c:pt idx="28">
                  <c:v>0.0120780686378514</c:v>
                </c:pt>
                <c:pt idx="29">
                  <c:v>0.0125312710949529</c:v>
                </c:pt>
                <c:pt idx="30">
                  <c:v>0.0129809438616106</c:v>
                </c:pt>
                <c:pt idx="31">
                  <c:v>0.0134271722817064</c:v>
                </c:pt>
                <c:pt idx="32">
                  <c:v>0.0138700514185832</c:v>
                </c:pt>
                <c:pt idx="33">
                  <c:v>0.0143096830321073</c:v>
                </c:pt>
                <c:pt idx="34">
                  <c:v>0.0147461730913016</c:v>
                </c:pt>
                <c:pt idx="35">
                  <c:v>0.0151796297425383</c:v>
                </c:pt>
                <c:pt idx="36">
                  <c:v>0.0156101616642746</c:v>
                </c:pt>
                <c:pt idx="37">
                  <c:v>0.0160378767488702</c:v>
                </c:pt>
                <c:pt idx="38">
                  <c:v>0.0164628810603222</c:v>
                </c:pt>
                <c:pt idx="39">
                  <c:v>0.0168852780239616</c:v>
                </c:pt>
                <c:pt idx="40">
                  <c:v>0.0173051678104015</c:v>
                </c:pt>
                <c:pt idx="41">
                  <c:v>0.0177226468814422</c:v>
                </c:pt>
                <c:pt idx="42">
                  <c:v>0.0181378076703266</c:v>
                </c:pt>
                <c:pt idx="43">
                  <c:v>0.0185507383727913</c:v>
                </c:pt>
                <c:pt idx="44">
                  <c:v>0.0189615228288656</c:v>
                </c:pt>
                <c:pt idx="45">
                  <c:v>0.0193702404783868</c:v>
                </c:pt>
                <c:pt idx="46">
                  <c:v>0.0197769663758116</c:v>
                </c:pt>
                <c:pt idx="47">
                  <c:v>0.0201817712521421</c:v>
                </c:pt>
                <c:pt idx="48">
                  <c:v>0.0205847216137148</c:v>
                </c:pt>
                <c:pt idx="49">
                  <c:v>0.0209858798692543</c:v>
                </c:pt>
                <c:pt idx="50">
                  <c:v>0.0213853044780122</c:v>
                </c:pt>
                <c:pt idx="51">
                  <c:v>0.0217830501130253</c:v>
                </c:pt>
                <c:pt idx="52">
                  <c:v>0.0221791678345595</c:v>
                </c:pt>
                <c:pt idx="53">
                  <c:v>0.0225737052696943</c:v>
                </c:pt>
                <c:pt idx="54">
                  <c:v>0.0229667067947445</c:v>
                </c:pt>
                <c:pt idx="55">
                  <c:v>0.0233582137178589</c:v>
                </c:pt>
                <c:pt idx="56">
                  <c:v>0.0237482644596688</c:v>
                </c:pt>
                <c:pt idx="57">
                  <c:v>0.0241368947303139</c:v>
                </c:pt>
                <c:pt idx="58">
                  <c:v>0.0245241377015518</c:v>
                </c:pt>
                <c:pt idx="59">
                  <c:v>0.0249100241729794</c:v>
                </c:pt>
                <c:pt idx="60">
                  <c:v>0.0252945827316523</c:v>
                </c:pt>
                <c:pt idx="61">
                  <c:v>0.0256778399046168</c:v>
                </c:pt>
                <c:pt idx="62">
                  <c:v>0.0260598203040401</c:v>
                </c:pt>
                <c:pt idx="63">
                  <c:v>0.0264405467647793</c:v>
                </c:pt>
                <c:pt idx="64">
                  <c:v>0.0268200404743454</c:v>
                </c:pt>
                <c:pt idx="65">
                  <c:v>0.0271983210953143</c:v>
                </c:pt>
                <c:pt idx="66">
                  <c:v>0.0275754068803152</c:v>
                </c:pt>
                <c:pt idx="67">
                  <c:v>0.0279513147797818</c:v>
                </c:pt>
                <c:pt idx="68">
                  <c:v>0.0283260605427009</c:v>
                </c:pt>
                <c:pt idx="69">
                  <c:v>0.0286996588106216</c:v>
                </c:pt>
                <c:pt idx="70">
                  <c:v>0.0290721232052166</c:v>
                </c:pt>
                <c:pt idx="71">
                  <c:v>0.0294434664096966</c:v>
                </c:pt>
                <c:pt idx="72">
                  <c:v>0.0298137002443942</c:v>
                </c:pt>
                <c:pt idx="73">
                  <c:v>0.0301828357368307</c:v>
                </c:pt>
                <c:pt idx="74">
                  <c:v>0.0305508831865827</c:v>
                </c:pt>
                <c:pt idx="75">
                  <c:v>0.0309178522252592</c:v>
                </c:pt>
                <c:pt idx="76">
                  <c:v>0.0312837518718936</c:v>
                </c:pt>
                <c:pt idx="77">
                  <c:v>0.0316485905840439</c:v>
                </c:pt>
                <c:pt idx="78">
                  <c:v>0.0320123763048882</c:v>
                </c:pt>
                <c:pt idx="79">
                  <c:v>0.0323751165065854</c:v>
                </c:pt>
                <c:pt idx="80">
                  <c:v>0.0327368182301627</c:v>
                </c:pt>
                <c:pt idx="81">
                  <c:v>0.0330974881221766</c:v>
                </c:pt>
                <c:pt idx="82">
                  <c:v>0.0334571324683818</c:v>
                </c:pt>
                <c:pt idx="83">
                  <c:v>0.0338157572246283</c:v>
                </c:pt>
                <c:pt idx="84">
                  <c:v>0.0341733680451951</c:v>
                </c:pt>
                <c:pt idx="85">
                  <c:v>0.0345299703087556</c:v>
                </c:pt>
                <c:pt idx="86">
                  <c:v>0.0348855691421573</c:v>
                </c:pt>
                <c:pt idx="87">
                  <c:v>0.0352401694421861</c:v>
                </c:pt>
                <c:pt idx="88">
                  <c:v>0.0355937758954753</c:v>
                </c:pt>
                <c:pt idx="89">
                  <c:v>0.0359463929967066</c:v>
                </c:pt>
                <c:pt idx="90">
                  <c:v>0.0362980250652418</c:v>
                </c:pt>
                <c:pt idx="91">
                  <c:v>0.036648676260312</c:v>
                </c:pt>
                <c:pt idx="92">
                  <c:v>0.0369983505948831</c:v>
                </c:pt>
                <c:pt idx="93">
                  <c:v>0.037347051948308</c:v>
                </c:pt>
                <c:pt idx="94">
                  <c:v>0.037694784077865</c:v>
                </c:pt>
                <c:pt idx="95">
                  <c:v>0.038041550629278</c:v>
                </c:pt>
                <c:pt idx="96">
                  <c:v>0.0383873551463032</c:v>
                </c:pt>
                <c:pt idx="97">
                  <c:v>0.0387322010794623</c:v>
                </c:pt>
                <c:pt idx="98">
                  <c:v>0.0390760917939951</c:v>
                </c:pt>
                <c:pt idx="99">
                  <c:v>0.0394190305770997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351608"/>
        <c:axId val="608186440"/>
      </c:lineChart>
      <c:catAx>
        <c:axId val="6113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45064737019604"/>
              <c:y val="0.892157480314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186440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08186440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30353817504655"/>
              <c:y val="0.3431376189916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351608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D2D2A8" mc:Ignorable="a14" a14:legacySpreadsheetColorIndex="26">
                <a:gamma/>
                <a:shade val="82353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634422792123"/>
          <c:y val="0.212418380538254"/>
          <c:w val="0.240223317057435"/>
          <c:h val="0.14052297567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13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Unsuccessful Pregnancy</a:t>
            </a:r>
          </a:p>
        </c:rich>
      </c:tx>
      <c:layout>
        <c:manualLayout>
          <c:xMode val="edge"/>
          <c:yMode val="edge"/>
          <c:x val="0.205936920222635"/>
          <c:y val="0.032786885245901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67717996289"/>
          <c:y val="0.177049180327869"/>
          <c:w val="0.831168831168831"/>
          <c:h val="0.613114754098361"/>
        </c:manualLayout>
      </c:layout>
      <c:lineChart>
        <c:grouping val="standard"/>
        <c:varyColors val="0"/>
        <c:ser>
          <c:idx val="1"/>
          <c:order val="0"/>
          <c:tx>
            <c:strRef>
              <c:f>Model!$O$1</c:f>
              <c:strCache>
                <c:ptCount val="1"/>
                <c:pt idx="0">
                  <c:v>HIV-ve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Model!$O$2:$O$101</c:f>
              <c:numCache>
                <c:formatCode>0.00%</c:formatCode>
                <c:ptCount val="100"/>
                <c:pt idx="0">
                  <c:v>0.903369192122997</c:v>
                </c:pt>
                <c:pt idx="1">
                  <c:v>0.817165219377675</c:v>
                </c:pt>
                <c:pt idx="2">
                  <c:v>0.740259630879035</c:v>
                </c:pt>
                <c:pt idx="3">
                  <c:v>0.671646112314556</c:v>
                </c:pt>
                <c:pt idx="4">
                  <c:v>0.610427266608506</c:v>
                </c:pt>
                <c:pt idx="5">
                  <c:v>0.555802825368536</c:v>
                </c:pt>
                <c:pt idx="6">
                  <c:v>0.507059136255198</c:v>
                </c:pt>
                <c:pt idx="7">
                  <c:v>0.463559788176078</c:v>
                </c:pt>
                <c:pt idx="8">
                  <c:v>0.424737251153157</c:v>
                </c:pt>
                <c:pt idx="9">
                  <c:v>0.390085421041234</c:v>
                </c:pt>
                <c:pt idx="10">
                  <c:v>0.35915297116168</c:v>
                </c:pt>
                <c:pt idx="11">
                  <c:v>0.331537423515826</c:v>
                </c:pt>
                <c:pt idx="12">
                  <c:v>0.306879861694958</c:v>
                </c:pt>
                <c:pt idx="13">
                  <c:v>0.284860216033493</c:v>
                </c:pt>
                <c:pt idx="14">
                  <c:v>0.265193059069141</c:v>
                </c:pt>
                <c:pt idx="15">
                  <c:v>0.247623856077451</c:v>
                </c:pt>
                <c:pt idx="16">
                  <c:v>0.231925621426208</c:v>
                </c:pt>
                <c:pt idx="17">
                  <c:v>0.217895936826136</c:v>
                </c:pt>
                <c:pt idx="18">
                  <c:v>0.205354292308426</c:v>
                </c:pt>
                <c:pt idx="19">
                  <c:v>0.194139714999033</c:v>
                </c:pt>
                <c:pt idx="20">
                  <c:v>0.184108654540345</c:v>
                </c:pt>
                <c:pt idx="21">
                  <c:v>0.175133097382238</c:v>
                </c:pt>
                <c:pt idx="22">
                  <c:v>0.167098885171046</c:v>
                </c:pt>
                <c:pt idx="23">
                  <c:v>0.159904215146119</c:v>
                </c:pt>
                <c:pt idx="24">
                  <c:v>0.153458302844522</c:v>
                </c:pt>
                <c:pt idx="25">
                  <c:v>0.147680189546644</c:v>
                </c:pt>
                <c:pt idx="26">
                  <c:v>0.142497678796783</c:v>
                </c:pt>
                <c:pt idx="27">
                  <c:v>0.13784638802843</c:v>
                </c:pt>
                <c:pt idx="28">
                  <c:v>0.133668902835986</c:v>
                </c:pt>
                <c:pt idx="29">
                  <c:v>0.129914022783078</c:v>
                </c:pt>
                <c:pt idx="30">
                  <c:v>0.126536088840098</c:v>
                </c:pt>
                <c:pt idx="31">
                  <c:v>0.1234943836159</c:v>
                </c:pt>
                <c:pt idx="32">
                  <c:v>0.120752596504854</c:v>
                </c:pt>
                <c:pt idx="33">
                  <c:v>0.118278346723194</c:v>
                </c:pt>
                <c:pt idx="34">
                  <c:v>0.116042757969082</c:v>
                </c:pt>
                <c:pt idx="35">
                  <c:v>0.114020079118927</c:v>
                </c:pt>
                <c:pt idx="36">
                  <c:v>0.112187345977289</c:v>
                </c:pt>
                <c:pt idx="37">
                  <c:v>0.110524079636946</c:v>
                </c:pt>
                <c:pt idx="38">
                  <c:v>0.109012017486685</c:v>
                </c:pt>
                <c:pt idx="39">
                  <c:v>0.107634873333202</c:v>
                </c:pt>
                <c:pt idx="40">
                  <c:v>0.106378123485978</c:v>
                </c:pt>
                <c:pt idx="41">
                  <c:v>0.10522881599506</c:v>
                </c:pt>
                <c:pt idx="42">
                  <c:v>0.104175400535806</c:v>
                </c:pt>
                <c:pt idx="43">
                  <c:v>0.103207576705889</c:v>
                </c:pt>
                <c:pt idx="44">
                  <c:v>0.102316158741735</c:v>
                </c:pt>
                <c:pt idx="45">
                  <c:v>0.101492954877242</c:v>
                </c:pt>
                <c:pt idx="46">
                  <c:v>0.100730659759999</c:v>
                </c:pt>
                <c:pt idx="47">
                  <c:v>0.100022758511727</c:v>
                </c:pt>
                <c:pt idx="48">
                  <c:v>0.0993634411726434</c:v>
                </c:pt>
                <c:pt idx="49">
                  <c:v>0.0987475264058688</c:v>
                </c:pt>
                <c:pt idx="50">
                  <c:v>0.0981703934596006</c:v>
                </c:pt>
                <c:pt idx="51">
                  <c:v>0.0976279214933037</c:v>
                </c:pt>
                <c:pt idx="52">
                  <c:v>0.0971164354708677</c:v>
                </c:pt>
                <c:pt idx="53">
                  <c:v>0.0966326579099672</c:v>
                </c:pt>
                <c:pt idx="54">
                  <c:v>0.0961736658537824</c:v>
                </c:pt>
                <c:pt idx="55">
                  <c:v>0.0957368524998424</c:v>
                </c:pt>
                <c:pt idx="56">
                  <c:v>0.0953198929819342</c:v>
                </c:pt>
                <c:pt idx="57">
                  <c:v>0.0949207138555718</c:v>
                </c:pt>
                <c:pt idx="58">
                  <c:v>0.0945374658861753</c:v>
                </c:pt>
                <c:pt idx="59">
                  <c:v>0.0941684997824944</c:v>
                </c:pt>
                <c:pt idx="60">
                  <c:v>0.0938123445564998</c:v>
                </c:pt>
                <c:pt idx="61">
                  <c:v>0.0934676882254705</c:v>
                </c:pt>
                <c:pt idx="62">
                  <c:v>0.0931333606027695</c:v>
                </c:pt>
                <c:pt idx="63">
                  <c:v>0.0928083179512439</c:v>
                </c:pt>
                <c:pt idx="64">
                  <c:v>0.0924916292976465</c:v>
                </c:pt>
                <c:pt idx="65">
                  <c:v>0.0921824642283023</c:v>
                </c:pt>
                <c:pt idx="66">
                  <c:v>0.091880082005698</c:v>
                </c:pt>
                <c:pt idx="67">
                  <c:v>0.0915838218630252</c:v>
                </c:pt>
                <c:pt idx="68">
                  <c:v>0.0912930943491832</c:v>
                </c:pt>
                <c:pt idx="69">
                  <c:v>0.0910073736105459</c:v>
                </c:pt>
                <c:pt idx="70">
                  <c:v>0.0907261905081023</c:v>
                </c:pt>
                <c:pt idx="71">
                  <c:v>0.090449126479556</c:v>
                </c:pt>
                <c:pt idx="72">
                  <c:v>0.0901758080657523</c:v>
                </c:pt>
                <c:pt idx="73">
                  <c:v>0.0899059020295314</c:v>
                </c:pt>
                <c:pt idx="74">
                  <c:v>0.0896391110028857</c:v>
                </c:pt>
                <c:pt idx="75">
                  <c:v>0.0893751696052422</c:v>
                </c:pt>
                <c:pt idx="76">
                  <c:v>0.0891138409818768</c:v>
                </c:pt>
                <c:pt idx="77">
                  <c:v>0.0888549137169889</c:v>
                </c:pt>
                <c:pt idx="78">
                  <c:v>0.0885981990808849</c:v>
                </c:pt>
                <c:pt idx="79">
                  <c:v>0.0883435285751084</c:v>
                </c:pt>
                <c:pt idx="80">
                  <c:v>0.08809075174327</c:v>
                </c:pt>
                <c:pt idx="81">
                  <c:v>0.0878397342188178</c:v>
                </c:pt>
                <c:pt idx="82">
                  <c:v>0.0875903559841046</c:v>
                </c:pt>
                <c:pt idx="83">
                  <c:v>0.0873425098178814</c:v>
                </c:pt>
                <c:pt idx="84">
                  <c:v>0.0870960999108241</c:v>
                </c:pt>
                <c:pt idx="85">
                  <c:v>0.0868510406309052</c:v>
                </c:pt>
                <c:pt idx="86">
                  <c:v>0.0866072554223932</c:v>
                </c:pt>
                <c:pt idx="87">
                  <c:v>0.0863646758240168</c:v>
                </c:pt>
                <c:pt idx="88">
                  <c:v>0.0861232405933944</c:v>
                </c:pt>
                <c:pt idx="89">
                  <c:v>0.0858828949262304</c:v>
                </c:pt>
                <c:pt idx="90">
                  <c:v>0.0856435897600179</c:v>
                </c:pt>
                <c:pt idx="91">
                  <c:v>0.0854052811531047</c:v>
                </c:pt>
                <c:pt idx="92">
                  <c:v>0.0851679297309623</c:v>
                </c:pt>
                <c:pt idx="93">
                  <c:v>0.084931500192388</c:v>
                </c:pt>
                <c:pt idx="94">
                  <c:v>0.0846959608691491</c:v>
                </c:pt>
                <c:pt idx="95">
                  <c:v>0.0844612833332895</c:v>
                </c:pt>
                <c:pt idx="96">
                  <c:v>0.0842274420469357</c:v>
                </c:pt>
                <c:pt idx="97">
                  <c:v>0.0839944140500053</c:v>
                </c:pt>
                <c:pt idx="98">
                  <c:v>0.0837621786817148</c:v>
                </c:pt>
                <c:pt idx="99">
                  <c:v>0.0835307173322277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Model!$P$1</c:f>
              <c:strCache>
                <c:ptCount val="1"/>
                <c:pt idx="0">
                  <c:v>HIV+ve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Model!$P$2:$P$101</c:f>
              <c:numCache>
                <c:formatCode>0.00%</c:formatCode>
                <c:ptCount val="100"/>
                <c:pt idx="0">
                  <c:v>0.00249111584691729</c:v>
                </c:pt>
                <c:pt idx="1">
                  <c:v>0.00451301635487133</c:v>
                </c:pt>
                <c:pt idx="2">
                  <c:v>0.00614088582387461</c:v>
                </c:pt>
                <c:pt idx="3">
                  <c:v>0.00743918118588235</c:v>
                </c:pt>
                <c:pt idx="4">
                  <c:v>0.00846306703914355</c:v>
                </c:pt>
                <c:pt idx="5">
                  <c:v>0.00925966638397069</c:v>
                </c:pt>
                <c:pt idx="6">
                  <c:v>0.0098691500725613</c:v>
                </c:pt>
                <c:pt idx="7">
                  <c:v>0.0103256851705294</c:v>
                </c:pt>
                <c:pt idx="8">
                  <c:v>0.0106582599517964</c:v>
                </c:pt>
                <c:pt idx="9">
                  <c:v>0.0108914010711429</c:v>
                </c:pt>
                <c:pt idx="10">
                  <c:v>0.0110457965444584</c:v>
                </c:pt>
                <c:pt idx="11">
                  <c:v>0.0111388364841737</c:v>
                </c:pt>
                <c:pt idx="12">
                  <c:v>0.0111850820588487</c:v>
                </c:pt>
                <c:pt idx="13">
                  <c:v>0.0111966718470097</c:v>
                </c:pt>
                <c:pt idx="14">
                  <c:v>0.0111836736145677</c:v>
                </c:pt>
                <c:pt idx="15">
                  <c:v>0.0111543885435423</c:v>
                </c:pt>
                <c:pt idx="16">
                  <c:v>0.0111156140606318</c:v>
                </c:pt>
                <c:pt idx="17">
                  <c:v>0.0110728706426886</c:v>
                </c:pt>
                <c:pt idx="18">
                  <c:v>0.0110305972993852</c:v>
                </c:pt>
                <c:pt idx="19">
                  <c:v>0.0109923198398638</c:v>
                </c:pt>
                <c:pt idx="20">
                  <c:v>0.0109607955098673</c:v>
                </c:pt>
                <c:pt idx="21">
                  <c:v>0.0109381371298897</c:v>
                </c:pt>
                <c:pt idx="22">
                  <c:v>0.0109259194654403</c:v>
                </c:pt>
                <c:pt idx="23">
                  <c:v>0.0109252702107214</c:v>
                </c:pt>
                <c:pt idx="24">
                  <c:v>0.0109369476608105</c:v>
                </c:pt>
                <c:pt idx="25">
                  <c:v>0.0109614068795076</c:v>
                </c:pt>
                <c:pt idx="26">
                  <c:v>0.01099885593565</c:v>
                </c:pt>
                <c:pt idx="27">
                  <c:v>0.0110493035758151</c:v>
                </c:pt>
                <c:pt idx="28">
                  <c:v>0.0111125995222806</c:v>
                </c:pt>
                <c:pt idx="29">
                  <c:v>0.0111884684287267</c:v>
                </c:pt>
                <c:pt idx="30">
                  <c:v>0.0112765383896306</c:v>
                </c:pt>
                <c:pt idx="31">
                  <c:v>0.0113763647801716</c:v>
                </c:pt>
                <c:pt idx="32">
                  <c:v>0.0114874500995729</c:v>
                </c:pt>
                <c:pt idx="33">
                  <c:v>0.0116092604002491</c:v>
                </c:pt>
                <c:pt idx="34">
                  <c:v>0.0117412388062536</c:v>
                </c:pt>
                <c:pt idx="35">
                  <c:v>0.0118828165558529</c:v>
                </c:pt>
                <c:pt idx="36">
                  <c:v>0.0120334219433225</c:v>
                </c:pt>
                <c:pt idx="37">
                  <c:v>0.0121924874831287</c:v>
                </c:pt>
                <c:pt idx="38">
                  <c:v>0.0123594555745537</c:v>
                </c:pt>
                <c:pt idx="39">
                  <c:v>0.0125337829056625</c:v>
                </c:pt>
                <c:pt idx="40">
                  <c:v>0.0127149438015534</c:v>
                </c:pt>
                <c:pt idx="41">
                  <c:v>0.0129024326924068</c:v>
                </c:pt>
                <c:pt idx="42">
                  <c:v>0.0130957658513708</c:v>
                </c:pt>
                <c:pt idx="43">
                  <c:v>0.0132944825302896</c:v>
                </c:pt>
                <c:pt idx="44">
                  <c:v>0.0134981456022472</c:v>
                </c:pt>
                <c:pt idx="45">
                  <c:v>0.0137063418034684</c:v>
                </c:pt>
                <c:pt idx="46">
                  <c:v>0.0139186816529637</c:v>
                </c:pt>
                <c:pt idx="47">
                  <c:v>0.0141347991161139</c:v>
                </c:pt>
                <c:pt idx="48">
                  <c:v>0.0143543510679136</c:v>
                </c:pt>
                <c:pt idx="49">
                  <c:v>0.0145770166026007</c:v>
                </c:pt>
                <c:pt idx="50">
                  <c:v>0.0148024962286912</c:v>
                </c:pt>
                <c:pt idx="51">
                  <c:v>0.0150305109818475</c:v>
                </c:pt>
                <c:pt idx="52">
                  <c:v>0.0152608014823807</c:v>
                </c:pt>
                <c:pt idx="53">
                  <c:v>0.015493126959392</c:v>
                </c:pt>
                <c:pt idx="54">
                  <c:v>0.0157272642594828</c:v>
                </c:pt>
                <c:pt idx="55">
                  <c:v>0.0159630068545087</c:v>
                </c:pt>
                <c:pt idx="56">
                  <c:v>0.0162001638599303</c:v>
                </c:pt>
                <c:pt idx="57">
                  <c:v>0.016438559072853</c:v>
                </c:pt>
                <c:pt idx="58">
                  <c:v>0.0166780300367812</c:v>
                </c:pt>
                <c:pt idx="59">
                  <c:v>0.0169184271383824</c:v>
                </c:pt>
                <c:pt idx="60">
                  <c:v>0.0171596127401179</c:v>
                </c:pt>
                <c:pt idx="61">
                  <c:v>0.0174014603514057</c:v>
                </c:pt>
                <c:pt idx="62">
                  <c:v>0.0176438538399994</c:v>
                </c:pt>
                <c:pt idx="63">
                  <c:v>0.0178866866844647</c:v>
                </c:pt>
                <c:pt idx="64">
                  <c:v>0.018129861267989</c:v>
                </c:pt>
                <c:pt idx="65">
                  <c:v>0.0183732882132337</c:v>
                </c:pt>
                <c:pt idx="66">
                  <c:v>0.0186168857575333</c:v>
                </c:pt>
                <c:pt idx="67">
                  <c:v>0.0188605791674202</c:v>
                </c:pt>
                <c:pt idx="68">
                  <c:v>0.0191043001912128</c:v>
                </c:pt>
                <c:pt idx="69">
                  <c:v>0.0193479865482239</c:v>
                </c:pt>
                <c:pt idx="70">
                  <c:v>0.0195915814530199</c:v>
                </c:pt>
                <c:pt idx="71">
                  <c:v>0.0198350331730765</c:v>
                </c:pt>
                <c:pt idx="72">
                  <c:v>0.0200782946181316</c:v>
                </c:pt>
                <c:pt idx="73">
                  <c:v>0.0203213229595156</c:v>
                </c:pt>
                <c:pt idx="74">
                  <c:v>0.0205640792777451</c:v>
                </c:pt>
                <c:pt idx="75">
                  <c:v>0.0208065282366896</c:v>
                </c:pt>
                <c:pt idx="76">
                  <c:v>0.0210486377826595</c:v>
                </c:pt>
                <c:pt idx="77">
                  <c:v>0.0212903788668116</c:v>
                </c:pt>
                <c:pt idx="78">
                  <c:v>0.0215317251893277</c:v>
                </c:pt>
                <c:pt idx="79">
                  <c:v>0.021772652963885</c:v>
                </c:pt>
                <c:pt idx="80">
                  <c:v>0.0220131407010039</c:v>
                </c:pt>
                <c:pt idx="81">
                  <c:v>0.02225316900893</c:v>
                </c:pt>
                <c:pt idx="82">
                  <c:v>0.0224927204107794</c:v>
                </c:pt>
                <c:pt idx="83">
                  <c:v>0.0227317791767449</c:v>
                </c:pt>
                <c:pt idx="84">
                  <c:v>0.0229703311702344</c:v>
                </c:pt>
                <c:pt idx="85">
                  <c:v>0.0232083637068813</c:v>
                </c:pt>
                <c:pt idx="86">
                  <c:v>0.0234458654254332</c:v>
                </c:pt>
                <c:pt idx="87">
                  <c:v>0.0236828261695908</c:v>
                </c:pt>
                <c:pt idx="88">
                  <c:v>0.0239192368799334</c:v>
                </c:pt>
                <c:pt idx="89">
                  <c:v>0.0241550894951229</c:v>
                </c:pt>
                <c:pt idx="90">
                  <c:v>0.0243903768616408</c:v>
                </c:pt>
                <c:pt idx="91">
                  <c:v>0.0246250926513605</c:v>
                </c:pt>
                <c:pt idx="92">
                  <c:v>0.0248592312863139</c:v>
                </c:pt>
                <c:pt idx="93">
                  <c:v>0.025092787870055</c:v>
                </c:pt>
                <c:pt idx="94">
                  <c:v>0.025325758125071</c:v>
                </c:pt>
                <c:pt idx="95">
                  <c:v>0.0255581383357316</c:v>
                </c:pt>
                <c:pt idx="96">
                  <c:v>0.0257899252963098</c:v>
                </c:pt>
                <c:pt idx="97">
                  <c:v>0.0260211162636395</c:v>
                </c:pt>
                <c:pt idx="98">
                  <c:v>0.0262517089140158</c:v>
                </c:pt>
                <c:pt idx="99">
                  <c:v>0.0264817013039691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239592"/>
        <c:axId val="608248232"/>
      </c:lineChart>
      <c:catAx>
        <c:axId val="60823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52690166975881"/>
              <c:y val="0.891803278688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4823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0824823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2987012987013"/>
              <c:y val="0.3442622950819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239592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C2C29B" mc:Ignorable="a14" a14:legacySpreadsheetColorIndex="26">
                <a:gamma/>
                <a:shade val="7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168831168831"/>
          <c:y val="0.216393442622951"/>
          <c:w val="0.128014842300557"/>
          <c:h val="0.09508196721311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189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Outcome probabilities after N sex acts</a:t>
            </a:r>
          </a:p>
        </c:rich>
      </c:tx>
      <c:layout>
        <c:manualLayout>
          <c:xMode val="edge"/>
          <c:yMode val="edge"/>
          <c:x val="0.248201297229933"/>
          <c:y val="0.1143790849673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892027099597"/>
          <c:y val="0.320261693427745"/>
          <c:w val="0.571942194902293"/>
          <c:h val="0.41176503440710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Interface!$B$29:$F$29</c:f>
              <c:strCache>
                <c:ptCount val="5"/>
                <c:pt idx="0">
                  <c:v>HIV-ve &amp; baby</c:v>
                </c:pt>
                <c:pt idx="1">
                  <c:v>HIV+ve &amp; -ve baby</c:v>
                </c:pt>
                <c:pt idx="2">
                  <c:v>HIV+ve &amp; +ve baby</c:v>
                </c:pt>
                <c:pt idx="3">
                  <c:v>HIV-ve</c:v>
                </c:pt>
                <c:pt idx="4">
                  <c:v>HIV+ve</c:v>
                </c:pt>
              </c:strCache>
            </c:strRef>
          </c:cat>
          <c:val>
            <c:numRef>
              <c:f>Interface!$B$30:$F$30</c:f>
              <c:numCache>
                <c:formatCode>General</c:formatCode>
                <c:ptCount val="5"/>
                <c:pt idx="0">
                  <c:v>0.755501147003392</c:v>
                </c:pt>
                <c:pt idx="1">
                  <c:v>0.108759219372099</c:v>
                </c:pt>
                <c:pt idx="2">
                  <c:v>0.0245241377015518</c:v>
                </c:pt>
                <c:pt idx="3">
                  <c:v>0.0945374658861753</c:v>
                </c:pt>
                <c:pt idx="4">
                  <c:v>0.0166780300367812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942021186201"/>
          <c:y val="0.297385878235809"/>
          <c:w val="0.172661728884609"/>
          <c:h val="0.4411767279090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76765E" mc:Ignorable="a14" a14:legacySpreadsheetColorIndex="26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P(CONCEPTION)_ANNUAL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Lit>
              <c:formatCode>General</c:formatCode>
              <c:ptCount val="5"/>
              <c:pt idx="0">
                <c:v>21.5</c:v>
              </c:pt>
              <c:pt idx="1">
                <c:v>28.0</c:v>
              </c:pt>
              <c:pt idx="2">
                <c:v>33.0</c:v>
              </c:pt>
              <c:pt idx="3">
                <c:v>38.0</c:v>
              </c:pt>
              <c:pt idx="4">
                <c:v>43.0</c:v>
              </c:pt>
            </c:numLit>
          </c:cat>
          <c:val>
            <c:numLit>
              <c:formatCode>General</c:formatCode>
              <c:ptCount val="5"/>
              <c:pt idx="0">
                <c:v>0.88</c:v>
              </c:pt>
              <c:pt idx="1">
                <c:v>0.8</c:v>
              </c:pt>
              <c:pt idx="2">
                <c:v>0.65</c:v>
              </c:pt>
              <c:pt idx="3">
                <c:v>0.55</c:v>
              </c:pt>
              <c:pt idx="4">
                <c:v>0.38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62456"/>
        <c:axId val="546065144"/>
      </c:lineChart>
      <c:catAx>
        <c:axId val="54606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065144"/>
        <c:crosses val="autoZero"/>
        <c:auto val="1"/>
        <c:lblAlgn val="ctr"/>
        <c:lblOffset val="100"/>
        <c:noMultiLvlLbl val="0"/>
      </c:catAx>
      <c:valAx>
        <c:axId val="54606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0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Model!$C$11" lockText="1" noThreeD="1"/>
</file>

<file path=xl/ctrlProps/ctrlProp10.xml><?xml version="1.0" encoding="utf-8"?>
<formControlPr xmlns="http://schemas.microsoft.com/office/spreadsheetml/2009/9/main" objectType="Scroll" dx="16" fmlaLink="Model!$D$12" horiz="1" max="27" min="10" page="10" val="25"/>
</file>

<file path=xl/ctrlProps/ctrlProp11.xml><?xml version="1.0" encoding="utf-8"?>
<formControlPr xmlns="http://schemas.microsoft.com/office/spreadsheetml/2009/9/main" objectType="Scroll" dx="16" fmlaLink="Model!$D$13" horiz="1" max="2300" min="200" page="10" val="210"/>
</file>

<file path=xl/ctrlProps/ctrlProp12.xml><?xml version="1.0" encoding="utf-8"?>
<formControlPr xmlns="http://schemas.microsoft.com/office/spreadsheetml/2009/9/main" objectType="Scroll" dx="16" fmlaLink="Model!$D$14" horiz="1" max="846" min="125" page="10" val="125"/>
</file>

<file path=xl/ctrlProps/ctrlProp13.xml><?xml version="1.0" encoding="utf-8"?>
<formControlPr xmlns="http://schemas.microsoft.com/office/spreadsheetml/2009/9/main" objectType="Scroll" dx="16" fmlaLink="Model!$D$15" horiz="1" max="49" min="18" page="10" val="29"/>
</file>

<file path=xl/ctrlProps/ctrlProp14.xml><?xml version="1.0" encoding="utf-8"?>
<formControlPr xmlns="http://schemas.microsoft.com/office/spreadsheetml/2009/9/main" objectType="Scroll" dx="16" fmlaLink="Model!$D$18" horiz="1" max="325" min="184" page="10" val="184"/>
</file>

<file path=xl/ctrlProps/ctrlProp15.xml><?xml version="1.0" encoding="utf-8"?>
<formControlPr xmlns="http://schemas.microsoft.com/office/spreadsheetml/2009/9/main" objectType="CheckBox" fmlaLink="Model!$C$22" lockText="1" noThreeD="1"/>
</file>

<file path=xl/ctrlProps/ctrlProp16.xml><?xml version="1.0" encoding="utf-8"?>
<formControlPr xmlns="http://schemas.microsoft.com/office/spreadsheetml/2009/9/main" objectType="CheckBox" fmlaLink="Model!$C$23" lockText="1" noThreeD="1"/>
</file>

<file path=xl/ctrlProps/ctrlProp17.xml><?xml version="1.0" encoding="utf-8"?>
<formControlPr xmlns="http://schemas.microsoft.com/office/spreadsheetml/2009/9/main" objectType="Scroll" dx="16" fmlaLink="Model!$C$24" horiz="1" inc="5" max="100" min="50" page="10" val="82"/>
</file>

<file path=xl/ctrlProps/ctrlProp18.xml><?xml version="1.0" encoding="utf-8"?>
<formControlPr xmlns="http://schemas.microsoft.com/office/spreadsheetml/2009/9/main" objectType="Scroll" dx="16" fmlaLink="Model!$C$25" horiz="1" max="20" page="10" val="6"/>
</file>

<file path=xl/ctrlProps/ctrlProp2.xml><?xml version="1.0" encoding="utf-8"?>
<formControlPr xmlns="http://schemas.microsoft.com/office/spreadsheetml/2009/9/main" objectType="CheckBox" fmlaLink="Model!$C$12" lockText="1" noThreeD="1"/>
</file>

<file path=xl/ctrlProps/ctrlProp3.xml><?xml version="1.0" encoding="utf-8"?>
<formControlPr xmlns="http://schemas.microsoft.com/office/spreadsheetml/2009/9/main" objectType="CheckBox" fmlaLink="Model!$C$13" lockText="1" noThreeD="1"/>
</file>

<file path=xl/ctrlProps/ctrlProp4.xml><?xml version="1.0" encoding="utf-8"?>
<formControlPr xmlns="http://schemas.microsoft.com/office/spreadsheetml/2009/9/main" objectType="CheckBox" checked="Checked" fmlaLink="Model!$C$14" lockText="1" noThreeD="1"/>
</file>

<file path=xl/ctrlProps/ctrlProp5.xml><?xml version="1.0" encoding="utf-8"?>
<formControlPr xmlns="http://schemas.microsoft.com/office/spreadsheetml/2009/9/main" objectType="CheckBox" fmlaLink="Model!$C$19" lockText="1" noThreeD="1"/>
</file>

<file path=xl/ctrlProps/ctrlProp6.xml><?xml version="1.0" encoding="utf-8"?>
<formControlPr xmlns="http://schemas.microsoft.com/office/spreadsheetml/2009/9/main" objectType="Scroll" dx="16" fmlaLink="Model!$D$10" horiz="1" max="31" min="17" page="10" val="22"/>
</file>

<file path=xl/ctrlProps/ctrlProp7.xml><?xml version="1.0" encoding="utf-8"?>
<formControlPr xmlns="http://schemas.microsoft.com/office/spreadsheetml/2009/9/main" objectType="Scroll" dx="16" fmlaLink="Model!$D$11" horiz="1" max="235" min="129" page="10" val="150"/>
</file>

<file path=xl/ctrlProps/ctrlProp8.xml><?xml version="1.0" encoding="utf-8"?>
<formControlPr xmlns="http://schemas.microsoft.com/office/spreadsheetml/2009/9/main" objectType="Scroll" dx="16" fmlaLink="Model!$D$19" horiz="1" max="60" min="18" page="10" val="39"/>
</file>

<file path=xl/ctrlProps/ctrlProp9.xml><?xml version="1.0" encoding="utf-8"?>
<formControlPr xmlns="http://schemas.microsoft.com/office/spreadsheetml/2009/9/main" objectType="Scroll" dx="16" fmlaLink="Model!$D$24" horiz="1" max="100" min="1" page="10" val="5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127000</xdr:rowOff>
    </xdr:from>
    <xdr:to>
      <xdr:col>28</xdr:col>
      <xdr:colOff>330200</xdr:colOff>
      <xdr:row>22</xdr:row>
      <xdr:rowOff>190500</xdr:rowOff>
    </xdr:to>
    <xdr:graphicFrame macro="">
      <xdr:nvGraphicFramePr>
        <xdr:cNvPr id="113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25</xdr:row>
      <xdr:rowOff>101600</xdr:rowOff>
    </xdr:from>
    <xdr:to>
      <xdr:col>29</xdr:col>
      <xdr:colOff>12700</xdr:colOff>
      <xdr:row>50</xdr:row>
      <xdr:rowOff>76200</xdr:rowOff>
    </xdr:to>
    <xdr:graphicFrame macro="">
      <xdr:nvGraphicFramePr>
        <xdr:cNvPr id="1139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25</xdr:row>
      <xdr:rowOff>76200</xdr:rowOff>
    </xdr:from>
    <xdr:to>
      <xdr:col>10</xdr:col>
      <xdr:colOff>203200</xdr:colOff>
      <xdr:row>50</xdr:row>
      <xdr:rowOff>63500</xdr:rowOff>
    </xdr:to>
    <xdr:graphicFrame macro="">
      <xdr:nvGraphicFramePr>
        <xdr:cNvPr id="1140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5</xdr:row>
          <xdr:rowOff>63500</xdr:rowOff>
        </xdr:from>
        <xdr:to>
          <xdr:col>0</xdr:col>
          <xdr:colOff>1676400</xdr:colOff>
          <xdr:row>6</xdr:row>
          <xdr:rowOff>12700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6</xdr:row>
          <xdr:rowOff>38100</xdr:rowOff>
        </xdr:from>
        <xdr:to>
          <xdr:col>0</xdr:col>
          <xdr:colOff>1676400</xdr:colOff>
          <xdr:row>6</xdr:row>
          <xdr:rowOff>254000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7</xdr:row>
          <xdr:rowOff>50800</xdr:rowOff>
        </xdr:from>
        <xdr:to>
          <xdr:col>0</xdr:col>
          <xdr:colOff>1676400</xdr:colOff>
          <xdr:row>8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8</xdr:row>
          <xdr:rowOff>50800</xdr:rowOff>
        </xdr:from>
        <xdr:to>
          <xdr:col>0</xdr:col>
          <xdr:colOff>1676400</xdr:colOff>
          <xdr:row>9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15</xdr:row>
          <xdr:rowOff>139700</xdr:rowOff>
        </xdr:from>
        <xdr:to>
          <xdr:col>0</xdr:col>
          <xdr:colOff>1676400</xdr:colOff>
          <xdr:row>16</xdr:row>
          <xdr:rowOff>152400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38100</xdr:rowOff>
        </xdr:from>
        <xdr:to>
          <xdr:col>8</xdr:col>
          <xdr:colOff>342900</xdr:colOff>
          <xdr:row>3</xdr:row>
          <xdr:rowOff>63500</xdr:rowOff>
        </xdr:to>
        <xdr:sp macro="" textlink="">
          <xdr:nvSpPr>
            <xdr:cNvPr id="1121" name="Scroll Bar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50800</xdr:rowOff>
        </xdr:from>
        <xdr:to>
          <xdr:col>8</xdr:col>
          <xdr:colOff>342900</xdr:colOff>
          <xdr:row>5</xdr:row>
          <xdr:rowOff>241300</xdr:rowOff>
        </xdr:to>
        <xdr:sp macro="" textlink="">
          <xdr:nvSpPr>
            <xdr:cNvPr id="1125" name="Scroll Bar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63500</xdr:rowOff>
        </xdr:from>
        <xdr:to>
          <xdr:col>8</xdr:col>
          <xdr:colOff>381000</xdr:colOff>
          <xdr:row>17</xdr:row>
          <xdr:rowOff>50800</xdr:rowOff>
        </xdr:to>
        <xdr:sp macro="" textlink="">
          <xdr:nvSpPr>
            <xdr:cNvPr id="1135" name="Scroll Bar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23</xdr:row>
          <xdr:rowOff>12700</xdr:rowOff>
        </xdr:from>
        <xdr:to>
          <xdr:col>8</xdr:col>
          <xdr:colOff>355600</xdr:colOff>
          <xdr:row>24</xdr:row>
          <xdr:rowOff>12700</xdr:rowOff>
        </xdr:to>
        <xdr:sp macro="" textlink="">
          <xdr:nvSpPr>
            <xdr:cNvPr id="1136" name="Scroll Bar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50800</xdr:rowOff>
        </xdr:from>
        <xdr:to>
          <xdr:col>8</xdr:col>
          <xdr:colOff>342900</xdr:colOff>
          <xdr:row>6</xdr:row>
          <xdr:rowOff>241300</xdr:rowOff>
        </xdr:to>
        <xdr:sp macro="" textlink="">
          <xdr:nvSpPr>
            <xdr:cNvPr id="1126" name="Scroll Bar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76200</xdr:rowOff>
        </xdr:from>
        <xdr:to>
          <xdr:col>8</xdr:col>
          <xdr:colOff>342900</xdr:colOff>
          <xdr:row>8</xdr:row>
          <xdr:rowOff>0</xdr:rowOff>
        </xdr:to>
        <xdr:sp macro="" textlink="">
          <xdr:nvSpPr>
            <xdr:cNvPr id="1127" name="Scroll Bar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88900</xdr:rowOff>
        </xdr:from>
        <xdr:to>
          <xdr:col>8</xdr:col>
          <xdr:colOff>342900</xdr:colOff>
          <xdr:row>9</xdr:row>
          <xdr:rowOff>12700</xdr:rowOff>
        </xdr:to>
        <xdr:sp macro="" textlink="">
          <xdr:nvSpPr>
            <xdr:cNvPr id="1134" name="Scroll Bar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12700</xdr:rowOff>
        </xdr:from>
        <xdr:to>
          <xdr:col>8</xdr:col>
          <xdr:colOff>342900</xdr:colOff>
          <xdr:row>12</xdr:row>
          <xdr:rowOff>38100</xdr:rowOff>
        </xdr:to>
        <xdr:sp macro="" textlink="">
          <xdr:nvSpPr>
            <xdr:cNvPr id="1132" name="Scroll Bar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0</xdr:rowOff>
        </xdr:from>
        <xdr:to>
          <xdr:col>8</xdr:col>
          <xdr:colOff>381000</xdr:colOff>
          <xdr:row>15</xdr:row>
          <xdr:rowOff>190500</xdr:rowOff>
        </xdr:to>
        <xdr:sp macro="" textlink="">
          <xdr:nvSpPr>
            <xdr:cNvPr id="1133" name="Scroll Bar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19</xdr:row>
          <xdr:rowOff>12700</xdr:rowOff>
        </xdr:from>
        <xdr:to>
          <xdr:col>1</xdr:col>
          <xdr:colOff>342900</xdr:colOff>
          <xdr:row>20</xdr:row>
          <xdr:rowOff>38100</xdr:rowOff>
        </xdr:to>
        <xdr:sp macro="" textlink="">
          <xdr:nvSpPr>
            <xdr:cNvPr id="2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20</xdr:row>
          <xdr:rowOff>50800</xdr:rowOff>
        </xdr:from>
        <xdr:to>
          <xdr:col>1</xdr:col>
          <xdr:colOff>342900</xdr:colOff>
          <xdr:row>21</xdr:row>
          <xdr:rowOff>88900</xdr:rowOff>
        </xdr:to>
        <xdr:sp macro="" textlink="">
          <xdr:nvSpPr>
            <xdr:cNvPr id="3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25400</xdr:rowOff>
        </xdr:from>
        <xdr:to>
          <xdr:col>8</xdr:col>
          <xdr:colOff>381000</xdr:colOff>
          <xdr:row>20</xdr:row>
          <xdr:rowOff>12700</xdr:rowOff>
        </xdr:to>
        <xdr:sp macro="" textlink="">
          <xdr:nvSpPr>
            <xdr:cNvPr id="1141" name="Scroll Bar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20</xdr:row>
          <xdr:rowOff>76200</xdr:rowOff>
        </xdr:from>
        <xdr:to>
          <xdr:col>8</xdr:col>
          <xdr:colOff>381000</xdr:colOff>
          <xdr:row>21</xdr:row>
          <xdr:rowOff>50800</xdr:rowOff>
        </xdr:to>
        <xdr:sp macro="" textlink="">
          <xdr:nvSpPr>
            <xdr:cNvPr id="1142" name="Scroll Bar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787400</xdr:colOff>
      <xdr:row>33</xdr:row>
      <xdr:rowOff>101600</xdr:rowOff>
    </xdr:from>
    <xdr:to>
      <xdr:col>24</xdr:col>
      <xdr:colOff>228600</xdr:colOff>
      <xdr:row>56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ctrlProp" Target="../ctrlProps/ctrlProp18.xml"/><Relationship Id="rId21" Type="http://schemas.openxmlformats.org/officeDocument/2006/relationships/comments" Target="../comments1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indexed="27"/>
  </sheetPr>
  <dimension ref="A1:Q39"/>
  <sheetViews>
    <sheetView tabSelected="1" workbookViewId="0"/>
  </sheetViews>
  <sheetFormatPr baseColWidth="10" defaultColWidth="4.6640625" defaultRowHeight="12" x14ac:dyDescent="0"/>
  <cols>
    <col min="1" max="1" width="38.33203125" style="1" customWidth="1"/>
    <col min="2" max="2" width="9.83203125" style="1" customWidth="1"/>
    <col min="3" max="3" width="5.1640625" style="1" bestFit="1" customWidth="1"/>
    <col min="4" max="7" width="3.83203125" style="1" customWidth="1"/>
    <col min="8" max="8" width="9.5" style="1" hidden="1" customWidth="1"/>
    <col min="9" max="9" width="11.5" style="1" customWidth="1"/>
    <col min="10" max="10" width="20.83203125" style="1" customWidth="1"/>
    <col min="11" max="11" width="9.5" style="1" bestFit="1" customWidth="1"/>
    <col min="12" max="16" width="5" style="1" bestFit="1" customWidth="1"/>
    <col min="17" max="17" width="6.1640625" style="1" bestFit="1" customWidth="1"/>
    <col min="18" max="26" width="5" style="1" bestFit="1" customWidth="1"/>
    <col min="27" max="16384" width="4.6640625" style="1"/>
  </cols>
  <sheetData>
    <row r="1" spans="1:10" ht="23.25" customHeight="1">
      <c r="J1" s="34" t="s">
        <v>86</v>
      </c>
    </row>
    <row r="2" spans="1:10" ht="13">
      <c r="B2" s="2" t="s">
        <v>9</v>
      </c>
      <c r="J2" s="32"/>
    </row>
    <row r="3" spans="1:10" ht="13">
      <c r="A3" s="2" t="s">
        <v>19</v>
      </c>
      <c r="B3" s="31">
        <f>Model!D10/10000</f>
        <v>2.2000000000000001E-3</v>
      </c>
      <c r="H3" s="1" t="s">
        <v>1</v>
      </c>
      <c r="J3" s="33" t="s">
        <v>40</v>
      </c>
    </row>
    <row r="4" spans="1:10">
      <c r="J4" s="33"/>
    </row>
    <row r="5" spans="1:10" ht="13">
      <c r="B5" s="3" t="s">
        <v>10</v>
      </c>
      <c r="J5" s="33"/>
    </row>
    <row r="6" spans="1:10" ht="21" customHeight="1">
      <c r="A6" s="3" t="s">
        <v>20</v>
      </c>
      <c r="B6" s="3">
        <f>IF(Model!C11,Model!D11/100,1)</f>
        <v>1</v>
      </c>
      <c r="J6" s="33" t="s">
        <v>85</v>
      </c>
    </row>
    <row r="7" spans="1:10" ht="21" customHeight="1">
      <c r="A7" s="3" t="s">
        <v>17</v>
      </c>
      <c r="B7" s="3">
        <f>IF(Model!C12,Model!D12/1000,1)</f>
        <v>1</v>
      </c>
      <c r="H7" s="1" t="s">
        <v>4</v>
      </c>
      <c r="J7" s="33">
        <v>0.04</v>
      </c>
    </row>
    <row r="8" spans="1:10" ht="21" customHeight="1">
      <c r="A8" s="3" t="s">
        <v>16</v>
      </c>
      <c r="B8" s="3">
        <f>IF(Model!C13,Model!D13/100,1)</f>
        <v>1</v>
      </c>
      <c r="H8" s="1" t="s">
        <v>2</v>
      </c>
      <c r="J8" s="33">
        <v>4.0999999999999996</v>
      </c>
    </row>
    <row r="9" spans="1:10" ht="21" customHeight="1">
      <c r="A9" s="3" t="s">
        <v>18</v>
      </c>
      <c r="B9" s="3">
        <f>IF(Model!C14,Model!D14/100,1)</f>
        <v>1.25</v>
      </c>
      <c r="H9" s="1" t="s">
        <v>3</v>
      </c>
      <c r="J9" s="33" t="s">
        <v>39</v>
      </c>
    </row>
    <row r="10" spans="1:10">
      <c r="J10" s="33"/>
    </row>
    <row r="11" spans="1:10" ht="13">
      <c r="B11" s="4" t="s">
        <v>11</v>
      </c>
      <c r="J11" s="33"/>
    </row>
    <row r="12" spans="1:10" ht="13">
      <c r="A12" s="4" t="s">
        <v>37</v>
      </c>
      <c r="B12" s="30">
        <f>Model!D15</f>
        <v>29</v>
      </c>
      <c r="H12" s="1" t="s">
        <v>5</v>
      </c>
      <c r="J12" s="33"/>
    </row>
    <row r="13" spans="1:10" ht="13">
      <c r="A13" s="4"/>
      <c r="B13" s="4"/>
      <c r="H13" s="1" t="s">
        <v>0</v>
      </c>
      <c r="J13" s="33"/>
    </row>
    <row r="14" spans="1:10">
      <c r="J14" s="33"/>
    </row>
    <row r="15" spans="1:10" ht="13">
      <c r="B15" s="5" t="s">
        <v>12</v>
      </c>
      <c r="J15" s="33"/>
    </row>
    <row r="16" spans="1:10" ht="16" customHeight="1">
      <c r="A16" s="5" t="s">
        <v>13</v>
      </c>
      <c r="B16" s="13">
        <f>Model!D18/1000</f>
        <v>0.184</v>
      </c>
      <c r="H16" s="1" t="s">
        <v>6</v>
      </c>
      <c r="J16" s="33">
        <v>0.255</v>
      </c>
    </row>
    <row r="17" spans="1:10" ht="16" customHeight="1">
      <c r="A17" s="5" t="s">
        <v>38</v>
      </c>
      <c r="B17" s="5">
        <f>IF(Model!C19,Model!D19/100,1)</f>
        <v>1</v>
      </c>
      <c r="H17" s="1" t="s">
        <v>7</v>
      </c>
      <c r="J17" s="33">
        <v>0.32</v>
      </c>
    </row>
    <row r="18" spans="1:10" ht="13">
      <c r="A18" s="5"/>
      <c r="B18" s="5"/>
      <c r="H18" s="1" t="s">
        <v>8</v>
      </c>
      <c r="J18" s="33"/>
    </row>
    <row r="19" spans="1:10" ht="13">
      <c r="A19" s="5"/>
      <c r="B19" s="5"/>
      <c r="J19" s="33"/>
    </row>
    <row r="20" spans="1:10" ht="16" customHeight="1">
      <c r="A20" s="89" t="s">
        <v>81</v>
      </c>
      <c r="B20" s="90">
        <f>Model!C24/100</f>
        <v>0.82</v>
      </c>
      <c r="I20" s="38"/>
      <c r="J20" s="33"/>
    </row>
    <row r="21" spans="1:10" ht="17" customHeight="1">
      <c r="A21" s="89" t="s">
        <v>82</v>
      </c>
      <c r="B21" s="90">
        <f>Model!C25/100</f>
        <v>0.06</v>
      </c>
      <c r="J21" s="33"/>
    </row>
    <row r="22" spans="1:10" ht="21" customHeight="1">
      <c r="J22" s="33"/>
    </row>
    <row r="23" spans="1:10" ht="16" customHeight="1">
      <c r="B23" s="6" t="s">
        <v>14</v>
      </c>
      <c r="J23" s="33"/>
    </row>
    <row r="24" spans="1:10" ht="15" customHeight="1">
      <c r="A24" s="6" t="s">
        <v>15</v>
      </c>
      <c r="B24" s="7">
        <f>Model!D28</f>
        <v>59</v>
      </c>
      <c r="J24" s="33"/>
    </row>
    <row r="25" spans="1:10" ht="13">
      <c r="A25" s="6"/>
      <c r="B25" s="7"/>
    </row>
    <row r="29" spans="1:10" ht="16" thickBot="1">
      <c r="B29" s="16" t="str">
        <f>Model!G1</f>
        <v>HIV-ve &amp; baby</v>
      </c>
      <c r="C29" s="16" t="str">
        <f>Model!H1</f>
        <v>HIV+ve &amp; -ve baby</v>
      </c>
      <c r="D29" s="16" t="str">
        <f>Model!I1</f>
        <v>HIV+ve &amp; +ve baby</v>
      </c>
      <c r="E29" s="17" t="str">
        <f>Model!O1</f>
        <v>HIV-ve</v>
      </c>
      <c r="F29" s="17" t="str">
        <f>Model!P1</f>
        <v>HIV+ve</v>
      </c>
    </row>
    <row r="30" spans="1:10">
      <c r="A30" s="1">
        <f>N</f>
        <v>59</v>
      </c>
      <c r="B30" s="14">
        <f>LOOKUP(N,Model!$F:$F,Model!G:G)</f>
        <v>0.75550114700339221</v>
      </c>
      <c r="C30" s="14">
        <f>LOOKUP(N,Model!$F:$F,Model!H:H)</f>
        <v>0.10875921937209947</v>
      </c>
      <c r="D30" s="14">
        <f>LOOKUP(N,Model!$F:$F,Model!I:I)</f>
        <v>2.4524137701551839E-2</v>
      </c>
      <c r="E30" s="14">
        <f>LOOKUP(N,Model!$F:$F,Model!O:O)</f>
        <v>9.4537465886175343E-2</v>
      </c>
      <c r="F30" s="14">
        <f>LOOKUP(N,Model!$F:$F,Model!P:P)</f>
        <v>1.6678030036781217E-2</v>
      </c>
    </row>
    <row r="31" spans="1:10">
      <c r="B31" s="8"/>
    </row>
    <row r="32" spans="1:10">
      <c r="B32" s="9"/>
    </row>
    <row r="33" spans="2:17">
      <c r="B33" s="10"/>
    </row>
    <row r="37" spans="2:17" ht="13">
      <c r="K37" s="11"/>
      <c r="Q37" s="12"/>
    </row>
    <row r="38" spans="2:17" ht="13">
      <c r="K38" s="11"/>
      <c r="Q38" s="12"/>
    </row>
    <row r="39" spans="2:17" ht="13">
      <c r="K39" s="11"/>
      <c r="Q39" s="12"/>
    </row>
  </sheetData>
  <phoneticPr fontId="0" type="noConversion"/>
  <pageMargins left="0.75" right="0.75" top="1" bottom="1" header="0.5" footer="0.5"/>
  <pageSetup paperSize="138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8" r:id="rId3" name="Check Box 84">
              <controlPr defaultSize="0" autoFill="0" autoLine="0" autoPict="0">
                <anchor moveWithCells="1">
                  <from>
                    <xdr:col>0</xdr:col>
                    <xdr:colOff>1282700</xdr:colOff>
                    <xdr:row>5</xdr:row>
                    <xdr:rowOff>63500</xdr:rowOff>
                  </from>
                  <to>
                    <xdr:col>0</xdr:col>
                    <xdr:colOff>1676400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9" r:id="rId4" name="Check Box 85">
              <controlPr defaultSize="0" autoFill="0" autoLine="0" autoPict="0">
                <anchor moveWithCells="1">
                  <from>
                    <xdr:col>0</xdr:col>
                    <xdr:colOff>1282700</xdr:colOff>
                    <xdr:row>6</xdr:row>
                    <xdr:rowOff>38100</xdr:rowOff>
                  </from>
                  <to>
                    <xdr:col>0</xdr:col>
                    <xdr:colOff>1676400</xdr:colOff>
                    <xdr:row>6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0" r:id="rId5" name="Check Box 86">
              <controlPr defaultSize="0" autoFill="0" autoLine="0" autoPict="0">
                <anchor moveWithCells="1">
                  <from>
                    <xdr:col>0</xdr:col>
                    <xdr:colOff>1282700</xdr:colOff>
                    <xdr:row>7</xdr:row>
                    <xdr:rowOff>50800</xdr:rowOff>
                  </from>
                  <to>
                    <xdr:col>0</xdr:col>
                    <xdr:colOff>1676400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1" r:id="rId6" name="Check Box 87">
              <controlPr defaultSize="0" autoFill="0" autoLine="0" autoPict="0">
                <anchor moveWithCells="1">
                  <from>
                    <xdr:col>0</xdr:col>
                    <xdr:colOff>1282700</xdr:colOff>
                    <xdr:row>8</xdr:row>
                    <xdr:rowOff>50800</xdr:rowOff>
                  </from>
                  <to>
                    <xdr:col>0</xdr:col>
                    <xdr:colOff>1676400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2" r:id="rId7" name="Check Box 88">
              <controlPr defaultSize="0" autoFill="0" autoLine="0" autoPict="0">
                <anchor moveWithCells="1">
                  <from>
                    <xdr:col>0</xdr:col>
                    <xdr:colOff>1282700</xdr:colOff>
                    <xdr:row>15</xdr:row>
                    <xdr:rowOff>139700</xdr:rowOff>
                  </from>
                  <to>
                    <xdr:col>0</xdr:col>
                    <xdr:colOff>1676400</xdr:colOff>
                    <xdr:row>16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1" r:id="rId8" name="Scroll Bar 97">
              <controlPr defaultSize="0" autoPict="0">
                <anchor moveWithCells="1">
                  <from>
                    <xdr:col>3</xdr:col>
                    <xdr:colOff>38100</xdr:colOff>
                    <xdr:row>2</xdr:row>
                    <xdr:rowOff>38100</xdr:rowOff>
                  </from>
                  <to>
                    <xdr:col>8</xdr:col>
                    <xdr:colOff>342900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5" r:id="rId9" name="Scroll Bar 101">
              <controlPr defaultSize="0" autoPict="0">
                <anchor moveWithCells="1">
                  <from>
                    <xdr:col>3</xdr:col>
                    <xdr:colOff>38100</xdr:colOff>
                    <xdr:row>5</xdr:row>
                    <xdr:rowOff>50800</xdr:rowOff>
                  </from>
                  <to>
                    <xdr:col>8</xdr:col>
                    <xdr:colOff>342900</xdr:colOff>
                    <xdr:row>5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5" r:id="rId10" name="Scroll Bar 111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63500</xdr:rowOff>
                  </from>
                  <to>
                    <xdr:col>8</xdr:col>
                    <xdr:colOff>381000</xdr:colOff>
                    <xdr:row>17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6" r:id="rId11" name="Scroll Bar 112">
              <controlPr defaultSize="0" autoPict="0">
                <anchor moveWithCells="1">
                  <from>
                    <xdr:col>3</xdr:col>
                    <xdr:colOff>50800</xdr:colOff>
                    <xdr:row>23</xdr:row>
                    <xdr:rowOff>12700</xdr:rowOff>
                  </from>
                  <to>
                    <xdr:col>8</xdr:col>
                    <xdr:colOff>355600</xdr:colOff>
                    <xdr:row>24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6" r:id="rId12" name="Scroll Bar 102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50800</xdr:rowOff>
                  </from>
                  <to>
                    <xdr:col>8</xdr:col>
                    <xdr:colOff>342900</xdr:colOff>
                    <xdr:row>6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7" r:id="rId13" name="Scroll Bar 103">
              <controlPr defaultSize="0" autoPict="0">
                <anchor moveWithCells="1">
                  <from>
                    <xdr:col>3</xdr:col>
                    <xdr:colOff>38100</xdr:colOff>
                    <xdr:row>7</xdr:row>
                    <xdr:rowOff>76200</xdr:rowOff>
                  </from>
                  <to>
                    <xdr:col>8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4" r:id="rId14" name="Scroll Bar 110">
              <controlPr defaultSize="0" autoPict="0">
                <anchor moveWithCells="1">
                  <from>
                    <xdr:col>3</xdr:col>
                    <xdr:colOff>38100</xdr:colOff>
                    <xdr:row>8</xdr:row>
                    <xdr:rowOff>88900</xdr:rowOff>
                  </from>
                  <to>
                    <xdr:col>8</xdr:col>
                    <xdr:colOff>342900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2" r:id="rId15" name="Scroll Bar 108">
              <controlPr defaultSize="0" autoPict="0">
                <anchor moveWithCells="1">
                  <from>
                    <xdr:col>3</xdr:col>
                    <xdr:colOff>38100</xdr:colOff>
                    <xdr:row>11</xdr:row>
                    <xdr:rowOff>12700</xdr:rowOff>
                  </from>
                  <to>
                    <xdr:col>8</xdr:col>
                    <xdr:colOff>342900</xdr:colOff>
                    <xdr:row>12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3" r:id="rId16" name="Scroll Bar 109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0</xdr:rowOff>
                  </from>
                  <to>
                    <xdr:col>8</xdr:col>
                    <xdr:colOff>381000</xdr:colOff>
                    <xdr:row>15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" r:id="rId17" name="Check Box 114">
              <controlPr defaultSize="0" autoFill="0" autoLine="0" autoPict="0">
                <anchor moveWithCells="1">
                  <from>
                    <xdr:col>0</xdr:col>
                    <xdr:colOff>2870200</xdr:colOff>
                    <xdr:row>19</xdr:row>
                    <xdr:rowOff>12700</xdr:rowOff>
                  </from>
                  <to>
                    <xdr:col>1</xdr:col>
                    <xdr:colOff>342900</xdr:colOff>
                    <xdr:row>20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" r:id="rId18" name="Check Box 115">
              <controlPr defaultSize="0" autoFill="0" autoLine="0" autoPict="0">
                <anchor moveWithCells="1">
                  <from>
                    <xdr:col>0</xdr:col>
                    <xdr:colOff>2870200</xdr:colOff>
                    <xdr:row>20</xdr:row>
                    <xdr:rowOff>50800</xdr:rowOff>
                  </from>
                  <to>
                    <xdr:col>1</xdr:col>
                    <xdr:colOff>342900</xdr:colOff>
                    <xdr:row>21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1" r:id="rId19" name="Scroll Bar 117">
              <controlPr defaultSize="0" autoPict="0">
                <anchor moveWithCells="1">
                  <from>
                    <xdr:col>3</xdr:col>
                    <xdr:colOff>76200</xdr:colOff>
                    <xdr:row>19</xdr:row>
                    <xdr:rowOff>25400</xdr:rowOff>
                  </from>
                  <to>
                    <xdr:col>8</xdr:col>
                    <xdr:colOff>381000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2" r:id="rId20" name="Scroll Bar 118">
              <controlPr defaultSize="0" autoPict="0">
                <anchor moveWithCells="1">
                  <from>
                    <xdr:col>3</xdr:col>
                    <xdr:colOff>76200</xdr:colOff>
                    <xdr:row>20</xdr:row>
                    <xdr:rowOff>76200</xdr:rowOff>
                  </from>
                  <to>
                    <xdr:col>8</xdr:col>
                    <xdr:colOff>381000</xdr:colOff>
                    <xdr:row>21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indexed="31"/>
  </sheetPr>
  <dimension ref="A1:S111"/>
  <sheetViews>
    <sheetView workbookViewId="0">
      <selection activeCell="S2" sqref="S2"/>
    </sheetView>
  </sheetViews>
  <sheetFormatPr baseColWidth="10" defaultColWidth="9.1640625" defaultRowHeight="12" x14ac:dyDescent="0"/>
  <cols>
    <col min="1" max="1" width="31.5" style="14" customWidth="1"/>
    <col min="2" max="2" width="12.1640625" style="14" bestFit="1" customWidth="1"/>
    <col min="3" max="3" width="9.1640625" style="94" customWidth="1"/>
    <col min="4" max="4" width="17.1640625" style="94" bestFit="1" customWidth="1"/>
    <col min="5" max="5" width="9.1640625" style="14"/>
    <col min="6" max="6" width="18.5" style="15" customWidth="1"/>
    <col min="7" max="13" width="18.5" style="18" customWidth="1"/>
    <col min="14" max="14" width="18.5" style="20" customWidth="1"/>
    <col min="15" max="16" width="15.5" style="19" customWidth="1"/>
    <col min="17" max="18" width="16.33203125" style="37" customWidth="1"/>
    <col min="19" max="16384" width="9.1640625" style="14"/>
  </cols>
  <sheetData>
    <row r="1" spans="1:19" ht="16" thickBot="1">
      <c r="A1" s="40" t="s">
        <v>21</v>
      </c>
      <c r="B1" s="39">
        <f>MIN(1,TT*h.late*h.tx*h.std*h.prep)</f>
        <v>2.7500000000000003E-3</v>
      </c>
      <c r="C1" s="91"/>
      <c r="D1" s="91"/>
      <c r="E1" s="39"/>
      <c r="F1" s="41" t="s">
        <v>23</v>
      </c>
      <c r="G1" s="42" t="s">
        <v>29</v>
      </c>
      <c r="H1" s="42" t="s">
        <v>30</v>
      </c>
      <c r="I1" s="42" t="s">
        <v>31</v>
      </c>
      <c r="J1" s="42" t="s">
        <v>25</v>
      </c>
      <c r="K1" s="42" t="s">
        <v>26</v>
      </c>
      <c r="L1" s="42" t="s">
        <v>27</v>
      </c>
      <c r="M1" s="42" t="s">
        <v>28</v>
      </c>
      <c r="N1" s="43" t="s">
        <v>24</v>
      </c>
      <c r="O1" s="44" t="s">
        <v>32</v>
      </c>
      <c r="P1" s="44" t="s">
        <v>33</v>
      </c>
      <c r="Q1" s="45" t="s">
        <v>43</v>
      </c>
      <c r="R1" s="45" t="s">
        <v>44</v>
      </c>
      <c r="S1" s="40" t="s">
        <v>45</v>
      </c>
    </row>
    <row r="2" spans="1:19" ht="15">
      <c r="A2" s="40" t="s">
        <v>22</v>
      </c>
      <c r="B2" s="39">
        <f>MIN(p.concieve,1)</f>
        <v>0.10577493486526501</v>
      </c>
      <c r="C2" s="91"/>
      <c r="D2" s="91"/>
      <c r="E2" s="39"/>
      <c r="F2" s="46">
        <v>1</v>
      </c>
      <c r="G2" s="47">
        <f t="shared" ref="G2:G33" si="0">p.delivery*(1-(1-p.conception)^F2)*(1-alpha)^F2</f>
        <v>9.388080787700312E-2</v>
      </c>
      <c r="H2" s="47">
        <f t="shared" ref="H2:H33" si="1" xml:space="preserve"> p.delivery*(1-h.mtctx*p.mtct)*(1-(1-p.conception)^F2)*(1-(1-alpha)^F2)</f>
        <v>2.1124946891551503E-4</v>
      </c>
      <c r="I2" s="47">
        <f t="shared" ref="I2:I33" si="2">p.delivery*(h.mtctx*p.mtct)*(1-(1-p.conception)^F2)*(1-(1-alpha)^F2)</f>
        <v>4.7634684167223964E-5</v>
      </c>
      <c r="J2" s="47">
        <f t="shared" ref="J2:J33" si="3">(1-p.delivery)*(1-(1-p.conception)^F2)*(1-alpha)^F2</f>
        <v>1.1603245917382408E-2</v>
      </c>
      <c r="K2" s="47">
        <f t="shared" ref="K2:K33" si="4">((1-p.conception)^F2)*(1-alpha)^F2</f>
        <v>0.89176594620561445</v>
      </c>
      <c r="L2" s="47">
        <f t="shared" ref="L2:L33" si="5">(1-p.delivery)*(1-(1-p.conception)^F2)*(1-(1-alpha)^F2)</f>
        <v>3.1996917796743014E-5</v>
      </c>
      <c r="M2" s="47">
        <f t="shared" ref="M2:M33" si="6">(1-p.conception)^F2*(1-(1-alpha)^F2)</f>
        <v>2.459118929120548E-3</v>
      </c>
      <c r="N2" s="48">
        <f>SUM(G2:M2)</f>
        <v>1</v>
      </c>
      <c r="O2" s="49">
        <f>SUM(J2:K2)</f>
        <v>0.90336919212299682</v>
      </c>
      <c r="P2" s="49">
        <f>SUM(L2:M2)</f>
        <v>2.491115846917291E-3</v>
      </c>
      <c r="Q2" s="50">
        <f>O2+H2+G2</f>
        <v>0.99746124946891546</v>
      </c>
      <c r="R2" s="50">
        <f>P2+I2</f>
        <v>2.5387505310845151E-3</v>
      </c>
      <c r="S2" s="51">
        <f>IF(R2&lt;Interface!$B$21,R2,0)</f>
        <v>2.5387505310845151E-3</v>
      </c>
    </row>
    <row r="3" spans="1:19">
      <c r="A3" s="39"/>
      <c r="B3" s="39"/>
      <c r="C3" s="91"/>
      <c r="D3" s="91"/>
      <c r="E3" s="39"/>
      <c r="F3" s="46">
        <v>2</v>
      </c>
      <c r="G3" s="47">
        <f t="shared" si="0"/>
        <v>0.17734234312232458</v>
      </c>
      <c r="H3" s="47">
        <f t="shared" si="1"/>
        <v>7.9920765442504445E-4</v>
      </c>
      <c r="I3" s="47">
        <f t="shared" si="2"/>
        <v>1.8021349070368648E-4</v>
      </c>
      <c r="J3" s="47">
        <f t="shared" si="3"/>
        <v>2.1918716565680559E-2</v>
      </c>
      <c r="K3" s="47">
        <f t="shared" si="4"/>
        <v>0.79524650281199483</v>
      </c>
      <c r="L3" s="47">
        <f t="shared" si="5"/>
        <v>1.2105205164512401E-4</v>
      </c>
      <c r="M3" s="47">
        <f t="shared" si="6"/>
        <v>4.3919643032262028E-3</v>
      </c>
      <c r="N3" s="48">
        <f t="shared" ref="N3:N66" si="7">SUM(G3:M3)</f>
        <v>1</v>
      </c>
      <c r="O3" s="49">
        <f t="shared" ref="O3:O66" si="8">SUM(J3:K3)</f>
        <v>0.81716521937767539</v>
      </c>
      <c r="P3" s="49">
        <f t="shared" ref="P3:P66" si="9">SUM(L3:M3)</f>
        <v>4.5130163548713267E-3</v>
      </c>
      <c r="Q3" s="50">
        <f t="shared" ref="Q3:Q66" si="10">O3+H3+G3</f>
        <v>0.99530677015442504</v>
      </c>
      <c r="R3" s="50">
        <f t="shared" ref="R3:R66" si="11">P3+I3</f>
        <v>4.6932298455750129E-3</v>
      </c>
      <c r="S3" s="51">
        <f>IF(R3&lt;Interface!$B$21,R3,0)</f>
        <v>4.6932298455750129E-3</v>
      </c>
    </row>
    <row r="4" spans="1:19">
      <c r="A4" s="39"/>
      <c r="B4" s="39"/>
      <c r="C4" s="91"/>
      <c r="D4" s="91"/>
      <c r="E4" s="39"/>
      <c r="F4" s="46">
        <v>3</v>
      </c>
      <c r="G4" s="47">
        <f t="shared" si="0"/>
        <v>0.25151303582408968</v>
      </c>
      <c r="H4" s="47">
        <f t="shared" si="1"/>
        <v>1.7025411379683808E-3</v>
      </c>
      <c r="I4" s="47">
        <f t="shared" si="2"/>
        <v>3.8390633503208573E-4</v>
      </c>
      <c r="J4" s="47">
        <f t="shared" si="3"/>
        <v>3.1085880832190851E-2</v>
      </c>
      <c r="K4" s="47">
        <f t="shared" si="4"/>
        <v>0.70917375004684435</v>
      </c>
      <c r="L4" s="47">
        <f t="shared" si="5"/>
        <v>2.5787553037084411E-4</v>
      </c>
      <c r="M4" s="47">
        <f t="shared" si="6"/>
        <v>5.8830102935037727E-3</v>
      </c>
      <c r="N4" s="48">
        <f t="shared" si="7"/>
        <v>0.99999999999999989</v>
      </c>
      <c r="O4" s="49">
        <f t="shared" si="8"/>
        <v>0.74025963087903524</v>
      </c>
      <c r="P4" s="49">
        <f t="shared" si="9"/>
        <v>6.1408858238746165E-3</v>
      </c>
      <c r="Q4" s="50">
        <f t="shared" si="10"/>
        <v>0.99347520784109333</v>
      </c>
      <c r="R4" s="50">
        <f t="shared" si="11"/>
        <v>6.5247921589067026E-3</v>
      </c>
      <c r="S4" s="51">
        <f>IF(R4&lt;Interface!$B$21,R4,0)</f>
        <v>6.5247921589067026E-3</v>
      </c>
    </row>
    <row r="5" spans="1:19">
      <c r="A5" s="39"/>
      <c r="B5" s="39"/>
      <c r="C5" s="91"/>
      <c r="D5" s="91"/>
      <c r="E5" s="39"/>
      <c r="F5" s="46">
        <v>4</v>
      </c>
      <c r="G5" s="47">
        <f t="shared" si="0"/>
        <v>0.31739917955513502</v>
      </c>
      <c r="H5" s="47">
        <f t="shared" si="1"/>
        <v>2.8686699866519345E-3</v>
      </c>
      <c r="I5" s="47">
        <f t="shared" si="2"/>
        <v>6.4685695777445568E-4</v>
      </c>
      <c r="J5" s="47">
        <f t="shared" si="3"/>
        <v>3.9229112079848145E-2</v>
      </c>
      <c r="K5" s="47">
        <f t="shared" si="4"/>
        <v>0.63241700023470804</v>
      </c>
      <c r="L5" s="47">
        <f t="shared" si="5"/>
        <v>4.3450333021000315E-4</v>
      </c>
      <c r="M5" s="47">
        <f t="shared" si="6"/>
        <v>7.0046778556723506E-3</v>
      </c>
      <c r="N5" s="48">
        <f t="shared" si="7"/>
        <v>0.99999999999999989</v>
      </c>
      <c r="O5" s="49">
        <f t="shared" si="8"/>
        <v>0.67164611231455618</v>
      </c>
      <c r="P5" s="49">
        <f t="shared" si="9"/>
        <v>7.4391811858823542E-3</v>
      </c>
      <c r="Q5" s="50">
        <f t="shared" si="10"/>
        <v>0.99191396185634306</v>
      </c>
      <c r="R5" s="50">
        <f t="shared" si="11"/>
        <v>8.0860381436568107E-3</v>
      </c>
      <c r="S5" s="51">
        <f>IF(R5&lt;Interface!$B$21,R5,0)</f>
        <v>8.0860381436568107E-3</v>
      </c>
    </row>
    <row r="6" spans="1:19">
      <c r="A6" s="39"/>
      <c r="B6" s="39"/>
      <c r="C6" s="91"/>
      <c r="D6" s="91"/>
      <c r="E6" s="39"/>
      <c r="F6" s="46">
        <v>5</v>
      </c>
      <c r="G6" s="47">
        <f t="shared" si="0"/>
        <v>0.37589815070854377</v>
      </c>
      <c r="H6" s="47">
        <f t="shared" si="1"/>
        <v>4.2525967653464E-3</v>
      </c>
      <c r="I6" s="47">
        <f t="shared" si="2"/>
        <v>9.5891887846046248E-4</v>
      </c>
      <c r="J6" s="47">
        <f t="shared" si="3"/>
        <v>4.6459321997685168E-2</v>
      </c>
      <c r="K6" s="47">
        <f t="shared" si="4"/>
        <v>0.56396794461082067</v>
      </c>
      <c r="L6" s="47">
        <f t="shared" si="5"/>
        <v>6.4411991103230858E-4</v>
      </c>
      <c r="M6" s="47">
        <f t="shared" si="6"/>
        <v>7.8189471281112383E-3</v>
      </c>
      <c r="N6" s="48">
        <f t="shared" si="7"/>
        <v>1</v>
      </c>
      <c r="O6" s="49">
        <f t="shared" si="8"/>
        <v>0.61042726660850588</v>
      </c>
      <c r="P6" s="49">
        <f t="shared" si="9"/>
        <v>8.4630670391435472E-3</v>
      </c>
      <c r="Q6" s="50">
        <f t="shared" si="10"/>
        <v>0.9905780140823961</v>
      </c>
      <c r="R6" s="50">
        <f t="shared" si="11"/>
        <v>9.4219859176040092E-3</v>
      </c>
      <c r="S6" s="51">
        <f>IF(R6&lt;Interface!$B$21,R6,0)</f>
        <v>9.4219859176040092E-3</v>
      </c>
    </row>
    <row r="7" spans="1:19">
      <c r="A7" s="39"/>
      <c r="B7" s="39"/>
      <c r="C7" s="91"/>
      <c r="D7" s="91"/>
      <c r="E7" s="39"/>
      <c r="F7" s="46">
        <v>6</v>
      </c>
      <c r="G7" s="47">
        <f t="shared" si="0"/>
        <v>0.42781019705089196</v>
      </c>
      <c r="H7" s="47">
        <f t="shared" si="1"/>
        <v>5.8158859364269878E-3</v>
      </c>
      <c r="I7" s="47">
        <f t="shared" si="2"/>
        <v>1.3114252601747125E-3</v>
      </c>
      <c r="J7" s="47">
        <f t="shared" si="3"/>
        <v>5.2875417613031585E-2</v>
      </c>
      <c r="K7" s="47">
        <f t="shared" si="4"/>
        <v>0.50292740775550404</v>
      </c>
      <c r="L7" s="47">
        <f t="shared" si="5"/>
        <v>8.8090363104065933E-4</v>
      </c>
      <c r="M7" s="47">
        <f t="shared" si="6"/>
        <v>8.378762752930034E-3</v>
      </c>
      <c r="N7" s="48">
        <f t="shared" si="7"/>
        <v>1</v>
      </c>
      <c r="O7" s="49">
        <f t="shared" si="8"/>
        <v>0.55580282536853565</v>
      </c>
      <c r="P7" s="49">
        <f t="shared" si="9"/>
        <v>9.2596663839706935E-3</v>
      </c>
      <c r="Q7" s="50">
        <f t="shared" si="10"/>
        <v>0.98942890835585462</v>
      </c>
      <c r="R7" s="50">
        <f t="shared" si="11"/>
        <v>1.0571091644145407E-2</v>
      </c>
      <c r="S7" s="51">
        <f>IF(R7&lt;Interface!$B$21,R7,0)</f>
        <v>1.0571091644145407E-2</v>
      </c>
    </row>
    <row r="8" spans="1:19" ht="15">
      <c r="A8" s="39"/>
      <c r="B8" s="39"/>
      <c r="C8" s="92" t="s">
        <v>83</v>
      </c>
      <c r="D8" s="92" t="s">
        <v>84</v>
      </c>
      <c r="E8" s="39"/>
      <c r="F8" s="46">
        <v>7</v>
      </c>
      <c r="G8" s="47">
        <f t="shared" si="0"/>
        <v>0.47384895035257568</v>
      </c>
      <c r="H8" s="47">
        <f t="shared" si="1"/>
        <v>7.52577486884625E-3</v>
      </c>
      <c r="I8" s="47">
        <f t="shared" si="2"/>
        <v>1.6969884508182718E-3</v>
      </c>
      <c r="J8" s="47">
        <f t="shared" si="3"/>
        <v>5.8565600605374524E-2</v>
      </c>
      <c r="K8" s="47">
        <f t="shared" si="4"/>
        <v>0.44849353564982397</v>
      </c>
      <c r="L8" s="47">
        <f t="shared" si="5"/>
        <v>1.1398920956888733E-3</v>
      </c>
      <c r="M8" s="47">
        <f t="shared" si="6"/>
        <v>8.7292579768724291E-3</v>
      </c>
      <c r="N8" s="48">
        <f t="shared" si="7"/>
        <v>1</v>
      </c>
      <c r="O8" s="49">
        <f t="shared" si="8"/>
        <v>0.50705913625519849</v>
      </c>
      <c r="P8" s="49">
        <f t="shared" si="9"/>
        <v>9.8691500725613026E-3</v>
      </c>
      <c r="Q8" s="50">
        <f t="shared" si="10"/>
        <v>0.98843386147662038</v>
      </c>
      <c r="R8" s="50">
        <f t="shared" si="11"/>
        <v>1.1566138523379574E-2</v>
      </c>
      <c r="S8" s="51">
        <f>IF(R8&lt;Interface!$B$21,R8,0)</f>
        <v>1.1566138523379574E-2</v>
      </c>
    </row>
    <row r="9" spans="1:19">
      <c r="A9" s="39"/>
      <c r="B9" s="39"/>
      <c r="C9" s="91"/>
      <c r="D9" s="91"/>
      <c r="E9" s="39"/>
      <c r="F9" s="46">
        <v>8</v>
      </c>
      <c r="G9" s="47">
        <f t="shared" si="0"/>
        <v>0.51465080119352513</v>
      </c>
      <c r="H9" s="47">
        <f t="shared" si="1"/>
        <v>9.3543999752521458E-3</v>
      </c>
      <c r="I9" s="47">
        <f t="shared" si="2"/>
        <v>2.1093254846156796E-3</v>
      </c>
      <c r="J9" s="47">
        <f t="shared" si="3"/>
        <v>6.3608525990210968E-2</v>
      </c>
      <c r="K9" s="47">
        <f t="shared" si="4"/>
        <v>0.39995126218586674</v>
      </c>
      <c r="L9" s="47">
        <f t="shared" si="5"/>
        <v>1.4168649444780456E-3</v>
      </c>
      <c r="M9" s="47">
        <f t="shared" si="6"/>
        <v>8.9088202260513179E-3</v>
      </c>
      <c r="N9" s="48">
        <f t="shared" si="7"/>
        <v>1</v>
      </c>
      <c r="O9" s="49">
        <f t="shared" si="8"/>
        <v>0.46355978817607768</v>
      </c>
      <c r="P9" s="49">
        <f t="shared" si="9"/>
        <v>1.0325685170529363E-2</v>
      </c>
      <c r="Q9" s="50">
        <f t="shared" si="10"/>
        <v>0.98756498934485504</v>
      </c>
      <c r="R9" s="50">
        <f t="shared" si="11"/>
        <v>1.2435010655145042E-2</v>
      </c>
      <c r="S9" s="51">
        <f>IF(R9&lt;Interface!$B$21,R9,0)</f>
        <v>1.2435010655145042E-2</v>
      </c>
    </row>
    <row r="10" spans="1:19">
      <c r="A10" s="39"/>
      <c r="B10" s="39"/>
      <c r="C10" s="91"/>
      <c r="D10" s="91">
        <v>22</v>
      </c>
      <c r="E10" s="39"/>
      <c r="F10" s="46">
        <v>9</v>
      </c>
      <c r="G10" s="47">
        <f t="shared" si="0"/>
        <v>0.55078325909567916</v>
      </c>
      <c r="H10" s="47">
        <f t="shared" si="1"/>
        <v>1.1278123516283703E-2</v>
      </c>
      <c r="I10" s="47">
        <f t="shared" si="2"/>
        <v>2.5431062830835794E-3</v>
      </c>
      <c r="J10" s="47">
        <f t="shared" si="3"/>
        <v>6.8074335393847982E-2</v>
      </c>
      <c r="K10" s="47">
        <f t="shared" si="4"/>
        <v>0.35666291575930925</v>
      </c>
      <c r="L10" s="47">
        <f t="shared" si="5"/>
        <v>1.708241885315057E-3</v>
      </c>
      <c r="M10" s="47">
        <f t="shared" si="6"/>
        <v>8.9500180664813158E-3</v>
      </c>
      <c r="N10" s="48">
        <f t="shared" si="7"/>
        <v>1</v>
      </c>
      <c r="O10" s="49">
        <f t="shared" si="8"/>
        <v>0.42473725115315725</v>
      </c>
      <c r="P10" s="49">
        <f t="shared" si="9"/>
        <v>1.0658259951796372E-2</v>
      </c>
      <c r="Q10" s="50">
        <f t="shared" si="10"/>
        <v>0.98679863376512011</v>
      </c>
      <c r="R10" s="50">
        <f t="shared" si="11"/>
        <v>1.3201366234879951E-2</v>
      </c>
      <c r="S10" s="51">
        <f>IF(R10&lt;Interface!$B$21,R10,0)</f>
        <v>1.3201366234879951E-2</v>
      </c>
    </row>
    <row r="11" spans="1:19">
      <c r="A11" s="39"/>
      <c r="B11" s="39"/>
      <c r="C11" s="91" t="b">
        <v>0</v>
      </c>
      <c r="D11" s="91">
        <v>150</v>
      </c>
      <c r="E11" s="39"/>
      <c r="F11" s="46">
        <v>10</v>
      </c>
      <c r="G11" s="47">
        <f t="shared" si="0"/>
        <v>0.5827524078044175</v>
      </c>
      <c r="H11" s="47">
        <f t="shared" si="1"/>
        <v>1.3276948387895292E-2</v>
      </c>
      <c r="I11" s="47">
        <f t="shared" si="2"/>
        <v>2.9938216953097219E-3</v>
      </c>
      <c r="J11" s="47">
        <f t="shared" si="3"/>
        <v>7.2025578492680806E-2</v>
      </c>
      <c r="K11" s="47">
        <f t="shared" si="4"/>
        <v>0.31805984254855374</v>
      </c>
      <c r="L11" s="47">
        <f t="shared" si="5"/>
        <v>2.0109940552275858E-3</v>
      </c>
      <c r="M11" s="47">
        <f t="shared" si="6"/>
        <v>8.8804070159153384E-3</v>
      </c>
      <c r="N11" s="48">
        <f t="shared" si="7"/>
        <v>0.99999999999999989</v>
      </c>
      <c r="O11" s="49">
        <f t="shared" si="8"/>
        <v>0.39008542104123456</v>
      </c>
      <c r="P11" s="49">
        <f t="shared" si="9"/>
        <v>1.0891401071142923E-2</v>
      </c>
      <c r="Q11" s="50">
        <f t="shared" si="10"/>
        <v>0.98611477723354735</v>
      </c>
      <c r="R11" s="50">
        <f t="shared" si="11"/>
        <v>1.3885222766452645E-2</v>
      </c>
      <c r="S11" s="51">
        <f>IF(R11&lt;Interface!$B$21,R11,0)</f>
        <v>1.3885222766452645E-2</v>
      </c>
    </row>
    <row r="12" spans="1:19">
      <c r="A12" s="39"/>
      <c r="B12" s="39"/>
      <c r="C12" s="91" t="b">
        <v>0</v>
      </c>
      <c r="D12" s="91">
        <v>25</v>
      </c>
      <c r="E12" s="39"/>
      <c r="F12" s="46">
        <v>11</v>
      </c>
      <c r="G12" s="47">
        <f t="shared" si="0"/>
        <v>0.61100955365464604</v>
      </c>
      <c r="H12" s="47">
        <f t="shared" si="1"/>
        <v>1.533400976959951E-2</v>
      </c>
      <c r="I12" s="47">
        <f t="shared" si="2"/>
        <v>3.457668869615575E-3</v>
      </c>
      <c r="J12" s="47">
        <f t="shared" si="3"/>
        <v>7.5518034721360733E-2</v>
      </c>
      <c r="K12" s="47">
        <f t="shared" si="4"/>
        <v>0.28363493644031978</v>
      </c>
      <c r="L12" s="47">
        <f t="shared" si="5"/>
        <v>2.3225670228243359E-3</v>
      </c>
      <c r="M12" s="47">
        <f t="shared" si="6"/>
        <v>8.7232295216341047E-3</v>
      </c>
      <c r="N12" s="48">
        <f t="shared" si="7"/>
        <v>1.0000000000000002</v>
      </c>
      <c r="O12" s="49">
        <f t="shared" si="8"/>
        <v>0.35915297116168055</v>
      </c>
      <c r="P12" s="49">
        <f t="shared" si="9"/>
        <v>1.104579654445844E-2</v>
      </c>
      <c r="Q12" s="50">
        <f t="shared" si="10"/>
        <v>0.98549653458592612</v>
      </c>
      <c r="R12" s="50">
        <f t="shared" si="11"/>
        <v>1.4503465414074015E-2</v>
      </c>
      <c r="S12" s="51">
        <f>IF(R12&lt;Interface!$B$21,R12,0)</f>
        <v>1.4503465414074015E-2</v>
      </c>
    </row>
    <row r="13" spans="1:19">
      <c r="A13" s="39"/>
      <c r="B13" s="39"/>
      <c r="C13" s="91" t="b">
        <v>0</v>
      </c>
      <c r="D13" s="91">
        <v>210</v>
      </c>
      <c r="E13" s="39"/>
      <c r="F13" s="46">
        <v>12</v>
      </c>
      <c r="G13" s="47">
        <f t="shared" si="0"/>
        <v>0.63595715435725519</v>
      </c>
      <c r="H13" s="47">
        <f t="shared" si="1"/>
        <v>1.7435133884479797E-2</v>
      </c>
      <c r="I13" s="47">
        <f t="shared" si="2"/>
        <v>3.9314517582650522E-3</v>
      </c>
      <c r="J13" s="47">
        <f t="shared" si="3"/>
        <v>7.8601446044155129E-2</v>
      </c>
      <c r="K13" s="47">
        <f t="shared" si="4"/>
        <v>0.25293597747167107</v>
      </c>
      <c r="L13" s="47">
        <f t="shared" si="5"/>
        <v>2.6408139558448686E-3</v>
      </c>
      <c r="M13" s="47">
        <f t="shared" si="6"/>
        <v>8.4980225283288174E-3</v>
      </c>
      <c r="N13" s="48">
        <f t="shared" si="7"/>
        <v>0.99999999999999989</v>
      </c>
      <c r="O13" s="49">
        <f t="shared" si="8"/>
        <v>0.33153742351582621</v>
      </c>
      <c r="P13" s="49">
        <f t="shared" si="9"/>
        <v>1.1138836484173686E-2</v>
      </c>
      <c r="Q13" s="50">
        <f t="shared" si="10"/>
        <v>0.98492971175756128</v>
      </c>
      <c r="R13" s="50">
        <f t="shared" si="11"/>
        <v>1.5070288242438739E-2</v>
      </c>
      <c r="S13" s="51">
        <f>IF(R13&lt;Interface!$B$21,R13,0)</f>
        <v>1.5070288242438739E-2</v>
      </c>
    </row>
    <row r="14" spans="1:19">
      <c r="A14" s="39"/>
      <c r="B14" s="39"/>
      <c r="C14" s="91" t="b">
        <v>1</v>
      </c>
      <c r="D14" s="91">
        <v>125</v>
      </c>
      <c r="E14" s="39"/>
      <c r="F14" s="46">
        <v>13</v>
      </c>
      <c r="G14" s="47">
        <f t="shared" si="0"/>
        <v>0.65795410608897276</v>
      </c>
      <c r="H14" s="47">
        <f t="shared" si="1"/>
        <v>1.9568455328292187E-2</v>
      </c>
      <c r="I14" s="47">
        <f t="shared" si="2"/>
        <v>4.4124948289286292E-3</v>
      </c>
      <c r="J14" s="47">
        <f t="shared" si="3"/>
        <v>8.1320170415491014E-2</v>
      </c>
      <c r="K14" s="47">
        <f t="shared" si="4"/>
        <v>0.22555969127946673</v>
      </c>
      <c r="L14" s="47">
        <f t="shared" si="5"/>
        <v>2.9639376598812241E-3</v>
      </c>
      <c r="M14" s="47">
        <f t="shared" si="6"/>
        <v>8.2211443989674681E-3</v>
      </c>
      <c r="N14" s="48">
        <f t="shared" si="7"/>
        <v>1</v>
      </c>
      <c r="O14" s="49">
        <f t="shared" si="8"/>
        <v>0.30687986169495773</v>
      </c>
      <c r="P14" s="49">
        <f t="shared" si="9"/>
        <v>1.1185082058848692E-2</v>
      </c>
      <c r="Q14" s="50">
        <f t="shared" si="10"/>
        <v>0.9844024231122227</v>
      </c>
      <c r="R14" s="50">
        <f t="shared" si="11"/>
        <v>1.5597576887777322E-2</v>
      </c>
      <c r="S14" s="51">
        <f>IF(R14&lt;Interface!$B$21,R14,0)</f>
        <v>1.5597576887777322E-2</v>
      </c>
    </row>
    <row r="15" spans="1:19">
      <c r="A15" s="39"/>
      <c r="B15" s="39"/>
      <c r="C15" s="91">
        <f>LOOKUP(Interface!B12,Pregnancy!A:A,Pregnancy!B:B)</f>
        <v>0.10577493486526501</v>
      </c>
      <c r="D15" s="91">
        <v>29</v>
      </c>
      <c r="E15" s="39"/>
      <c r="F15" s="46">
        <v>14</v>
      </c>
      <c r="G15" s="47">
        <f t="shared" si="0"/>
        <v>0.67732045833903176</v>
      </c>
      <c r="H15" s="47">
        <f t="shared" si="1"/>
        <v>2.1724085484859993E-2</v>
      </c>
      <c r="I15" s="47">
        <f t="shared" si="2"/>
        <v>4.8985682956056839E-3</v>
      </c>
      <c r="J15" s="47">
        <f t="shared" si="3"/>
        <v>8.3713764513812919E-2</v>
      </c>
      <c r="K15" s="47">
        <f t="shared" si="4"/>
        <v>0.20114645151967991</v>
      </c>
      <c r="L15" s="47">
        <f t="shared" si="5"/>
        <v>3.2904403548890157E-3</v>
      </c>
      <c r="M15" s="47">
        <f t="shared" si="6"/>
        <v>7.9062314921206737E-3</v>
      </c>
      <c r="N15" s="48">
        <f t="shared" si="7"/>
        <v>1</v>
      </c>
      <c r="O15" s="49">
        <f t="shared" si="8"/>
        <v>0.28486021603349282</v>
      </c>
      <c r="P15" s="49">
        <f t="shared" si="9"/>
        <v>1.119667184700969E-2</v>
      </c>
      <c r="Q15" s="50">
        <f t="shared" si="10"/>
        <v>0.98390475985738457</v>
      </c>
      <c r="R15" s="50">
        <f t="shared" si="11"/>
        <v>1.6095240142615375E-2</v>
      </c>
      <c r="S15" s="51">
        <f>IF(R15&lt;Interface!$B$21,R15,0)</f>
        <v>1.6095240142615375E-2</v>
      </c>
    </row>
    <row r="16" spans="1:19">
      <c r="A16" s="39"/>
      <c r="B16" s="39"/>
      <c r="C16" s="91">
        <f>LOOKUP(Interface!B12,Pregnancy!A:A,Pregnancy!C:C)</f>
        <v>0.89</v>
      </c>
      <c r="D16" s="91"/>
      <c r="E16" s="39"/>
      <c r="F16" s="46">
        <v>15</v>
      </c>
      <c r="G16" s="47">
        <f t="shared" si="0"/>
        <v>0.69434161844885944</v>
      </c>
      <c r="H16" s="47">
        <f t="shared" si="1"/>
        <v>2.3893825475824613E-2</v>
      </c>
      <c r="I16" s="47">
        <f t="shared" si="2"/>
        <v>5.3878233916075102E-3</v>
      </c>
      <c r="J16" s="47">
        <f t="shared" si="3"/>
        <v>8.5817503403791601E-2</v>
      </c>
      <c r="K16" s="47">
        <f t="shared" si="4"/>
        <v>0.17937555566534913</v>
      </c>
      <c r="L16" s="47">
        <f t="shared" si="5"/>
        <v>3.6190801970983517E-3</v>
      </c>
      <c r="M16" s="47">
        <f t="shared" si="6"/>
        <v>7.5645934174693799E-3</v>
      </c>
      <c r="N16" s="48">
        <f t="shared" si="7"/>
        <v>1</v>
      </c>
      <c r="O16" s="49">
        <f t="shared" si="8"/>
        <v>0.2651930590691407</v>
      </c>
      <c r="P16" s="49">
        <f t="shared" si="9"/>
        <v>1.1183673614567732E-2</v>
      </c>
      <c r="Q16" s="50">
        <f t="shared" si="10"/>
        <v>0.98342850299382478</v>
      </c>
      <c r="R16" s="50">
        <f t="shared" si="11"/>
        <v>1.6571497006175242E-2</v>
      </c>
      <c r="S16" s="51">
        <f>IF(R16&lt;Interface!$B$21,R16,0)</f>
        <v>1.6571497006175242E-2</v>
      </c>
    </row>
    <row r="17" spans="1:19">
      <c r="A17" s="39"/>
      <c r="B17" s="39"/>
      <c r="C17" s="91"/>
      <c r="D17" s="91"/>
      <c r="E17" s="39"/>
      <c r="F17" s="46">
        <v>16</v>
      </c>
      <c r="G17" s="47">
        <f t="shared" si="0"/>
        <v>0.70927210107737448</v>
      </c>
      <c r="H17" s="47">
        <f t="shared" si="1"/>
        <v>2.6070917910131733E-2</v>
      </c>
      <c r="I17" s="47">
        <f t="shared" si="2"/>
        <v>5.8787363915002912E-3</v>
      </c>
      <c r="J17" s="47">
        <f t="shared" si="3"/>
        <v>8.7662843953383335E-2</v>
      </c>
      <c r="K17" s="47">
        <f t="shared" si="4"/>
        <v>0.15996101212406794</v>
      </c>
      <c r="L17" s="47">
        <f t="shared" si="5"/>
        <v>3.948833677729799E-3</v>
      </c>
      <c r="M17" s="47">
        <f t="shared" si="6"/>
        <v>7.2055548658125114E-3</v>
      </c>
      <c r="N17" s="48">
        <f t="shared" si="7"/>
        <v>1</v>
      </c>
      <c r="O17" s="49">
        <f t="shared" si="8"/>
        <v>0.24762385607745127</v>
      </c>
      <c r="P17" s="49">
        <f t="shared" si="9"/>
        <v>1.115438854354231E-2</v>
      </c>
      <c r="Q17" s="50">
        <f t="shared" si="10"/>
        <v>0.9829668750649575</v>
      </c>
      <c r="R17" s="50">
        <f t="shared" si="11"/>
        <v>1.7033124935042603E-2</v>
      </c>
      <c r="S17" s="51">
        <f>IF(R17&lt;Interface!$B$21,R17,0)</f>
        <v>1.7033124935042603E-2</v>
      </c>
    </row>
    <row r="18" spans="1:19">
      <c r="A18" s="39"/>
      <c r="B18" s="39"/>
      <c r="C18" s="91" t="b">
        <v>0</v>
      </c>
      <c r="D18" s="91">
        <v>184</v>
      </c>
      <c r="E18" s="39"/>
      <c r="F18" s="46">
        <v>17</v>
      </c>
      <c r="G18" s="47">
        <f t="shared" si="0"/>
        <v>0.72233887184644219</v>
      </c>
      <c r="H18" s="47">
        <f t="shared" si="1"/>
        <v>2.8249832416042151E-2</v>
      </c>
      <c r="I18" s="47">
        <f t="shared" si="2"/>
        <v>6.3700602506761702E-3</v>
      </c>
      <c r="J18" s="47">
        <f t="shared" si="3"/>
        <v>8.9277838093380482E-2</v>
      </c>
      <c r="K18" s="47">
        <f t="shared" si="4"/>
        <v>0.14264778333282718</v>
      </c>
      <c r="L18" s="47">
        <f t="shared" si="5"/>
        <v>4.2788631385831622E-3</v>
      </c>
      <c r="M18" s="47">
        <f t="shared" si="6"/>
        <v>6.8367509220486813E-3</v>
      </c>
      <c r="N18" s="48">
        <f t="shared" si="7"/>
        <v>1.0000000000000002</v>
      </c>
      <c r="O18" s="49">
        <f t="shared" si="8"/>
        <v>0.23192562142620765</v>
      </c>
      <c r="P18" s="49">
        <f t="shared" si="9"/>
        <v>1.1115614060631843E-2</v>
      </c>
      <c r="Q18" s="50">
        <f t="shared" si="10"/>
        <v>0.98251432568869201</v>
      </c>
      <c r="R18" s="50">
        <f t="shared" si="11"/>
        <v>1.7485674311308014E-2</v>
      </c>
      <c r="S18" s="51">
        <f>IF(R18&lt;Interface!$B$21,R18,0)</f>
        <v>1.7485674311308014E-2</v>
      </c>
    </row>
    <row r="19" spans="1:19">
      <c r="A19" s="39"/>
      <c r="B19" s="39"/>
      <c r="C19" s="91" t="b">
        <v>0</v>
      </c>
      <c r="D19" s="91">
        <v>39</v>
      </c>
      <c r="E19" s="39"/>
      <c r="F19" s="46">
        <v>18</v>
      </c>
      <c r="G19" s="47">
        <f t="shared" si="0"/>
        <v>0.73374432909001397</v>
      </c>
      <c r="H19" s="47">
        <f t="shared" si="1"/>
        <v>3.0426080567987679E-2</v>
      </c>
      <c r="I19" s="47">
        <f t="shared" si="2"/>
        <v>6.8607828731736906E-3</v>
      </c>
      <c r="J19" s="47">
        <f t="shared" si="3"/>
        <v>9.0687501348203969E-2</v>
      </c>
      <c r="K19" s="47">
        <f t="shared" si="4"/>
        <v>0.12720843547793212</v>
      </c>
      <c r="L19" s="47">
        <f t="shared" si="5"/>
        <v>4.6084887399188207E-3</v>
      </c>
      <c r="M19" s="47">
        <f t="shared" si="6"/>
        <v>6.4643819027697834E-3</v>
      </c>
      <c r="N19" s="48">
        <f t="shared" si="7"/>
        <v>1</v>
      </c>
      <c r="O19" s="49">
        <f t="shared" si="8"/>
        <v>0.21789593682613609</v>
      </c>
      <c r="P19" s="49">
        <f t="shared" si="9"/>
        <v>1.1072870642688604E-2</v>
      </c>
      <c r="Q19" s="50">
        <f t="shared" si="10"/>
        <v>0.98206634648413771</v>
      </c>
      <c r="R19" s="50">
        <f t="shared" si="11"/>
        <v>1.7933653515862295E-2</v>
      </c>
      <c r="S19" s="51">
        <f>IF(R19&lt;Interface!$B$21,R19,0)</f>
        <v>1.7933653515862295E-2</v>
      </c>
    </row>
    <row r="20" spans="1:19">
      <c r="A20" s="39"/>
      <c r="B20" s="39"/>
      <c r="C20" s="91"/>
      <c r="D20" s="91"/>
      <c r="E20" s="39"/>
      <c r="F20" s="46">
        <v>19</v>
      </c>
      <c r="G20" s="47">
        <f t="shared" si="0"/>
        <v>0.74366896287645423</v>
      </c>
      <c r="H20" s="47">
        <f t="shared" si="1"/>
        <v>3.2596056372839105E-2</v>
      </c>
      <c r="I20" s="47">
        <f t="shared" si="2"/>
        <v>7.350091142895092E-3</v>
      </c>
      <c r="J20" s="47">
        <f t="shared" si="3"/>
        <v>9.1914141479112324E-2</v>
      </c>
      <c r="K20" s="47">
        <f t="shared" si="4"/>
        <v>0.113440150829314</v>
      </c>
      <c r="L20" s="47">
        <f t="shared" si="5"/>
        <v>4.9371642996974847E-3</v>
      </c>
      <c r="M20" s="47">
        <f t="shared" si="6"/>
        <v>6.0934329996877E-3</v>
      </c>
      <c r="N20" s="48">
        <f t="shared" si="7"/>
        <v>1</v>
      </c>
      <c r="O20" s="49">
        <f t="shared" si="8"/>
        <v>0.20535429230842633</v>
      </c>
      <c r="P20" s="49">
        <f t="shared" si="9"/>
        <v>1.1030597299385185E-2</v>
      </c>
      <c r="Q20" s="50">
        <f t="shared" si="10"/>
        <v>0.98161931155771964</v>
      </c>
      <c r="R20" s="50">
        <f t="shared" si="11"/>
        <v>1.8380688442280278E-2</v>
      </c>
      <c r="S20" s="51">
        <f>IF(R20&lt;Interface!$B$21,R20,0)</f>
        <v>1.8380688442280278E-2</v>
      </c>
    </row>
    <row r="21" spans="1:19">
      <c r="A21" s="39"/>
      <c r="B21" s="39"/>
      <c r="C21" s="91"/>
      <c r="D21" s="91"/>
      <c r="E21" s="39"/>
      <c r="F21" s="46">
        <v>20</v>
      </c>
      <c r="G21" s="47">
        <f t="shared" si="0"/>
        <v>0.75227372623408917</v>
      </c>
      <c r="H21" s="47">
        <f t="shared" si="1"/>
        <v>3.4756898964443519E-2</v>
      </c>
      <c r="I21" s="47">
        <f t="shared" si="2"/>
        <v>7.8373399625705966E-3</v>
      </c>
      <c r="J21" s="47">
        <f t="shared" si="3"/>
        <v>9.2977651557022228E-2</v>
      </c>
      <c r="K21" s="47">
        <f t="shared" si="4"/>
        <v>0.10116206344201081</v>
      </c>
      <c r="L21" s="47">
        <f t="shared" si="5"/>
        <v>5.2644564965972493E-3</v>
      </c>
      <c r="M21" s="47">
        <f t="shared" si="6"/>
        <v>5.7278633432665408E-3</v>
      </c>
      <c r="N21" s="48">
        <f t="shared" si="7"/>
        <v>1.0000000000000002</v>
      </c>
      <c r="O21" s="49">
        <f t="shared" si="8"/>
        <v>0.19413971499903304</v>
      </c>
      <c r="P21" s="49">
        <f t="shared" si="9"/>
        <v>1.099231983986379E-2</v>
      </c>
      <c r="Q21" s="50">
        <f t="shared" si="10"/>
        <v>0.98117034019756577</v>
      </c>
      <c r="R21" s="50">
        <f t="shared" si="11"/>
        <v>1.8829659802434388E-2</v>
      </c>
      <c r="S21" s="51">
        <f>IF(R21&lt;Interface!$B$21,R21,0)</f>
        <v>1.8829659802434388E-2</v>
      </c>
    </row>
    <row r="22" spans="1:19">
      <c r="A22" s="39"/>
      <c r="B22" s="39"/>
      <c r="C22" s="91" t="b">
        <v>0</v>
      </c>
      <c r="D22" s="93">
        <f>LOOKUP(Interface!B12,Pregnancy!A:A,Pregnancy!D:D)</f>
        <v>15.83839361332342</v>
      </c>
      <c r="E22" s="39"/>
      <c r="F22" s="46">
        <v>21</v>
      </c>
      <c r="G22" s="47">
        <f t="shared" si="0"/>
        <v>0.75970214972938599</v>
      </c>
      <c r="H22" s="47">
        <f t="shared" si="1"/>
        <v>3.6906374579847724E-2</v>
      </c>
      <c r="I22" s="47">
        <f t="shared" si="2"/>
        <v>8.3220256405538966E-3</v>
      </c>
      <c r="J22" s="47">
        <f t="shared" si="3"/>
        <v>9.3895771314867912E-2</v>
      </c>
      <c r="K22" s="47">
        <f t="shared" si="4"/>
        <v>9.0212883225477172E-2</v>
      </c>
      <c r="L22" s="47">
        <f t="shared" si="5"/>
        <v>5.5900269935327835E-3</v>
      </c>
      <c r="M22" s="47">
        <f t="shared" si="6"/>
        <v>5.3707685163345174E-3</v>
      </c>
      <c r="N22" s="48">
        <f t="shared" si="7"/>
        <v>1</v>
      </c>
      <c r="O22" s="49">
        <f t="shared" si="8"/>
        <v>0.18410865454034508</v>
      </c>
      <c r="P22" s="49">
        <f t="shared" si="9"/>
        <v>1.09607955098673E-2</v>
      </c>
      <c r="Q22" s="50">
        <f t="shared" si="10"/>
        <v>0.98071717884957876</v>
      </c>
      <c r="R22" s="50">
        <f t="shared" si="11"/>
        <v>1.9282821150421195E-2</v>
      </c>
      <c r="S22" s="51">
        <f>IF(R22&lt;Interface!$B$21,R22,0)</f>
        <v>1.9282821150421195E-2</v>
      </c>
    </row>
    <row r="23" spans="1:19">
      <c r="A23" s="39"/>
      <c r="B23" s="39"/>
      <c r="C23" s="91" t="b">
        <v>0</v>
      </c>
      <c r="D23" s="93">
        <f ca="1">LOOKUP(Interface!B12,Pregnancy!A:A,Pregnancy!E:E)</f>
        <v>90</v>
      </c>
      <c r="E23" s="39"/>
      <c r="F23" s="46">
        <v>22</v>
      </c>
      <c r="G23" s="47">
        <f t="shared" si="0"/>
        <v>0.76608222717575158</v>
      </c>
      <c r="H23" s="47">
        <f t="shared" si="1"/>
        <v>3.9042775262690857E-2</v>
      </c>
      <c r="I23" s="47">
        <f t="shared" si="2"/>
        <v>8.8037630494302889E-3</v>
      </c>
      <c r="J23" s="47">
        <f t="shared" si="3"/>
        <v>9.4684320212733333E-2</v>
      </c>
      <c r="K23" s="47">
        <f t="shared" si="4"/>
        <v>8.0448777169504243E-2</v>
      </c>
      <c r="L23" s="47">
        <f t="shared" si="5"/>
        <v>5.913617094756545E-3</v>
      </c>
      <c r="M23" s="47">
        <f t="shared" si="6"/>
        <v>5.0245200351331397E-3</v>
      </c>
      <c r="N23" s="48">
        <f t="shared" si="7"/>
        <v>1</v>
      </c>
      <c r="O23" s="49">
        <f t="shared" si="8"/>
        <v>0.17513309738223759</v>
      </c>
      <c r="P23" s="49">
        <f t="shared" si="9"/>
        <v>1.0938137129889685E-2</v>
      </c>
      <c r="Q23" s="50">
        <f t="shared" si="10"/>
        <v>0.98025809982068002</v>
      </c>
      <c r="R23" s="50">
        <f t="shared" si="11"/>
        <v>1.9741900179319975E-2</v>
      </c>
      <c r="S23" s="51">
        <f>IF(R23&lt;Interface!$B$21,R23,0)</f>
        <v>1.9741900179319975E-2</v>
      </c>
    </row>
    <row r="24" spans="1:19">
      <c r="A24" s="39"/>
      <c r="B24" s="39"/>
      <c r="C24" s="91">
        <v>82</v>
      </c>
      <c r="D24" s="91">
        <v>59</v>
      </c>
      <c r="E24" s="39"/>
      <c r="F24" s="46">
        <v>23</v>
      </c>
      <c r="G24" s="47">
        <f t="shared" si="0"/>
        <v>0.77152809724440841</v>
      </c>
      <c r="H24" s="47">
        <f t="shared" si="1"/>
        <v>4.1164832065189637E-2</v>
      </c>
      <c r="I24" s="47">
        <f t="shared" si="2"/>
        <v>9.2822660539153088E-3</v>
      </c>
      <c r="J24" s="47">
        <f t="shared" si="3"/>
        <v>9.5357405277398777E-2</v>
      </c>
      <c r="K24" s="47">
        <f t="shared" si="4"/>
        <v>7.1741479893647583E-2</v>
      </c>
      <c r="L24" s="47">
        <f t="shared" si="5"/>
        <v>6.2350345989904974E-3</v>
      </c>
      <c r="M24" s="47">
        <f t="shared" si="6"/>
        <v>4.6908848664498374E-3</v>
      </c>
      <c r="N24" s="48">
        <f t="shared" si="7"/>
        <v>1</v>
      </c>
      <c r="O24" s="49">
        <f t="shared" si="8"/>
        <v>0.16709888517104637</v>
      </c>
      <c r="P24" s="49">
        <f t="shared" si="9"/>
        <v>1.0925919465440335E-2</v>
      </c>
      <c r="Q24" s="50">
        <f t="shared" si="10"/>
        <v>0.97979181448064445</v>
      </c>
      <c r="R24" s="50">
        <f t="shared" si="11"/>
        <v>2.0208185519355645E-2</v>
      </c>
      <c r="S24" s="51">
        <f>IF(R24&lt;Interface!$B$21,R24,0)</f>
        <v>2.0208185519355645E-2</v>
      </c>
    </row>
    <row r="25" spans="1:19">
      <c r="A25" s="39"/>
      <c r="B25" s="39"/>
      <c r="C25" s="91">
        <v>6</v>
      </c>
      <c r="D25" s="91"/>
      <c r="E25" s="39"/>
      <c r="F25" s="46">
        <v>24</v>
      </c>
      <c r="G25" s="47">
        <f t="shared" si="0"/>
        <v>0.77614154306769367</v>
      </c>
      <c r="H25" s="47">
        <f t="shared" si="1"/>
        <v>4.3271640805580616E-2</v>
      </c>
      <c r="I25" s="47">
        <f t="shared" si="2"/>
        <v>9.7573307698858233E-3</v>
      </c>
      <c r="J25" s="47">
        <f t="shared" si="3"/>
        <v>9.5927606446568878E-2</v>
      </c>
      <c r="K25" s="47">
        <f t="shared" si="4"/>
        <v>6.39766086995497E-2</v>
      </c>
      <c r="L25" s="47">
        <f t="shared" si="5"/>
        <v>6.5541425542711322E-3</v>
      </c>
      <c r="M25" s="47">
        <f t="shared" si="6"/>
        <v>4.3711276564502386E-3</v>
      </c>
      <c r="N25" s="48">
        <f t="shared" si="7"/>
        <v>1</v>
      </c>
      <c r="O25" s="49">
        <f t="shared" si="8"/>
        <v>0.15990421514611858</v>
      </c>
      <c r="P25" s="49">
        <f t="shared" si="9"/>
        <v>1.0925270210721372E-2</v>
      </c>
      <c r="Q25" s="50">
        <f t="shared" si="10"/>
        <v>0.97931739901939285</v>
      </c>
      <c r="R25" s="50">
        <f t="shared" si="11"/>
        <v>2.0682600980607195E-2</v>
      </c>
      <c r="S25" s="51">
        <f>IF(R25&lt;Interface!$B$21,R25,0)</f>
        <v>2.0682600980607195E-2</v>
      </c>
    </row>
    <row r="26" spans="1:19">
      <c r="A26" s="39"/>
      <c r="B26" s="39"/>
      <c r="C26" s="91"/>
      <c r="D26" s="91">
        <f>IF(C22,D22,D24)</f>
        <v>59</v>
      </c>
      <c r="E26" s="39"/>
      <c r="F26" s="46">
        <v>25</v>
      </c>
      <c r="G26" s="47">
        <f t="shared" si="0"/>
        <v>0.7800133295342021</v>
      </c>
      <c r="H26" s="47">
        <f t="shared" si="1"/>
        <v>4.5362598687739682E-2</v>
      </c>
      <c r="I26" s="47">
        <f t="shared" si="2"/>
        <v>1.0228821272725614E-2</v>
      </c>
      <c r="J26" s="47">
        <f t="shared" si="3"/>
        <v>9.6406141852541816E-2</v>
      </c>
      <c r="K26" s="47">
        <f t="shared" si="4"/>
        <v>5.7052160991980287E-2</v>
      </c>
      <c r="L26" s="47">
        <f t="shared" si="5"/>
        <v>6.8708496580350354E-3</v>
      </c>
      <c r="M26" s="47">
        <f t="shared" si="6"/>
        <v>4.0660980027754558E-3</v>
      </c>
      <c r="N26" s="48">
        <f t="shared" si="7"/>
        <v>1</v>
      </c>
      <c r="O26" s="49">
        <f t="shared" si="8"/>
        <v>0.15345830284452211</v>
      </c>
      <c r="P26" s="49">
        <f t="shared" si="9"/>
        <v>1.0936947660810492E-2</v>
      </c>
      <c r="Q26" s="50">
        <f t="shared" si="10"/>
        <v>0.97883423106646394</v>
      </c>
      <c r="R26" s="50">
        <f t="shared" si="11"/>
        <v>2.1165768933536104E-2</v>
      </c>
      <c r="S26" s="51">
        <f>IF(R26&lt;Interface!$B$21,R26,0)</f>
        <v>2.1165768933536104E-2</v>
      </c>
    </row>
    <row r="27" spans="1:19">
      <c r="A27" s="39"/>
      <c r="B27" s="39"/>
      <c r="C27" s="91"/>
      <c r="D27" s="91">
        <f>IF(C23,D23,D24)</f>
        <v>59</v>
      </c>
      <c r="E27" s="39"/>
      <c r="F27" s="46">
        <v>26</v>
      </c>
      <c r="G27" s="47">
        <f t="shared" si="0"/>
        <v>0.78322439584303893</v>
      </c>
      <c r="H27" s="47">
        <f t="shared" si="1"/>
        <v>4.7437350308340766E-2</v>
      </c>
      <c r="I27" s="47">
        <f t="shared" si="2"/>
        <v>1.0696657422468996E-2</v>
      </c>
      <c r="J27" s="47">
        <f t="shared" si="3"/>
        <v>9.6803015216555363E-2</v>
      </c>
      <c r="K27" s="47">
        <f t="shared" si="4"/>
        <v>5.0877174330088343E-2</v>
      </c>
      <c r="L27" s="47">
        <f t="shared" si="5"/>
        <v>7.1851020790888462E-3</v>
      </c>
      <c r="M27" s="47">
        <f t="shared" si="6"/>
        <v>3.7763048004187099E-3</v>
      </c>
      <c r="N27" s="48">
        <f t="shared" si="7"/>
        <v>0.99999999999999978</v>
      </c>
      <c r="O27" s="49">
        <f t="shared" si="8"/>
        <v>0.14768018954664369</v>
      </c>
      <c r="P27" s="49">
        <f t="shared" si="9"/>
        <v>1.0961406879507557E-2</v>
      </c>
      <c r="Q27" s="50">
        <f t="shared" si="10"/>
        <v>0.97834193569802341</v>
      </c>
      <c r="R27" s="50">
        <f t="shared" si="11"/>
        <v>2.1658064301976553E-2</v>
      </c>
      <c r="S27" s="51">
        <f>IF(R27&lt;Interface!$B$21,R27,0)</f>
        <v>2.1658064301976553E-2</v>
      </c>
    </row>
    <row r="28" spans="1:19">
      <c r="A28" s="39"/>
      <c r="B28" s="39"/>
      <c r="C28" s="91"/>
      <c r="D28" s="91">
        <f>MIN(D26,D27)</f>
        <v>59</v>
      </c>
      <c r="E28" s="39"/>
      <c r="F28" s="46">
        <v>27</v>
      </c>
      <c r="G28" s="47">
        <f t="shared" si="0"/>
        <v>0.78584691898307835</v>
      </c>
      <c r="H28" s="47">
        <f t="shared" si="1"/>
        <v>4.9495741768143031E-2</v>
      </c>
      <c r="I28" s="47">
        <f t="shared" si="2"/>
        <v>1.1160804516345976E-2</v>
      </c>
      <c r="J28" s="47">
        <f t="shared" si="3"/>
        <v>9.7127147290043389E-2</v>
      </c>
      <c r="K28" s="47">
        <f t="shared" si="4"/>
        <v>4.5370531506739233E-2</v>
      </c>
      <c r="L28" s="47">
        <f t="shared" si="5"/>
        <v>7.4968765070716741E-3</v>
      </c>
      <c r="M28" s="47">
        <f t="shared" si="6"/>
        <v>3.501979428578321E-3</v>
      </c>
      <c r="N28" s="48">
        <f t="shared" si="7"/>
        <v>0.99999999999999978</v>
      </c>
      <c r="O28" s="49">
        <f t="shared" si="8"/>
        <v>0.14249767879678263</v>
      </c>
      <c r="P28" s="49">
        <f t="shared" si="9"/>
        <v>1.0998855935649995E-2</v>
      </c>
      <c r="Q28" s="50">
        <f t="shared" si="10"/>
        <v>0.97784033954800398</v>
      </c>
      <c r="R28" s="50">
        <f t="shared" si="11"/>
        <v>2.2159660451995973E-2</v>
      </c>
      <c r="S28" s="51">
        <f>IF(R28&lt;Interface!$B$21,R28,0)</f>
        <v>2.2159660451995973E-2</v>
      </c>
    </row>
    <row r="29" spans="1:19">
      <c r="A29" s="39"/>
      <c r="B29" s="39"/>
      <c r="C29" s="91"/>
      <c r="D29" s="91"/>
      <c r="E29" s="39"/>
      <c r="F29" s="46">
        <v>28</v>
      </c>
      <c r="G29" s="47">
        <f t="shared" si="0"/>
        <v>0.78794526210753646</v>
      </c>
      <c r="H29" s="47">
        <f t="shared" si="1"/>
        <v>5.1537781771186404E-2</v>
      </c>
      <c r="I29" s="47">
        <f t="shared" si="2"/>
        <v>1.1621264517032225E-2</v>
      </c>
      <c r="J29" s="47">
        <f t="shared" si="3"/>
        <v>9.7386493069470795E-2</v>
      </c>
      <c r="K29" s="47">
        <f t="shared" si="4"/>
        <v>4.045989495895895E-2</v>
      </c>
      <c r="L29" s="47">
        <f t="shared" si="5"/>
        <v>7.8061742603416258E-3</v>
      </c>
      <c r="M29" s="47">
        <f t="shared" si="6"/>
        <v>3.2431293154734355E-3</v>
      </c>
      <c r="N29" s="48">
        <f t="shared" si="7"/>
        <v>0.99999999999999989</v>
      </c>
      <c r="O29" s="49">
        <f t="shared" si="8"/>
        <v>0.13784638802842974</v>
      </c>
      <c r="P29" s="49">
        <f t="shared" si="9"/>
        <v>1.1049303575815062E-2</v>
      </c>
      <c r="Q29" s="50">
        <f t="shared" si="10"/>
        <v>0.9773294319071526</v>
      </c>
      <c r="R29" s="50">
        <f t="shared" si="11"/>
        <v>2.2670568092847287E-2</v>
      </c>
      <c r="S29" s="51">
        <f>IF(R29&lt;Interface!$B$21,R29,0)</f>
        <v>2.2670568092847287E-2</v>
      </c>
    </row>
    <row r="30" spans="1:19">
      <c r="A30" s="39"/>
      <c r="B30" s="39"/>
      <c r="C30" s="91"/>
      <c r="D30" s="91"/>
      <c r="E30" s="39"/>
      <c r="F30" s="46">
        <v>29</v>
      </c>
      <c r="G30" s="47">
        <f t="shared" si="0"/>
        <v>0.78957682026210663</v>
      </c>
      <c r="H30" s="47">
        <f t="shared" si="1"/>
        <v>5.3563608741775674E-2</v>
      </c>
      <c r="I30" s="47">
        <f t="shared" si="2"/>
        <v>1.2078068637851375E-2</v>
      </c>
      <c r="J30" s="47">
        <f t="shared" si="3"/>
        <v>9.7588146324530015E-2</v>
      </c>
      <c r="K30" s="47">
        <f t="shared" si="4"/>
        <v>3.6080756511455793E-2</v>
      </c>
      <c r="L30" s="47">
        <f t="shared" si="5"/>
        <v>8.1130163053471632E-3</v>
      </c>
      <c r="M30" s="47">
        <f t="shared" si="6"/>
        <v>2.9995832169334058E-3</v>
      </c>
      <c r="N30" s="48">
        <f t="shared" si="7"/>
        <v>1</v>
      </c>
      <c r="O30" s="49">
        <f t="shared" si="8"/>
        <v>0.13366890283598581</v>
      </c>
      <c r="P30" s="49">
        <f t="shared" si="9"/>
        <v>1.1112599522280569E-2</v>
      </c>
      <c r="Q30" s="50">
        <f t="shared" si="10"/>
        <v>0.97680933183986807</v>
      </c>
      <c r="R30" s="50">
        <f t="shared" si="11"/>
        <v>2.3190668160131944E-2</v>
      </c>
      <c r="S30" s="51">
        <f>IF(R30&lt;Interface!$B$21,R30,0)</f>
        <v>2.3190668160131944E-2</v>
      </c>
    </row>
    <row r="31" spans="1:19">
      <c r="A31" s="39"/>
      <c r="B31" s="39"/>
      <c r="C31" s="91"/>
      <c r="D31" s="91"/>
      <c r="E31" s="39"/>
      <c r="F31" s="46">
        <v>30</v>
      </c>
      <c r="G31" s="47">
        <f t="shared" si="0"/>
        <v>0.79079277457649477</v>
      </c>
      <c r="H31" s="47">
        <f t="shared" si="1"/>
        <v>5.5573463116747726E-2</v>
      </c>
      <c r="I31" s="47">
        <f t="shared" si="2"/>
        <v>1.2531271094952915E-2</v>
      </c>
      <c r="J31" s="47">
        <f t="shared" si="3"/>
        <v>9.7738432812825182E-2</v>
      </c>
      <c r="K31" s="47">
        <f t="shared" si="4"/>
        <v>3.2175589970252758E-2</v>
      </c>
      <c r="L31" s="47">
        <f t="shared" si="5"/>
        <v>8.4174390598731105E-3</v>
      </c>
      <c r="M31" s="47">
        <f t="shared" si="6"/>
        <v>2.7710293688536424E-3</v>
      </c>
      <c r="N31" s="48">
        <f t="shared" si="7"/>
        <v>1</v>
      </c>
      <c r="O31" s="49">
        <f t="shared" si="8"/>
        <v>0.12991402278307795</v>
      </c>
      <c r="P31" s="49">
        <f t="shared" si="9"/>
        <v>1.1188468428726752E-2</v>
      </c>
      <c r="Q31" s="50">
        <f t="shared" si="10"/>
        <v>0.97628026047632044</v>
      </c>
      <c r="R31" s="50">
        <f t="shared" si="11"/>
        <v>2.3719739523679666E-2</v>
      </c>
      <c r="S31" s="51">
        <f>IF(R31&lt;Interface!$B$21,R31,0)</f>
        <v>2.3719739523679666E-2</v>
      </c>
    </row>
    <row r="32" spans="1:19">
      <c r="A32" s="39"/>
      <c r="B32" s="39"/>
      <c r="C32" s="91"/>
      <c r="D32" s="91"/>
      <c r="E32" s="39"/>
      <c r="F32" s="46">
        <v>31</v>
      </c>
      <c r="G32" s="47">
        <f t="shared" si="0"/>
        <v>0.79163876482673567</v>
      </c>
      <c r="H32" s="47">
        <f t="shared" si="1"/>
        <v>5.7567664081925089E-2</v>
      </c>
      <c r="I32" s="47">
        <f t="shared" si="2"/>
        <v>1.2980943861610559E-2</v>
      </c>
      <c r="J32" s="47">
        <f t="shared" si="3"/>
        <v>9.7842993405551595E-2</v>
      </c>
      <c r="K32" s="47">
        <f t="shared" si="4"/>
        <v>2.8693095434546335E-2</v>
      </c>
      <c r="L32" s="47">
        <f t="shared" si="5"/>
        <v>8.7194908694257535E-3</v>
      </c>
      <c r="M32" s="47">
        <f t="shared" si="6"/>
        <v>2.5570475202048837E-3</v>
      </c>
      <c r="N32" s="48">
        <f t="shared" si="7"/>
        <v>0.99999999999999989</v>
      </c>
      <c r="O32" s="49">
        <f t="shared" si="8"/>
        <v>0.12653608884009793</v>
      </c>
      <c r="P32" s="49">
        <f t="shared" si="9"/>
        <v>1.1276538389630638E-2</v>
      </c>
      <c r="Q32" s="50">
        <f t="shared" si="10"/>
        <v>0.97574251774875864</v>
      </c>
      <c r="R32" s="50">
        <f t="shared" si="11"/>
        <v>2.4257482251241198E-2</v>
      </c>
      <c r="S32" s="51">
        <f>IF(R32&lt;Interface!$B$21,R32,0)</f>
        <v>2.4257482251241198E-2</v>
      </c>
    </row>
    <row r="33" spans="1:19">
      <c r="A33" s="39"/>
      <c r="B33" s="39"/>
      <c r="C33" s="91"/>
      <c r="D33" s="91"/>
      <c r="E33" s="39"/>
      <c r="F33" s="46">
        <v>32</v>
      </c>
      <c r="G33" s="47">
        <f t="shared" si="0"/>
        <v>0.79215548920334955</v>
      </c>
      <c r="H33" s="47">
        <f t="shared" si="1"/>
        <v>5.9546590118872027E-2</v>
      </c>
      <c r="I33" s="47">
        <f t="shared" si="2"/>
        <v>1.3427172281706435E-2</v>
      </c>
      <c r="J33" s="47">
        <f t="shared" si="3"/>
        <v>9.7906858216144296E-2</v>
      </c>
      <c r="K33" s="47">
        <f t="shared" si="4"/>
        <v>2.5587525399756207E-2</v>
      </c>
      <c r="L33" s="47">
        <f t="shared" si="5"/>
        <v>9.01922906074565E-3</v>
      </c>
      <c r="M33" s="47">
        <f t="shared" si="6"/>
        <v>2.3571357194259795E-3</v>
      </c>
      <c r="N33" s="48">
        <f t="shared" si="7"/>
        <v>1.0000000000000002</v>
      </c>
      <c r="O33" s="49">
        <f t="shared" si="8"/>
        <v>0.12349438361590051</v>
      </c>
      <c r="P33" s="49">
        <f t="shared" si="9"/>
        <v>1.1376364780171629E-2</v>
      </c>
      <c r="Q33" s="50">
        <f t="shared" si="10"/>
        <v>0.97519646293812212</v>
      </c>
      <c r="R33" s="50">
        <f t="shared" si="11"/>
        <v>2.4803537061878066E-2</v>
      </c>
      <c r="S33" s="51">
        <f>IF(R33&lt;Interface!$B$21,R33,0)</f>
        <v>2.4803537061878066E-2</v>
      </c>
    </row>
    <row r="34" spans="1:19">
      <c r="A34" s="39"/>
      <c r="B34" s="39"/>
      <c r="C34" s="91"/>
      <c r="D34" s="91"/>
      <c r="E34" s="39"/>
      <c r="F34" s="46">
        <v>33</v>
      </c>
      <c r="G34" s="47">
        <f t="shared" ref="G34:G65" si="12">p.delivery*(1-(1-p.conception)^F34)*(1-alpha)^F34</f>
        <v>0.79237923916414255</v>
      </c>
      <c r="H34" s="47">
        <f t="shared" ref="H34:H65" si="13" xml:space="preserve"> p.delivery*(1-h.mtctx*p.mtct)*(1-(1-p.conception)^F34)*(1-(1-alpha)^F34)</f>
        <v>6.1510662812847047E-2</v>
      </c>
      <c r="I34" s="47">
        <f t="shared" ref="I34:I65" si="14">p.delivery*(h.mtctx*p.mtct)*(1-(1-p.conception)^F34)*(1-(1-alpha)^F34)</f>
        <v>1.3870051418583156E-2</v>
      </c>
      <c r="J34" s="47">
        <f t="shared" ref="J34:J65" si="15">(1-p.delivery)*(1-(1-p.conception)^F34)*(1-alpha)^F34</f>
        <v>9.7934512705680529E-2</v>
      </c>
      <c r="K34" s="47">
        <f t="shared" ref="K34:K65" si="16">((1-p.conception)^F34)*(1-alpha)^F34</f>
        <v>2.2818083799173789E-2</v>
      </c>
      <c r="L34" s="47">
        <f t="shared" ref="L34:L65" si="17">(1-p.delivery)*(1-(1-p.conception)^F34)*(1-(1-alpha)^F34)</f>
        <v>9.3167174892778877E-3</v>
      </c>
      <c r="M34" s="47">
        <f t="shared" ref="M34:M65" si="18">(1-p.conception)^F34*(1-(1-alpha)^F34)</f>
        <v>2.170732610295001E-3</v>
      </c>
      <c r="N34" s="48">
        <f t="shared" si="7"/>
        <v>0.99999999999999989</v>
      </c>
      <c r="O34" s="49">
        <f t="shared" si="8"/>
        <v>0.12075259650485431</v>
      </c>
      <c r="P34" s="49">
        <f t="shared" si="9"/>
        <v>1.1487450099572888E-2</v>
      </c>
      <c r="Q34" s="50">
        <f t="shared" si="10"/>
        <v>0.97464249848184392</v>
      </c>
      <c r="R34" s="50">
        <f t="shared" si="11"/>
        <v>2.5357501518156043E-2</v>
      </c>
      <c r="S34" s="51">
        <f>IF(R34&lt;Interface!$B$21,R34,0)</f>
        <v>2.5357501518156043E-2</v>
      </c>
    </row>
    <row r="35" spans="1:19">
      <c r="A35" s="39"/>
      <c r="B35" s="39"/>
      <c r="C35" s="91"/>
      <c r="D35" s="91"/>
      <c r="E35" s="39"/>
      <c r="F35" s="46">
        <v>34</v>
      </c>
      <c r="G35" s="47">
        <f t="shared" si="12"/>
        <v>0.79234237639771288</v>
      </c>
      <c r="H35" s="47">
        <f t="shared" si="13"/>
        <v>6.346033344673653E-2</v>
      </c>
      <c r="I35" s="47">
        <f t="shared" si="14"/>
        <v>1.4309683032107254E-2</v>
      </c>
      <c r="J35" s="47">
        <f t="shared" si="15"/>
        <v>9.7929956633425158E-2</v>
      </c>
      <c r="K35" s="47">
        <f t="shared" si="16"/>
        <v>2.0348390089769214E-2</v>
      </c>
      <c r="L35" s="47">
        <f t="shared" si="17"/>
        <v>9.6120245086211403E-3</v>
      </c>
      <c r="M35" s="47">
        <f t="shared" si="18"/>
        <v>1.9972358916279481E-3</v>
      </c>
      <c r="N35" s="48">
        <f t="shared" si="7"/>
        <v>1</v>
      </c>
      <c r="O35" s="49">
        <f t="shared" si="8"/>
        <v>0.11827834672319437</v>
      </c>
      <c r="P35" s="49">
        <f t="shared" si="9"/>
        <v>1.1609260400249089E-2</v>
      </c>
      <c r="Q35" s="50">
        <f t="shared" si="10"/>
        <v>0.97408105656764377</v>
      </c>
      <c r="R35" s="50">
        <f t="shared" si="11"/>
        <v>2.5918943432356345E-2</v>
      </c>
      <c r="S35" s="51">
        <f>IF(R35&lt;Interface!$B$21,R35,0)</f>
        <v>2.5918943432356345E-2</v>
      </c>
    </row>
    <row r="36" spans="1:19">
      <c r="A36" s="39"/>
      <c r="B36" s="39"/>
      <c r="C36" s="91"/>
      <c r="D36" s="91"/>
      <c r="E36" s="39"/>
      <c r="F36" s="46">
        <v>35</v>
      </c>
      <c r="G36" s="47">
        <f t="shared" si="12"/>
        <v>0.79207375816324299</v>
      </c>
      <c r="H36" s="47">
        <f t="shared" si="13"/>
        <v>6.5396071970120123E-2</v>
      </c>
      <c r="I36" s="47">
        <f t="shared" si="14"/>
        <v>1.4746173091301596E-2</v>
      </c>
      <c r="J36" s="47">
        <f t="shared" si="15"/>
        <v>9.7896756626917658E-2</v>
      </c>
      <c r="K36" s="47">
        <f t="shared" si="16"/>
        <v>1.814600134216399E-2</v>
      </c>
      <c r="L36" s="47">
        <f t="shared" si="17"/>
        <v>9.9052212997262773E-3</v>
      </c>
      <c r="M36" s="47">
        <f t="shared" si="18"/>
        <v>1.8360175065273111E-3</v>
      </c>
      <c r="N36" s="48">
        <f t="shared" si="7"/>
        <v>0.99999999999999989</v>
      </c>
      <c r="O36" s="49">
        <f t="shared" si="8"/>
        <v>0.11604275796908164</v>
      </c>
      <c r="P36" s="49">
        <f t="shared" si="9"/>
        <v>1.1741238806253589E-2</v>
      </c>
      <c r="Q36" s="50">
        <f t="shared" si="10"/>
        <v>0.97351258810244479</v>
      </c>
      <c r="R36" s="50">
        <f t="shared" si="11"/>
        <v>2.6487411897555185E-2</v>
      </c>
      <c r="S36" s="51">
        <f>IF(R36&lt;Interface!$B$21,R36,0)</f>
        <v>2.6487411897555185E-2</v>
      </c>
    </row>
    <row r="37" spans="1:19">
      <c r="A37" s="39"/>
      <c r="B37" s="39"/>
      <c r="C37" s="91"/>
      <c r="D37" s="91"/>
      <c r="E37" s="39"/>
      <c r="F37" s="46">
        <v>36</v>
      </c>
      <c r="G37" s="47">
        <f t="shared" si="12"/>
        <v>0.79159911659403359</v>
      </c>
      <c r="H37" s="47">
        <f t="shared" si="13"/>
        <v>6.7318357988648089E-2</v>
      </c>
      <c r="I37" s="47">
        <f t="shared" si="14"/>
        <v>1.5179629742538291E-2</v>
      </c>
      <c r="J37" s="47">
        <f t="shared" si="15"/>
        <v>9.7838093062183912E-2</v>
      </c>
      <c r="K37" s="47">
        <f t="shared" si="16"/>
        <v>1.618198605674322E-2</v>
      </c>
      <c r="L37" s="47">
        <f t="shared" si="17"/>
        <v>1.0196380506101685E-2</v>
      </c>
      <c r="M37" s="47">
        <f t="shared" si="18"/>
        <v>1.6864360497512625E-3</v>
      </c>
      <c r="N37" s="48">
        <f t="shared" si="7"/>
        <v>1</v>
      </c>
      <c r="O37" s="49">
        <f t="shared" si="8"/>
        <v>0.11402007911892713</v>
      </c>
      <c r="P37" s="49">
        <f t="shared" si="9"/>
        <v>1.1882816555852948E-2</v>
      </c>
      <c r="Q37" s="50">
        <f t="shared" si="10"/>
        <v>0.97293755370160884</v>
      </c>
      <c r="R37" s="50">
        <f t="shared" si="11"/>
        <v>2.7062446298391239E-2</v>
      </c>
      <c r="S37" s="51">
        <f>IF(R37&lt;Interface!$B$21,R37,0)</f>
        <v>2.7062446298391239E-2</v>
      </c>
    </row>
    <row r="38" spans="1:19">
      <c r="A38" s="39"/>
      <c r="B38" s="39"/>
      <c r="C38" s="91"/>
      <c r="D38" s="91"/>
      <c r="E38" s="39"/>
      <c r="F38" s="46">
        <v>37</v>
      </c>
      <c r="G38" s="47">
        <f t="shared" si="12"/>
        <v>0.79094139694746146</v>
      </c>
      <c r="H38" s="47">
        <f t="shared" si="13"/>
        <v>6.9227673467652781E-2</v>
      </c>
      <c r="I38" s="47">
        <f t="shared" si="14"/>
        <v>1.5610161664274645E-2</v>
      </c>
      <c r="J38" s="47">
        <f t="shared" si="15"/>
        <v>9.7756801869910953E-2</v>
      </c>
      <c r="K38" s="47">
        <f t="shared" si="16"/>
        <v>1.4430544107377676E-2</v>
      </c>
      <c r="L38" s="47">
        <f t="shared" si="17"/>
        <v>1.0485575128665187E-2</v>
      </c>
      <c r="M38" s="47">
        <f t="shared" si="18"/>
        <v>1.5478468146572883E-3</v>
      </c>
      <c r="N38" s="48">
        <f t="shared" si="7"/>
        <v>1</v>
      </c>
      <c r="O38" s="49">
        <f t="shared" si="8"/>
        <v>0.11218734597728863</v>
      </c>
      <c r="P38" s="49">
        <f t="shared" si="9"/>
        <v>1.2033421943322475E-2</v>
      </c>
      <c r="Q38" s="50">
        <f t="shared" si="10"/>
        <v>0.97235641639240289</v>
      </c>
      <c r="R38" s="50">
        <f t="shared" si="11"/>
        <v>2.7643583607597118E-2</v>
      </c>
      <c r="S38" s="51">
        <f>IF(R38&lt;Interface!$B$21,R38,0)</f>
        <v>2.7643583607597118E-2</v>
      </c>
    </row>
    <row r="39" spans="1:19">
      <c r="A39" s="39"/>
      <c r="B39" s="39"/>
      <c r="C39" s="91"/>
      <c r="D39" s="91"/>
      <c r="E39" s="39"/>
      <c r="F39" s="46">
        <v>38</v>
      </c>
      <c r="G39" s="47">
        <f t="shared" si="12"/>
        <v>0.79012105924476128</v>
      </c>
      <c r="H39" s="47">
        <f t="shared" si="13"/>
        <v>7.1124496886294131E-2</v>
      </c>
      <c r="I39" s="47">
        <f t="shared" si="14"/>
        <v>1.6037876748870243E-2</v>
      </c>
      <c r="J39" s="47">
        <f t="shared" si="15"/>
        <v>9.765541181676822E-2</v>
      </c>
      <c r="K39" s="47">
        <f t="shared" si="16"/>
        <v>1.2868667820177508E-2</v>
      </c>
      <c r="L39" s="47">
        <f t="shared" si="17"/>
        <v>1.0772877640301213E-2</v>
      </c>
      <c r="M39" s="47">
        <f t="shared" si="18"/>
        <v>1.4196098428274683E-3</v>
      </c>
      <c r="N39" s="48">
        <f t="shared" si="7"/>
        <v>1</v>
      </c>
      <c r="O39" s="49">
        <f t="shared" si="8"/>
        <v>0.11052407963694573</v>
      </c>
      <c r="P39" s="49">
        <f t="shared" si="9"/>
        <v>1.2192487483128681E-2</v>
      </c>
      <c r="Q39" s="50">
        <f t="shared" si="10"/>
        <v>0.97176963576800113</v>
      </c>
      <c r="R39" s="50">
        <f t="shared" si="11"/>
        <v>2.8230364231998924E-2</v>
      </c>
      <c r="S39" s="51">
        <f>IF(R39&lt;Interface!$B$21,R39,0)</f>
        <v>2.8230364231998924E-2</v>
      </c>
    </row>
    <row r="40" spans="1:19">
      <c r="A40" s="39"/>
      <c r="B40" s="39"/>
      <c r="C40" s="91"/>
      <c r="D40" s="91"/>
      <c r="E40" s="39"/>
      <c r="F40" s="46">
        <v>39</v>
      </c>
      <c r="G40" s="47">
        <f t="shared" si="12"/>
        <v>0.78915634726309714</v>
      </c>
      <c r="H40" s="47">
        <f t="shared" si="13"/>
        <v>7.3009298615341903E-2</v>
      </c>
      <c r="I40" s="47">
        <f t="shared" si="14"/>
        <v>1.6462881060322187E-2</v>
      </c>
      <c r="J40" s="47">
        <f t="shared" si="15"/>
        <v>9.7536177751618741E-2</v>
      </c>
      <c r="K40" s="47">
        <f t="shared" si="16"/>
        <v>1.1475839735066337E-2</v>
      </c>
      <c r="L40" s="47">
        <f t="shared" si="17"/>
        <v>1.1058359285756231E-2</v>
      </c>
      <c r="M40" s="47">
        <f t="shared" si="18"/>
        <v>1.3010962887974667E-3</v>
      </c>
      <c r="N40" s="48">
        <f t="shared" si="7"/>
        <v>1</v>
      </c>
      <c r="O40" s="49">
        <f t="shared" si="8"/>
        <v>0.10901201748668508</v>
      </c>
      <c r="P40" s="49">
        <f t="shared" si="9"/>
        <v>1.2359455574553698E-2</v>
      </c>
      <c r="Q40" s="50">
        <f t="shared" si="10"/>
        <v>0.97117766336512412</v>
      </c>
      <c r="R40" s="50">
        <f t="shared" si="11"/>
        <v>2.8822336634875885E-2</v>
      </c>
      <c r="S40" s="51">
        <f>IF(R40&lt;Interface!$B$21,R40,0)</f>
        <v>2.8822336634875885E-2</v>
      </c>
    </row>
    <row r="41" spans="1:19">
      <c r="A41" s="39"/>
      <c r="B41" s="39"/>
      <c r="C41" s="91"/>
      <c r="D41" s="91"/>
      <c r="E41" s="39"/>
      <c r="F41" s="46">
        <v>40</v>
      </c>
      <c r="G41" s="47">
        <f t="shared" si="12"/>
        <v>0.78806352841351868</v>
      </c>
      <c r="H41" s="47">
        <f t="shared" si="13"/>
        <v>7.4882537323655643E-2</v>
      </c>
      <c r="I41" s="47">
        <f t="shared" si="14"/>
        <v>1.6885278023961562E-2</v>
      </c>
      <c r="J41" s="47">
        <f t="shared" si="15"/>
        <v>9.7401110253356224E-2</v>
      </c>
      <c r="K41" s="47">
        <f t="shared" si="16"/>
        <v>1.023376307984542E-2</v>
      </c>
      <c r="L41" s="47">
        <f t="shared" si="17"/>
        <v>1.1342089537345943E-2</v>
      </c>
      <c r="M41" s="47">
        <f t="shared" si="18"/>
        <v>1.1916933683165317E-3</v>
      </c>
      <c r="N41" s="48">
        <f t="shared" si="7"/>
        <v>1</v>
      </c>
      <c r="O41" s="49">
        <f t="shared" si="8"/>
        <v>0.10763487333320164</v>
      </c>
      <c r="P41" s="49">
        <f t="shared" si="9"/>
        <v>1.2533782905662476E-2</v>
      </c>
      <c r="Q41" s="50">
        <f t="shared" si="10"/>
        <v>0.9705809390703759</v>
      </c>
      <c r="R41" s="50">
        <f t="shared" si="11"/>
        <v>2.9419060929624038E-2</v>
      </c>
      <c r="S41" s="51">
        <f>IF(R41&lt;Interface!$B$21,R41,0)</f>
        <v>2.9419060929624038E-2</v>
      </c>
    </row>
    <row r="42" spans="1:19">
      <c r="A42" s="39"/>
      <c r="B42" s="39"/>
      <c r="C42" s="91"/>
      <c r="D42" s="91"/>
      <c r="E42" s="39"/>
      <c r="F42" s="46">
        <v>41</v>
      </c>
      <c r="G42" s="47">
        <f t="shared" si="12"/>
        <v>0.78685710765593919</v>
      </c>
      <c r="H42" s="47">
        <f t="shared" si="13"/>
        <v>7.6744657246128306E-2</v>
      </c>
      <c r="I42" s="47">
        <f t="shared" si="14"/>
        <v>1.7305167810401475E-2</v>
      </c>
      <c r="J42" s="47">
        <f t="shared" si="15"/>
        <v>9.7252002069835169E-2</v>
      </c>
      <c r="K42" s="47">
        <f t="shared" si="16"/>
        <v>9.1261214161424357E-3</v>
      </c>
      <c r="L42" s="47">
        <f t="shared" si="17"/>
        <v>1.1624135681144128E-2</v>
      </c>
      <c r="M42" s="47">
        <f t="shared" si="18"/>
        <v>1.090808120409265E-3</v>
      </c>
      <c r="N42" s="48">
        <f t="shared" si="7"/>
        <v>1</v>
      </c>
      <c r="O42" s="49">
        <f t="shared" si="8"/>
        <v>0.10637812348597761</v>
      </c>
      <c r="P42" s="49">
        <f t="shared" si="9"/>
        <v>1.2714943801553392E-2</v>
      </c>
      <c r="Q42" s="50">
        <f t="shared" si="10"/>
        <v>0.96997988838804505</v>
      </c>
      <c r="R42" s="50">
        <f t="shared" si="11"/>
        <v>3.0020111611954867E-2</v>
      </c>
      <c r="S42" s="51">
        <f>IF(R42&lt;Interface!$B$21,R42,0)</f>
        <v>3.0020111611954867E-2</v>
      </c>
    </row>
    <row r="43" spans="1:19">
      <c r="A43" s="39"/>
      <c r="B43" s="39"/>
      <c r="C43" s="91"/>
      <c r="D43" s="91"/>
      <c r="E43" s="39"/>
      <c r="F43" s="46">
        <v>42</v>
      </c>
      <c r="G43" s="47">
        <f t="shared" si="12"/>
        <v>0.78555001826121651</v>
      </c>
      <c r="H43" s="47">
        <f t="shared" si="13"/>
        <v>7.8596086169874346E-2</v>
      </c>
      <c r="I43" s="47">
        <f t="shared" si="14"/>
        <v>1.7722646881442247E-2</v>
      </c>
      <c r="J43" s="47">
        <f t="shared" si="15"/>
        <v>9.7090451695206512E-2</v>
      </c>
      <c r="K43" s="47">
        <f t="shared" si="16"/>
        <v>8.1383642998535798E-3</v>
      </c>
      <c r="L43" s="47">
        <f t="shared" si="17"/>
        <v>1.1904562511960476E-2</v>
      </c>
      <c r="M43" s="47">
        <f t="shared" si="18"/>
        <v>9.9787018044636064E-4</v>
      </c>
      <c r="N43" s="48">
        <f t="shared" si="7"/>
        <v>1</v>
      </c>
      <c r="O43" s="49">
        <f t="shared" si="8"/>
        <v>0.10522881599506009</v>
      </c>
      <c r="P43" s="49">
        <f t="shared" si="9"/>
        <v>1.2902432692406837E-2</v>
      </c>
      <c r="Q43" s="50">
        <f t="shared" si="10"/>
        <v>0.96937492042615092</v>
      </c>
      <c r="R43" s="50">
        <f t="shared" si="11"/>
        <v>3.0625079573849086E-2</v>
      </c>
      <c r="S43" s="51">
        <f>IF(R43&lt;Interface!$B$21,R43,0)</f>
        <v>3.0625079573849086E-2</v>
      </c>
    </row>
    <row r="44" spans="1:19">
      <c r="A44" s="39"/>
      <c r="B44" s="39"/>
      <c r="C44" s="91"/>
      <c r="D44" s="91"/>
      <c r="E44" s="39"/>
      <c r="F44" s="46">
        <v>43</v>
      </c>
      <c r="G44" s="47">
        <f t="shared" si="12"/>
        <v>0.78415379192626566</v>
      </c>
      <c r="H44" s="47">
        <f t="shared" si="13"/>
        <v>8.0437234016230888E-2</v>
      </c>
      <c r="I44" s="47">
        <f t="shared" si="14"/>
        <v>1.8137807670326571E-2</v>
      </c>
      <c r="J44" s="47">
        <f t="shared" si="15"/>
        <v>9.691788439538114E-2</v>
      </c>
      <c r="K44" s="47">
        <f t="shared" si="16"/>
        <v>7.2575161404249211E-3</v>
      </c>
      <c r="L44" s="47">
        <f t="shared" si="17"/>
        <v>1.218343211856328E-2</v>
      </c>
      <c r="M44" s="47">
        <f t="shared" si="18"/>
        <v>9.1233373280750585E-4</v>
      </c>
      <c r="N44" s="48">
        <f t="shared" si="7"/>
        <v>1</v>
      </c>
      <c r="O44" s="49">
        <f t="shared" si="8"/>
        <v>0.10417540053580607</v>
      </c>
      <c r="P44" s="49">
        <f t="shared" si="9"/>
        <v>1.3095765851370785E-2</v>
      </c>
      <c r="Q44" s="50">
        <f t="shared" si="10"/>
        <v>0.96876642647830269</v>
      </c>
      <c r="R44" s="50">
        <f t="shared" si="11"/>
        <v>3.1233573521697356E-2</v>
      </c>
      <c r="S44" s="51">
        <f>IF(R44&lt;Interface!$B$21,R44,0)</f>
        <v>3.1233573521697356E-2</v>
      </c>
    </row>
    <row r="45" spans="1:19">
      <c r="A45" s="39"/>
      <c r="B45" s="39"/>
      <c r="C45" s="91"/>
      <c r="D45" s="91"/>
      <c r="E45" s="39"/>
      <c r="F45" s="46">
        <v>44</v>
      </c>
      <c r="G45" s="47">
        <f t="shared" si="12"/>
        <v>0.78267871047691195</v>
      </c>
      <c r="H45" s="47">
        <f t="shared" si="13"/>
        <v>8.2268491914118128E-2</v>
      </c>
      <c r="I45" s="47">
        <f t="shared" si="14"/>
        <v>1.855073837279134E-2</v>
      </c>
      <c r="J45" s="47">
        <f t="shared" si="15"/>
        <v>9.6735570957820552E-2</v>
      </c>
      <c r="K45" s="47">
        <f t="shared" si="16"/>
        <v>6.4720057480685475E-3</v>
      </c>
      <c r="L45" s="47">
        <f t="shared" si="17"/>
        <v>1.2460803743325886E-2</v>
      </c>
      <c r="M45" s="47">
        <f t="shared" si="18"/>
        <v>8.3367878696372522E-4</v>
      </c>
      <c r="N45" s="48">
        <f t="shared" si="7"/>
        <v>1.0000000000000002</v>
      </c>
      <c r="O45" s="49">
        <f t="shared" si="8"/>
        <v>0.10320757670588909</v>
      </c>
      <c r="P45" s="49">
        <f t="shared" si="9"/>
        <v>1.3294482530289612E-2</v>
      </c>
      <c r="Q45" s="50">
        <f t="shared" si="10"/>
        <v>0.96815477909691916</v>
      </c>
      <c r="R45" s="50">
        <f t="shared" si="11"/>
        <v>3.1845220903080951E-2</v>
      </c>
      <c r="S45" s="51">
        <f>IF(R45&lt;Interface!$B$21,R45,0)</f>
        <v>3.1845220903080951E-2</v>
      </c>
    </row>
    <row r="46" spans="1:19">
      <c r="A46" s="39"/>
      <c r="B46" s="39"/>
      <c r="C46" s="91"/>
      <c r="D46" s="91"/>
      <c r="E46" s="39"/>
      <c r="F46" s="46">
        <v>45</v>
      </c>
      <c r="G46" s="47">
        <f t="shared" si="12"/>
        <v>0.78113394115131352</v>
      </c>
      <c r="H46" s="47">
        <f t="shared" si="13"/>
        <v>8.4090231675838942E-2</v>
      </c>
      <c r="I46" s="47">
        <f t="shared" si="14"/>
        <v>1.8961522828865637E-2</v>
      </c>
      <c r="J46" s="47">
        <f t="shared" si="15"/>
        <v>9.654464441196009E-2</v>
      </c>
      <c r="K46" s="47">
        <f t="shared" si="16"/>
        <v>5.7715143297745238E-3</v>
      </c>
      <c r="L46" s="47">
        <f t="shared" si="17"/>
        <v>1.2736733702828653E-2</v>
      </c>
      <c r="M46" s="47">
        <f t="shared" si="18"/>
        <v>7.6141189941853621E-4</v>
      </c>
      <c r="N46" s="48">
        <f t="shared" si="7"/>
        <v>1</v>
      </c>
      <c r="O46" s="49">
        <f t="shared" si="8"/>
        <v>0.10231615874173461</v>
      </c>
      <c r="P46" s="49">
        <f t="shared" si="9"/>
        <v>1.3498145602247189E-2</v>
      </c>
      <c r="Q46" s="50">
        <f t="shared" si="10"/>
        <v>0.96754033156888708</v>
      </c>
      <c r="R46" s="50">
        <f t="shared" si="11"/>
        <v>3.2459668431112823E-2</v>
      </c>
      <c r="S46" s="51">
        <f>IF(R46&lt;Interface!$B$21,R46,0)</f>
        <v>3.2459668431112823E-2</v>
      </c>
    </row>
    <row r="47" spans="1:19">
      <c r="A47" s="39"/>
      <c r="B47" s="39"/>
      <c r="C47" s="91"/>
      <c r="D47" s="91"/>
      <c r="E47" s="39"/>
      <c r="F47" s="46">
        <v>46</v>
      </c>
      <c r="G47" s="47">
        <f t="shared" si="12"/>
        <v>0.7795276572411004</v>
      </c>
      <c r="H47" s="47">
        <f t="shared" si="13"/>
        <v>8.5902805599802512E-2</v>
      </c>
      <c r="I47" s="47">
        <f t="shared" si="14"/>
        <v>1.9370240478386837E-2</v>
      </c>
      <c r="J47" s="47">
        <f t="shared" si="15"/>
        <v>9.634611493991127E-2</v>
      </c>
      <c r="K47" s="47">
        <f t="shared" si="16"/>
        <v>5.1468399373306405E-3</v>
      </c>
      <c r="L47" s="47">
        <f t="shared" si="17"/>
        <v>1.3011275357978457E-2</v>
      </c>
      <c r="M47" s="47">
        <f t="shared" si="18"/>
        <v>6.9506644548994218E-4</v>
      </c>
      <c r="N47" s="48">
        <f t="shared" si="7"/>
        <v>1</v>
      </c>
      <c r="O47" s="49">
        <f t="shared" si="8"/>
        <v>0.10149295487724191</v>
      </c>
      <c r="P47" s="49">
        <f t="shared" si="9"/>
        <v>1.37063418034684E-2</v>
      </c>
      <c r="Q47" s="50">
        <f t="shared" si="10"/>
        <v>0.96692341771814483</v>
      </c>
      <c r="R47" s="50">
        <f t="shared" si="11"/>
        <v>3.3076582281855241E-2</v>
      </c>
      <c r="S47" s="51">
        <f>IF(R47&lt;Interface!$B$21,R47,0)</f>
        <v>3.3076582281855241E-2</v>
      </c>
    </row>
    <row r="48" spans="1:19">
      <c r="A48" s="39"/>
      <c r="B48" s="39"/>
      <c r="C48" s="91"/>
      <c r="D48" s="91"/>
      <c r="E48" s="39"/>
      <c r="F48" s="46">
        <v>47</v>
      </c>
      <c r="G48" s="47">
        <f t="shared" si="12"/>
        <v>0.77786714567501769</v>
      </c>
      <c r="H48" s="47">
        <f t="shared" si="13"/>
        <v>8.7706546536207866E-2</v>
      </c>
      <c r="I48" s="47">
        <f t="shared" si="14"/>
        <v>1.9776966375811573E-2</v>
      </c>
      <c r="J48" s="47">
        <f t="shared" si="15"/>
        <v>9.6140883173316774E-2</v>
      </c>
      <c r="K48" s="47">
        <f t="shared" si="16"/>
        <v>4.5897765866825049E-3</v>
      </c>
      <c r="L48" s="47">
        <f t="shared" si="17"/>
        <v>1.3284479123957455E-2</v>
      </c>
      <c r="M48" s="47">
        <f t="shared" si="18"/>
        <v>6.3420252900625541E-4</v>
      </c>
      <c r="N48" s="48">
        <f t="shared" si="7"/>
        <v>1.0000000000000002</v>
      </c>
      <c r="O48" s="49">
        <f t="shared" si="8"/>
        <v>0.10073065975999929</v>
      </c>
      <c r="P48" s="49">
        <f t="shared" si="9"/>
        <v>1.3918681652963711E-2</v>
      </c>
      <c r="Q48" s="50">
        <f t="shared" si="10"/>
        <v>0.96630435197122488</v>
      </c>
      <c r="R48" s="50">
        <f t="shared" si="11"/>
        <v>3.3695648028775282E-2</v>
      </c>
      <c r="S48" s="51">
        <f>IF(R48&lt;Interface!$B$21,R48,0)</f>
        <v>3.3695648028775282E-2</v>
      </c>
    </row>
    <row r="49" spans="1:19">
      <c r="A49" s="39"/>
      <c r="B49" s="39"/>
      <c r="C49" s="91"/>
      <c r="D49" s="91"/>
      <c r="E49" s="39"/>
      <c r="F49" s="46">
        <v>48</v>
      </c>
      <c r="G49" s="47">
        <f t="shared" si="12"/>
        <v>0.776158902958344</v>
      </c>
      <c r="H49" s="47">
        <f t="shared" si="13"/>
        <v>8.9501768161673489E-2</v>
      </c>
      <c r="I49" s="47">
        <f t="shared" si="14"/>
        <v>2.0181771252142058E-2</v>
      </c>
      <c r="J49" s="47">
        <f t="shared" si="15"/>
        <v>9.592975205103127E-2</v>
      </c>
      <c r="K49" s="47">
        <f t="shared" si="16"/>
        <v>4.0930064606952993E-3</v>
      </c>
      <c r="L49" s="47">
        <f t="shared" si="17"/>
        <v>1.3556392511819894E-2</v>
      </c>
      <c r="M49" s="47">
        <f t="shared" si="18"/>
        <v>5.7840660429397733E-4</v>
      </c>
      <c r="N49" s="48">
        <f t="shared" si="7"/>
        <v>1</v>
      </c>
      <c r="O49" s="49">
        <f t="shared" si="8"/>
        <v>0.10002275851172657</v>
      </c>
      <c r="P49" s="49">
        <f t="shared" si="9"/>
        <v>1.4134799116113872E-2</v>
      </c>
      <c r="Q49" s="50">
        <f t="shared" si="10"/>
        <v>0.96568342963174403</v>
      </c>
      <c r="R49" s="50">
        <f t="shared" si="11"/>
        <v>3.431657036825593E-2</v>
      </c>
      <c r="S49" s="51">
        <f>IF(R49&lt;Interface!$B$21,R49,0)</f>
        <v>3.431657036825593E-2</v>
      </c>
    </row>
    <row r="50" spans="1:19">
      <c r="A50" s="39"/>
      <c r="B50" s="39"/>
      <c r="C50" s="91"/>
      <c r="D50" s="91"/>
      <c r="E50" s="39"/>
      <c r="F50" s="46">
        <v>49</v>
      </c>
      <c r="G50" s="47">
        <f t="shared" si="12"/>
        <v>0.7744087207283844</v>
      </c>
      <c r="H50" s="47">
        <f t="shared" si="13"/>
        <v>9.1288765417343834E-2</v>
      </c>
      <c r="I50" s="47">
        <f t="shared" si="14"/>
        <v>2.0584721613714781E-2</v>
      </c>
      <c r="J50" s="47">
        <f t="shared" si="15"/>
        <v>9.57134373933958E-2</v>
      </c>
      <c r="K50" s="47">
        <f t="shared" si="16"/>
        <v>3.6500037792476358E-3</v>
      </c>
      <c r="L50" s="47">
        <f t="shared" si="17"/>
        <v>1.3827060194849939E-2</v>
      </c>
      <c r="M50" s="47">
        <f t="shared" si="18"/>
        <v>5.2729087306365157E-4</v>
      </c>
      <c r="N50" s="48">
        <f t="shared" si="7"/>
        <v>1</v>
      </c>
      <c r="O50" s="49">
        <f t="shared" si="8"/>
        <v>9.9363441172643438E-2</v>
      </c>
      <c r="P50" s="49">
        <f t="shared" si="9"/>
        <v>1.4354351067913591E-2</v>
      </c>
      <c r="Q50" s="50">
        <f t="shared" si="10"/>
        <v>0.96506092731837168</v>
      </c>
      <c r="R50" s="50">
        <f t="shared" si="11"/>
        <v>3.4939072681628373E-2</v>
      </c>
      <c r="S50" s="51">
        <f>IF(R50&lt;Interface!$B$21,R50,0)</f>
        <v>3.4939072681628373E-2</v>
      </c>
    </row>
    <row r="51" spans="1:19">
      <c r="A51" s="39"/>
      <c r="B51" s="39"/>
      <c r="C51" s="91"/>
      <c r="D51" s="91"/>
      <c r="E51" s="39"/>
      <c r="F51" s="46">
        <v>50</v>
      </c>
      <c r="G51" s="47">
        <f t="shared" si="12"/>
        <v>0.77262176204993116</v>
      </c>
      <c r="H51" s="47">
        <f t="shared" si="13"/>
        <v>9.3067815072345031E-2</v>
      </c>
      <c r="I51" s="47">
        <f t="shared" si="14"/>
        <v>2.0985879869254272E-2</v>
      </c>
      <c r="J51" s="47">
        <f t="shared" si="15"/>
        <v>9.5492577332013953E-2</v>
      </c>
      <c r="K51" s="47">
        <f t="shared" si="16"/>
        <v>3.2549490738548372E-3</v>
      </c>
      <c r="L51" s="47">
        <f t="shared" si="17"/>
        <v>1.409652409390553E-2</v>
      </c>
      <c r="M51" s="47">
        <f t="shared" si="18"/>
        <v>4.8049250869520446E-4</v>
      </c>
      <c r="N51" s="48">
        <f t="shared" si="7"/>
        <v>1</v>
      </c>
      <c r="O51" s="49">
        <f t="shared" si="8"/>
        <v>9.8747526405868785E-2</v>
      </c>
      <c r="P51" s="49">
        <f t="shared" si="9"/>
        <v>1.4577016602600735E-2</v>
      </c>
      <c r="Q51" s="50">
        <f t="shared" si="10"/>
        <v>0.96443710352814493</v>
      </c>
      <c r="R51" s="50">
        <f t="shared" si="11"/>
        <v>3.556289647185501E-2</v>
      </c>
      <c r="S51" s="51">
        <f>IF(R51&lt;Interface!$B$21,R51,0)</f>
        <v>3.556289647185501E-2</v>
      </c>
    </row>
    <row r="52" spans="1:19">
      <c r="A52" s="39"/>
      <c r="B52" s="39"/>
      <c r="C52" s="91"/>
      <c r="D52" s="91"/>
      <c r="E52" s="39"/>
      <c r="F52" s="46">
        <v>51</v>
      </c>
      <c r="G52" s="47">
        <f t="shared" si="12"/>
        <v>0.77080262945294586</v>
      </c>
      <c r="H52" s="47">
        <f t="shared" si="13"/>
        <v>9.4839176380750012E-2</v>
      </c>
      <c r="I52" s="47">
        <f t="shared" si="14"/>
        <v>2.1385304478012252E-2</v>
      </c>
      <c r="J52" s="47">
        <f t="shared" si="15"/>
        <v>9.5267740718903413E-2</v>
      </c>
      <c r="K52" s="47">
        <f t="shared" si="16"/>
        <v>2.9026527406972469E-3</v>
      </c>
      <c r="L52" s="47">
        <f t="shared" si="17"/>
        <v>1.436482347692567E-2</v>
      </c>
      <c r="M52" s="47">
        <f t="shared" si="18"/>
        <v>4.3767275176556116E-4</v>
      </c>
      <c r="N52" s="48">
        <f t="shared" si="7"/>
        <v>1</v>
      </c>
      <c r="O52" s="49">
        <f t="shared" si="8"/>
        <v>9.8170393459600658E-2</v>
      </c>
      <c r="P52" s="49">
        <f t="shared" si="9"/>
        <v>1.4802496228691231E-2</v>
      </c>
      <c r="Q52" s="50">
        <f t="shared" si="10"/>
        <v>0.96381219929329653</v>
      </c>
      <c r="R52" s="50">
        <f t="shared" si="11"/>
        <v>3.618780070670348E-2</v>
      </c>
      <c r="S52" s="51">
        <f>IF(R52&lt;Interface!$B$21,R52,0)</f>
        <v>3.618780070670348E-2</v>
      </c>
    </row>
    <row r="53" spans="1:19">
      <c r="A53" s="39"/>
      <c r="B53" s="39"/>
      <c r="C53" s="91"/>
      <c r="D53" s="91"/>
      <c r="E53" s="39"/>
      <c r="F53" s="46">
        <v>52</v>
      </c>
      <c r="G53" s="47">
        <f t="shared" si="12"/>
        <v>0.7689554256062332</v>
      </c>
      <c r="H53" s="47">
        <f t="shared" si="13"/>
        <v>9.660309180559036E-2</v>
      </c>
      <c r="I53" s="47">
        <f t="shared" si="14"/>
        <v>2.1783050113025268E-2</v>
      </c>
      <c r="J53" s="47">
        <f t="shared" si="15"/>
        <v>9.5039434625489486E-2</v>
      </c>
      <c r="K53" s="47">
        <f t="shared" si="16"/>
        <v>2.5884868678142004E-3</v>
      </c>
      <c r="L53" s="47">
        <f t="shared" si="17"/>
        <v>1.4631995068592937E-2</v>
      </c>
      <c r="M53" s="47">
        <f t="shared" si="18"/>
        <v>3.9851591325457022E-4</v>
      </c>
      <c r="N53" s="48">
        <f t="shared" si="7"/>
        <v>1</v>
      </c>
      <c r="O53" s="49">
        <f t="shared" si="8"/>
        <v>9.7627921493303682E-2</v>
      </c>
      <c r="P53" s="49">
        <f t="shared" si="9"/>
        <v>1.5030510981847506E-2</v>
      </c>
      <c r="Q53" s="50">
        <f t="shared" si="10"/>
        <v>0.96318643890512723</v>
      </c>
      <c r="R53" s="50">
        <f t="shared" si="11"/>
        <v>3.6813561094872771E-2</v>
      </c>
      <c r="S53" s="51">
        <f>IF(R53&lt;Interface!$B$21,R53,0)</f>
        <v>3.6813561094872771E-2</v>
      </c>
    </row>
    <row r="54" spans="1:19">
      <c r="A54" s="39"/>
      <c r="B54" s="39"/>
      <c r="C54" s="91"/>
      <c r="D54" s="91"/>
      <c r="E54" s="39"/>
      <c r="F54" s="46">
        <v>53</v>
      </c>
      <c r="G54" s="47">
        <f t="shared" si="12"/>
        <v>0.7670838074241455</v>
      </c>
      <c r="H54" s="47">
        <f t="shared" si="13"/>
        <v>9.8359787788046549E-2</v>
      </c>
      <c r="I54" s="47">
        <f t="shared" si="14"/>
        <v>2.2179167834559511E-2</v>
      </c>
      <c r="J54" s="47">
        <f t="shared" si="15"/>
        <v>9.480811102995057E-2</v>
      </c>
      <c r="K54" s="47">
        <f t="shared" si="16"/>
        <v>2.3083244409171379E-3</v>
      </c>
      <c r="L54" s="47">
        <f t="shared" si="17"/>
        <v>1.4898073166838947E-2</v>
      </c>
      <c r="M54" s="47">
        <f t="shared" si="18"/>
        <v>3.6272831554171785E-4</v>
      </c>
      <c r="N54" s="48">
        <f t="shared" si="7"/>
        <v>1</v>
      </c>
      <c r="O54" s="49">
        <f t="shared" si="8"/>
        <v>9.7116435470867707E-2</v>
      </c>
      <c r="P54" s="49">
        <f t="shared" si="9"/>
        <v>1.5260801482380664E-2</v>
      </c>
      <c r="Q54" s="50">
        <f t="shared" si="10"/>
        <v>0.96256003068305973</v>
      </c>
      <c r="R54" s="50">
        <f t="shared" si="11"/>
        <v>3.7439969316940172E-2</v>
      </c>
      <c r="S54" s="51">
        <f>IF(R54&lt;Interface!$B$21,R54,0)</f>
        <v>3.7439969316940172E-2</v>
      </c>
    </row>
    <row r="55" spans="1:19">
      <c r="A55" s="39"/>
      <c r="B55" s="39"/>
      <c r="C55" s="91"/>
      <c r="D55" s="91"/>
      <c r="E55" s="39"/>
      <c r="F55" s="46">
        <v>54</v>
      </c>
      <c r="G55" s="47">
        <f t="shared" si="12"/>
        <v>0.76519103431708457</v>
      </c>
      <c r="H55" s="47">
        <f t="shared" si="13"/>
        <v>0.10010947554386192</v>
      </c>
      <c r="I55" s="47">
        <f t="shared" si="14"/>
        <v>2.2573705269694346E-2</v>
      </c>
      <c r="J55" s="47">
        <f t="shared" si="15"/>
        <v>9.4574172780763244E-2</v>
      </c>
      <c r="K55" s="47">
        <f t="shared" si="16"/>
        <v>2.0584851292040169E-3</v>
      </c>
      <c r="L55" s="47">
        <f t="shared" si="17"/>
        <v>1.5163089763473241E-2</v>
      </c>
      <c r="M55" s="47">
        <f t="shared" si="18"/>
        <v>3.3003719591871667E-4</v>
      </c>
      <c r="N55" s="48">
        <f t="shared" si="7"/>
        <v>1</v>
      </c>
      <c r="O55" s="49">
        <f t="shared" si="8"/>
        <v>9.6632657909967265E-2</v>
      </c>
      <c r="P55" s="49">
        <f t="shared" si="9"/>
        <v>1.5493126959391958E-2</v>
      </c>
      <c r="Q55" s="50">
        <f t="shared" si="10"/>
        <v>0.96193316777091376</v>
      </c>
      <c r="R55" s="50">
        <f t="shared" si="11"/>
        <v>3.80668322290863E-2</v>
      </c>
      <c r="S55" s="51">
        <f>IF(R55&lt;Interface!$B$21,R55,0)</f>
        <v>3.80668322290863E-2</v>
      </c>
    </row>
    <row r="56" spans="1:19">
      <c r="A56" s="39"/>
      <c r="B56" s="39"/>
      <c r="C56" s="91"/>
      <c r="D56" s="91"/>
      <c r="E56" s="39"/>
      <c r="F56" s="46">
        <v>55</v>
      </c>
      <c r="G56" s="47">
        <f t="shared" si="12"/>
        <v>0.76328001121964506</v>
      </c>
      <c r="H56" s="47">
        <f t="shared" si="13"/>
        <v>0.10185235187234525</v>
      </c>
      <c r="I56" s="47">
        <f t="shared" si="14"/>
        <v>2.2966706794744513E-2</v>
      </c>
      <c r="J56" s="47">
        <f t="shared" si="15"/>
        <v>9.4337978914787582E-2</v>
      </c>
      <c r="K56" s="47">
        <f t="shared" si="16"/>
        <v>1.8356869389948068E-3</v>
      </c>
      <c r="L56" s="47">
        <f t="shared" si="17"/>
        <v>1.5427074666718957E-2</v>
      </c>
      <c r="M56" s="47">
        <f t="shared" si="18"/>
        <v>3.0018959276383831E-4</v>
      </c>
      <c r="N56" s="48">
        <f t="shared" si="7"/>
        <v>1</v>
      </c>
      <c r="O56" s="49">
        <f t="shared" si="8"/>
        <v>9.6173665853782384E-2</v>
      </c>
      <c r="P56" s="49">
        <f t="shared" si="9"/>
        <v>1.5727264259482794E-2</v>
      </c>
      <c r="Q56" s="50">
        <f t="shared" si="10"/>
        <v>0.96130602894577266</v>
      </c>
      <c r="R56" s="50">
        <f t="shared" si="11"/>
        <v>3.8693971054227311E-2</v>
      </c>
      <c r="S56" s="51">
        <f>IF(R56&lt;Interface!$B$21,R56,0)</f>
        <v>3.8693971054227311E-2</v>
      </c>
    </row>
    <row r="57" spans="1:19">
      <c r="A57" s="39"/>
      <c r="B57" s="39"/>
      <c r="C57" s="91"/>
      <c r="D57" s="91"/>
      <c r="E57" s="39"/>
      <c r="F57" s="46">
        <v>56</v>
      </c>
      <c r="G57" s="47">
        <f t="shared" si="12"/>
        <v>0.76135332696163316</v>
      </c>
      <c r="H57" s="47">
        <f t="shared" si="13"/>
        <v>0.10358859996615688</v>
      </c>
      <c r="I57" s="47">
        <f t="shared" si="14"/>
        <v>2.3358213717858903E-2</v>
      </c>
      <c r="J57" s="47">
        <f t="shared" si="15"/>
        <v>9.4099849399752397E-2</v>
      </c>
      <c r="K57" s="47">
        <f t="shared" si="16"/>
        <v>1.637003100089992E-3</v>
      </c>
      <c r="L57" s="47">
        <f t="shared" si="17"/>
        <v>1.5690055623867116E-2</v>
      </c>
      <c r="M57" s="47">
        <f t="shared" si="18"/>
        <v>2.7295123064163444E-4</v>
      </c>
      <c r="N57" s="48">
        <f t="shared" si="7"/>
        <v>1</v>
      </c>
      <c r="O57" s="49">
        <f t="shared" si="8"/>
        <v>9.5736852499842387E-2</v>
      </c>
      <c r="P57" s="49">
        <f t="shared" si="9"/>
        <v>1.596300685450875E-2</v>
      </c>
      <c r="Q57" s="50">
        <f t="shared" si="10"/>
        <v>0.96067877942763236</v>
      </c>
      <c r="R57" s="50">
        <f t="shared" si="11"/>
        <v>3.9321220572367657E-2</v>
      </c>
      <c r="S57" s="51">
        <f>IF(R57&lt;Interface!$B$21,R57,0)</f>
        <v>3.9321220572367657E-2</v>
      </c>
    </row>
    <row r="58" spans="1:19">
      <c r="A58" s="39"/>
      <c r="B58" s="39"/>
      <c r="C58" s="91"/>
      <c r="D58" s="91"/>
      <c r="E58" s="39"/>
      <c r="F58" s="46">
        <v>57</v>
      </c>
      <c r="G58" s="47">
        <f t="shared" si="12"/>
        <v>0.75941328848602219</v>
      </c>
      <c r="H58" s="47">
        <f t="shared" si="13"/>
        <v>0.10531839021244445</v>
      </c>
      <c r="I58" s="47">
        <f t="shared" si="14"/>
        <v>2.3748264459668839E-2</v>
      </c>
      <c r="J58" s="47">
        <f t="shared" si="15"/>
        <v>9.3860069363440934E-2</v>
      </c>
      <c r="K58" s="47">
        <f t="shared" si="16"/>
        <v>1.459823618493276E-3</v>
      </c>
      <c r="L58" s="47">
        <f t="shared" si="17"/>
        <v>1.595205844262074E-2</v>
      </c>
      <c r="M58" s="47">
        <f t="shared" si="18"/>
        <v>2.4810541730958195E-4</v>
      </c>
      <c r="N58" s="48">
        <f t="shared" si="7"/>
        <v>1</v>
      </c>
      <c r="O58" s="49">
        <f t="shared" si="8"/>
        <v>9.5319892981934204E-2</v>
      </c>
      <c r="P58" s="49">
        <f t="shared" si="9"/>
        <v>1.6200163859930321E-2</v>
      </c>
      <c r="Q58" s="50">
        <f t="shared" si="10"/>
        <v>0.96005157168040078</v>
      </c>
      <c r="R58" s="50">
        <f t="shared" si="11"/>
        <v>3.9948428319599161E-2</v>
      </c>
      <c r="S58" s="51">
        <f>IF(R58&lt;Interface!$B$21,R58,0)</f>
        <v>3.9948428319599161E-2</v>
      </c>
    </row>
    <row r="59" spans="1:19">
      <c r="A59" s="39"/>
      <c r="B59" s="39"/>
      <c r="C59" s="91"/>
      <c r="D59" s="91"/>
      <c r="E59" s="39"/>
      <c r="F59" s="46">
        <v>58</v>
      </c>
      <c r="G59" s="47">
        <f t="shared" si="12"/>
        <v>0.7574619513633476</v>
      </c>
      <c r="H59" s="47">
        <f t="shared" si="13"/>
        <v>0.10704188097791366</v>
      </c>
      <c r="I59" s="47">
        <f t="shared" si="14"/>
        <v>2.413689473031386E-2</v>
      </c>
      <c r="J59" s="47">
        <f t="shared" si="15"/>
        <v>9.3618892865132836E-2</v>
      </c>
      <c r="K59" s="47">
        <f t="shared" si="16"/>
        <v>1.30182099043896E-3</v>
      </c>
      <c r="L59" s="47">
        <f t="shared" si="17"/>
        <v>1.6213107110005644E-2</v>
      </c>
      <c r="M59" s="47">
        <f t="shared" si="18"/>
        <v>2.254519628473556E-4</v>
      </c>
      <c r="N59" s="48">
        <f t="shared" si="7"/>
        <v>1</v>
      </c>
      <c r="O59" s="49">
        <f t="shared" si="8"/>
        <v>9.4920713855571798E-2</v>
      </c>
      <c r="P59" s="49">
        <f t="shared" si="9"/>
        <v>1.6438559072853E-2</v>
      </c>
      <c r="Q59" s="50">
        <f t="shared" si="10"/>
        <v>0.95942454619683304</v>
      </c>
      <c r="R59" s="50">
        <f t="shared" si="11"/>
        <v>4.0575453803166864E-2</v>
      </c>
      <c r="S59" s="51">
        <f>IF(R59&lt;Interface!$B$21,R59,0)</f>
        <v>4.0575453803166864E-2</v>
      </c>
    </row>
    <row r="60" spans="1:19">
      <c r="A60" s="39"/>
      <c r="B60" s="39"/>
      <c r="C60" s="91"/>
      <c r="D60" s="91"/>
      <c r="E60" s="39"/>
      <c r="F60" s="46">
        <v>59</v>
      </c>
      <c r="G60" s="47">
        <f t="shared" si="12"/>
        <v>0.75550114700339221</v>
      </c>
      <c r="H60" s="47">
        <f t="shared" si="13"/>
        <v>0.10875921937209947</v>
      </c>
      <c r="I60" s="47">
        <f t="shared" si="14"/>
        <v>2.4524137701551839E-2</v>
      </c>
      <c r="J60" s="47">
        <f t="shared" si="15"/>
        <v>9.3376546258846213E-2</v>
      </c>
      <c r="K60" s="47">
        <f t="shared" si="16"/>
        <v>1.1609196273291297E-3</v>
      </c>
      <c r="L60" s="47">
        <f t="shared" si="17"/>
        <v>1.6473223907979371E-2</v>
      </c>
      <c r="M60" s="47">
        <f t="shared" si="18"/>
        <v>2.0480612880184525E-4</v>
      </c>
      <c r="N60" s="48">
        <f t="shared" si="7"/>
        <v>0.99999999999999989</v>
      </c>
      <c r="O60" s="49">
        <f t="shared" si="8"/>
        <v>9.4537465886175343E-2</v>
      </c>
      <c r="P60" s="49">
        <f t="shared" si="9"/>
        <v>1.6678030036781217E-2</v>
      </c>
      <c r="Q60" s="50">
        <f t="shared" si="10"/>
        <v>0.95879783226166704</v>
      </c>
      <c r="R60" s="50">
        <f t="shared" si="11"/>
        <v>4.1202167738333059E-2</v>
      </c>
      <c r="S60" s="51">
        <f>IF(R60&lt;Interface!$B$21,R60,0)</f>
        <v>4.1202167738333059E-2</v>
      </c>
    </row>
    <row r="61" spans="1:19">
      <c r="A61" s="39"/>
      <c r="B61" s="39"/>
      <c r="C61" s="91"/>
      <c r="D61" s="91"/>
      <c r="E61" s="39"/>
      <c r="F61" s="46">
        <v>60</v>
      </c>
      <c r="G61" s="47">
        <f t="shared" si="12"/>
        <v>0.75353250692162665</v>
      </c>
      <c r="H61" s="47">
        <f t="shared" si="13"/>
        <v>0.11047054198451717</v>
      </c>
      <c r="I61" s="47">
        <f t="shared" si="14"/>
        <v>2.4910024172979359E-2</v>
      </c>
      <c r="J61" s="47">
        <f t="shared" si="15"/>
        <v>9.3133231192560589E-2</v>
      </c>
      <c r="K61" s="47">
        <f t="shared" si="16"/>
        <v>1.0352685899338303E-3</v>
      </c>
      <c r="L61" s="47">
        <f t="shared" si="17"/>
        <v>1.6732429525083838E-2</v>
      </c>
      <c r="M61" s="47">
        <f t="shared" si="18"/>
        <v>1.8599761329857572E-4</v>
      </c>
      <c r="N61" s="48">
        <f t="shared" si="7"/>
        <v>1</v>
      </c>
      <c r="O61" s="49">
        <f t="shared" si="8"/>
        <v>9.4168499782494419E-2</v>
      </c>
      <c r="P61" s="49">
        <f t="shared" si="9"/>
        <v>1.6918427138382413E-2</v>
      </c>
      <c r="Q61" s="50">
        <f t="shared" si="10"/>
        <v>0.95817154868863819</v>
      </c>
      <c r="R61" s="50">
        <f t="shared" si="11"/>
        <v>4.1828451311361772E-2</v>
      </c>
      <c r="S61" s="51">
        <f>IF(R61&lt;Interface!$B$21,R61,0)</f>
        <v>4.1828451311361772E-2</v>
      </c>
    </row>
    <row r="62" spans="1:19">
      <c r="A62" s="39"/>
      <c r="B62" s="39"/>
      <c r="C62" s="91"/>
      <c r="D62" s="91"/>
      <c r="E62" s="39"/>
      <c r="F62" s="46">
        <v>61</v>
      </c>
      <c r="G62" s="47">
        <f t="shared" si="12"/>
        <v>0.75155748437918479</v>
      </c>
      <c r="H62" s="47">
        <f t="shared" si="13"/>
        <v>0.11217597559254509</v>
      </c>
      <c r="I62" s="47">
        <f t="shared" si="14"/>
        <v>2.5294582731652322E-2</v>
      </c>
      <c r="J62" s="47">
        <f t="shared" si="15"/>
        <v>9.2889127282820574E-2</v>
      </c>
      <c r="K62" s="47">
        <f t="shared" si="16"/>
        <v>9.2321727367929444E-4</v>
      </c>
      <c r="L62" s="47">
        <f t="shared" si="17"/>
        <v>1.6990743163664845E-2</v>
      </c>
      <c r="M62" s="47">
        <f t="shared" si="18"/>
        <v>1.6886957645305438E-4</v>
      </c>
      <c r="N62" s="48">
        <f t="shared" si="7"/>
        <v>1</v>
      </c>
      <c r="O62" s="49">
        <f t="shared" si="8"/>
        <v>9.3812344556499866E-2</v>
      </c>
      <c r="P62" s="49">
        <f t="shared" si="9"/>
        <v>1.7159612740117899E-2</v>
      </c>
      <c r="Q62" s="50">
        <f t="shared" si="10"/>
        <v>0.95754580452822968</v>
      </c>
      <c r="R62" s="50">
        <f t="shared" si="11"/>
        <v>4.245419547177022E-2</v>
      </c>
      <c r="S62" s="51">
        <f>IF(R62&lt;Interface!$B$21,R62,0)</f>
        <v>4.245419547177022E-2</v>
      </c>
    </row>
    <row r="63" spans="1:19">
      <c r="A63" s="39"/>
      <c r="B63" s="39"/>
      <c r="C63" s="91"/>
      <c r="D63" s="91"/>
      <c r="E63" s="39"/>
      <c r="F63" s="46">
        <v>62</v>
      </c>
      <c r="G63" s="47">
        <f t="shared" si="12"/>
        <v>0.74957737368064115</v>
      </c>
      <c r="H63" s="47">
        <f t="shared" si="13"/>
        <v>0.11387563783786586</v>
      </c>
      <c r="I63" s="47">
        <f t="shared" si="14"/>
        <v>2.5677839904616806E-2</v>
      </c>
      <c r="J63" s="47">
        <f t="shared" si="15"/>
        <v>9.264439449985451E-2</v>
      </c>
      <c r="K63" s="47">
        <f t="shared" si="16"/>
        <v>8.2329372561598365E-4</v>
      </c>
      <c r="L63" s="47">
        <f t="shared" si="17"/>
        <v>1.7248182642329316E-2</v>
      </c>
      <c r="M63" s="47">
        <f t="shared" si="18"/>
        <v>1.5327770907640336E-4</v>
      </c>
      <c r="N63" s="48">
        <f t="shared" si="7"/>
        <v>1</v>
      </c>
      <c r="O63" s="49">
        <f t="shared" si="8"/>
        <v>9.3467688225470497E-2</v>
      </c>
      <c r="P63" s="49">
        <f t="shared" si="9"/>
        <v>1.7401460351405718E-2</v>
      </c>
      <c r="Q63" s="50">
        <f t="shared" si="10"/>
        <v>0.95692069974397753</v>
      </c>
      <c r="R63" s="50">
        <f t="shared" si="11"/>
        <v>4.3079300256022524E-2</v>
      </c>
      <c r="S63" s="51">
        <f>IF(R63&lt;Interface!$B$21,R63,0)</f>
        <v>4.3079300256022524E-2</v>
      </c>
    </row>
    <row r="64" spans="1:19">
      <c r="A64" s="39"/>
      <c r="B64" s="39"/>
      <c r="C64" s="91"/>
      <c r="D64" s="91"/>
      <c r="E64" s="39"/>
      <c r="F64" s="46">
        <v>63</v>
      </c>
      <c r="G64" s="47">
        <f t="shared" si="12"/>
        <v>0.74759332738310014</v>
      </c>
      <c r="H64" s="47">
        <f t="shared" si="13"/>
        <v>0.11556963787009089</v>
      </c>
      <c r="I64" s="47">
        <f t="shared" si="14"/>
        <v>2.6059820304040093E-2</v>
      </c>
      <c r="J64" s="47">
        <f t="shared" si="15"/>
        <v>9.2399175294540462E-2</v>
      </c>
      <c r="K64" s="47">
        <f t="shared" si="16"/>
        <v>7.3418530822908325E-4</v>
      </c>
      <c r="L64" s="47">
        <f t="shared" si="17"/>
        <v>1.7504764493431916E-2</v>
      </c>
      <c r="M64" s="47">
        <f t="shared" si="18"/>
        <v>1.390893465674383E-4</v>
      </c>
      <c r="N64" s="48">
        <f t="shared" si="7"/>
        <v>1</v>
      </c>
      <c r="O64" s="49">
        <f t="shared" si="8"/>
        <v>9.3133360602769541E-2</v>
      </c>
      <c r="P64" s="49">
        <f t="shared" si="9"/>
        <v>1.7643853839999356E-2</v>
      </c>
      <c r="Q64" s="50">
        <f t="shared" si="10"/>
        <v>0.95629632585596058</v>
      </c>
      <c r="R64" s="50">
        <f t="shared" si="11"/>
        <v>4.3703674144039445E-2</v>
      </c>
      <c r="S64" s="51">
        <f>IF(R64&lt;Interface!$B$21,R64,0)</f>
        <v>4.3703674144039445E-2</v>
      </c>
    </row>
    <row r="65" spans="1:19">
      <c r="A65" s="39"/>
      <c r="B65" s="39"/>
      <c r="C65" s="91"/>
      <c r="D65" s="91"/>
      <c r="E65" s="39"/>
      <c r="F65" s="46">
        <v>64</v>
      </c>
      <c r="G65" s="47">
        <f t="shared" si="12"/>
        <v>0.74560637164266452</v>
      </c>
      <c r="H65" s="47">
        <f t="shared" si="13"/>
        <v>0.11725807695684745</v>
      </c>
      <c r="I65" s="47">
        <f t="shared" si="14"/>
        <v>2.6440546764779322E-2</v>
      </c>
      <c r="J65" s="47">
        <f t="shared" si="15"/>
        <v>9.2153596495160778E-2</v>
      </c>
      <c r="K65" s="47">
        <f t="shared" si="16"/>
        <v>6.547214560831691E-4</v>
      </c>
      <c r="L65" s="47">
        <f t="shared" si="17"/>
        <v>1.7760504055481956E-2</v>
      </c>
      <c r="M65" s="47">
        <f t="shared" si="18"/>
        <v>1.261826289827636E-4</v>
      </c>
      <c r="N65" s="48">
        <f t="shared" si="7"/>
        <v>0.99999999999999989</v>
      </c>
      <c r="O65" s="49">
        <f t="shared" si="8"/>
        <v>9.2808317951243946E-2</v>
      </c>
      <c r="P65" s="49">
        <f t="shared" si="9"/>
        <v>1.788668668446472E-2</v>
      </c>
      <c r="Q65" s="50">
        <f t="shared" si="10"/>
        <v>0.95567276655075595</v>
      </c>
      <c r="R65" s="50">
        <f t="shared" si="11"/>
        <v>4.4327233449244038E-2</v>
      </c>
      <c r="S65" s="51">
        <f>IF(R65&lt;Interface!$B$21,R65,0)</f>
        <v>4.4327233449244038E-2</v>
      </c>
    </row>
    <row r="66" spans="1:19">
      <c r="A66" s="39"/>
      <c r="B66" s="39"/>
      <c r="C66" s="91"/>
      <c r="D66" s="91"/>
      <c r="E66" s="39"/>
      <c r="F66" s="46">
        <v>65</v>
      </c>
      <c r="G66" s="47">
        <f t="shared" ref="G66:G97" si="19">p.delivery*(1-(1-p.conception)^F66)*(1-alpha)^F66</f>
        <v>0.74361741989987873</v>
      </c>
      <c r="H66" s="47">
        <f t="shared" ref="H66:H101" si="20" xml:space="preserve"> p.delivery*(1-h.mtctx*p.mtct)*(1-(1-p.conception)^F66)*(1-(1-alpha)^F66)</f>
        <v>0.11894104906014037</v>
      </c>
      <c r="I66" s="47">
        <f t="shared" ref="I66:I101" si="21">p.delivery*(h.mtctx*p.mtct)*(1-(1-p.conception)^F66)*(1-(1-alpha)^F66)</f>
        <v>2.6820040474345375E-2</v>
      </c>
      <c r="J66" s="47">
        <f t="shared" ref="J66:J101" si="22">(1-p.delivery)*(1-(1-p.conception)^F66)*(1-alpha)^F66</f>
        <v>9.1907770998861396E-2</v>
      </c>
      <c r="K66" s="47">
        <f t="shared" ref="K66:K101" si="23">((1-p.conception)^F66)*(1-alpha)^F66</f>
        <v>5.8385829878512493E-4</v>
      </c>
      <c r="L66" s="47">
        <f t="shared" ref="L66:L101" si="24">(1-p.delivery)*(1-(1-p.conception)^F66)*(1-(1-alpha)^F66)</f>
        <v>1.8015415560442054E-2</v>
      </c>
      <c r="M66" s="47">
        <f t="shared" ref="M66:M101" si="25">(1-p.conception)^F66*(1-(1-alpha)^F66)</f>
        <v>1.1444570754693935E-4</v>
      </c>
      <c r="N66" s="48">
        <f t="shared" si="7"/>
        <v>1</v>
      </c>
      <c r="O66" s="49">
        <f t="shared" si="8"/>
        <v>9.2491629297646524E-2</v>
      </c>
      <c r="P66" s="49">
        <f t="shared" si="9"/>
        <v>1.8129861267988993E-2</v>
      </c>
      <c r="Q66" s="50">
        <f t="shared" si="10"/>
        <v>0.95505009825766563</v>
      </c>
      <c r="R66" s="50">
        <f t="shared" si="11"/>
        <v>4.4949901742334368E-2</v>
      </c>
      <c r="S66" s="51">
        <f>IF(R66&lt;Interface!$B$21,R66,0)</f>
        <v>4.4949901742334368E-2</v>
      </c>
    </row>
    <row r="67" spans="1:19">
      <c r="A67" s="39"/>
      <c r="B67" s="39"/>
      <c r="C67" s="91"/>
      <c r="D67" s="91"/>
      <c r="E67" s="39"/>
      <c r="F67" s="46">
        <v>66</v>
      </c>
      <c r="G67" s="47">
        <f t="shared" si="19"/>
        <v>0.74162728508392972</v>
      </c>
      <c r="H67" s="47">
        <f t="shared" si="20"/>
        <v>0.12061864137921996</v>
      </c>
      <c r="I67" s="47">
        <f t="shared" si="21"/>
        <v>2.7198321095314299E-2</v>
      </c>
      <c r="J67" s="47">
        <f t="shared" si="22"/>
        <v>9.1661799280036232E-2</v>
      </c>
      <c r="K67" s="47">
        <f t="shared" si="23"/>
        <v>5.2066494826611732E-4</v>
      </c>
      <c r="L67" s="47">
        <f t="shared" si="24"/>
        <v>1.8269512215953666E-2</v>
      </c>
      <c r="M67" s="47">
        <f t="shared" si="25"/>
        <v>1.0377599728001928E-4</v>
      </c>
      <c r="N67" s="48">
        <f t="shared" ref="N67:N101" si="26">SUM(G67:M67)</f>
        <v>1</v>
      </c>
      <c r="O67" s="49">
        <f t="shared" ref="O67:O101" si="27">SUM(J67:K67)</f>
        <v>9.2182464228302355E-2</v>
      </c>
      <c r="P67" s="49">
        <f t="shared" ref="P67:P101" si="28">SUM(L67:M67)</f>
        <v>1.8373288213233686E-2</v>
      </c>
      <c r="Q67" s="50">
        <f t="shared" ref="Q67:Q101" si="29">O67+H67+G67</f>
        <v>0.95442839069145202</v>
      </c>
      <c r="R67" s="50">
        <f t="shared" ref="R67:R101" si="30">P67+I67</f>
        <v>4.5571609308547985E-2</v>
      </c>
      <c r="S67" s="51">
        <f>IF(R67&lt;Interface!$B$21,R67,0)</f>
        <v>4.5571609308547985E-2</v>
      </c>
    </row>
    <row r="68" spans="1:19">
      <c r="A68" s="39"/>
      <c r="B68" s="39"/>
      <c r="C68" s="91"/>
      <c r="D68" s="91"/>
      <c r="E68" s="39"/>
      <c r="F68" s="46">
        <v>67</v>
      </c>
      <c r="G68" s="47">
        <f t="shared" si="19"/>
        <v>0.73963669049592529</v>
      </c>
      <c r="H68" s="47">
        <f t="shared" si="20"/>
        <v>0.12229093486052818</v>
      </c>
      <c r="I68" s="47">
        <f t="shared" si="21"/>
        <v>2.7575406880315168E-2</v>
      </c>
      <c r="J68" s="47">
        <f t="shared" si="22"/>
        <v>9.1415770735451429E-2</v>
      </c>
      <c r="K68" s="47">
        <f t="shared" si="23"/>
        <v>4.6431127024663135E-4</v>
      </c>
      <c r="L68" s="47">
        <f t="shared" si="24"/>
        <v>1.8522806282576139E-2</v>
      </c>
      <c r="M68" s="47">
        <f t="shared" si="25"/>
        <v>9.4079474957158121E-5</v>
      </c>
      <c r="N68" s="48">
        <f t="shared" si="26"/>
        <v>1</v>
      </c>
      <c r="O68" s="49">
        <f t="shared" si="27"/>
        <v>9.1880082005698055E-2</v>
      </c>
      <c r="P68" s="49">
        <f t="shared" si="28"/>
        <v>1.8616885757533296E-2</v>
      </c>
      <c r="Q68" s="50">
        <f t="shared" si="29"/>
        <v>0.95380770736215159</v>
      </c>
      <c r="R68" s="50">
        <f t="shared" si="30"/>
        <v>4.6192292637848464E-2</v>
      </c>
      <c r="S68" s="51">
        <f>IF(R68&lt;Interface!$B$21,R68,0)</f>
        <v>4.6192292637848464E-2</v>
      </c>
    </row>
    <row r="69" spans="1:19">
      <c r="A69" s="39"/>
      <c r="B69" s="39"/>
      <c r="C69" s="91"/>
      <c r="D69" s="91"/>
      <c r="E69" s="39"/>
      <c r="F69" s="46">
        <v>68</v>
      </c>
      <c r="G69" s="47">
        <f t="shared" si="19"/>
        <v>0.73764627951421868</v>
      </c>
      <c r="H69" s="47">
        <f t="shared" si="20"/>
        <v>0.12395800467555416</v>
      </c>
      <c r="I69" s="47">
        <f t="shared" si="21"/>
        <v>2.7951314779781817E-2</v>
      </c>
      <c r="J69" s="47">
        <f t="shared" si="22"/>
        <v>9.1169764883779827E-2</v>
      </c>
      <c r="K69" s="47">
        <f t="shared" si="23"/>
        <v>4.1405697924541793E-4</v>
      </c>
      <c r="L69" s="47">
        <f t="shared" si="24"/>
        <v>1.8775309146165119E-2</v>
      </c>
      <c r="M69" s="47">
        <f t="shared" si="25"/>
        <v>8.5270021255073902E-5</v>
      </c>
      <c r="N69" s="48">
        <f t="shared" si="26"/>
        <v>1.0000000000000002</v>
      </c>
      <c r="O69" s="49">
        <f t="shared" si="27"/>
        <v>9.1583821863025244E-2</v>
      </c>
      <c r="P69" s="49">
        <f t="shared" si="28"/>
        <v>1.8860579167420191E-2</v>
      </c>
      <c r="Q69" s="50">
        <f t="shared" si="29"/>
        <v>0.95318810605279802</v>
      </c>
      <c r="R69" s="50">
        <f t="shared" si="30"/>
        <v>4.6811893947202005E-2</v>
      </c>
      <c r="S69" s="51">
        <f>IF(R69&lt;Interface!$B$21,R69,0)</f>
        <v>4.6811893947202005E-2</v>
      </c>
    </row>
    <row r="70" spans="1:19">
      <c r="A70" s="39"/>
      <c r="B70" s="39"/>
      <c r="C70" s="91"/>
      <c r="D70" s="91"/>
      <c r="E70" s="39"/>
      <c r="F70" s="46">
        <v>69</v>
      </c>
      <c r="G70" s="47">
        <f t="shared" si="19"/>
        <v>0.73565662424927325</v>
      </c>
      <c r="H70" s="47">
        <f t="shared" si="20"/>
        <v>0.12561992066762995</v>
      </c>
      <c r="I70" s="47">
        <f t="shared" si="21"/>
        <v>2.8326060542700867E-2</v>
      </c>
      <c r="J70" s="47">
        <f t="shared" si="22"/>
        <v>9.0923852435303418E-2</v>
      </c>
      <c r="K70" s="47">
        <f t="shared" si="23"/>
        <v>3.6924191387982861E-4</v>
      </c>
      <c r="L70" s="47">
        <f t="shared" si="24"/>
        <v>1.9027031385546501E-2</v>
      </c>
      <c r="M70" s="47">
        <f t="shared" si="25"/>
        <v>7.7268805666255559E-5</v>
      </c>
      <c r="N70" s="48">
        <f t="shared" si="26"/>
        <v>1</v>
      </c>
      <c r="O70" s="49">
        <f t="shared" si="27"/>
        <v>9.1293094349183243E-2</v>
      </c>
      <c r="P70" s="49">
        <f t="shared" si="28"/>
        <v>1.9104300191212755E-2</v>
      </c>
      <c r="Q70" s="50">
        <f t="shared" si="29"/>
        <v>0.95256963926608651</v>
      </c>
      <c r="R70" s="50">
        <f t="shared" si="30"/>
        <v>4.7430360733913622E-2</v>
      </c>
      <c r="S70" s="51">
        <f>IF(R70&lt;Interface!$B$21,R70,0)</f>
        <v>4.7430360733913622E-2</v>
      </c>
    </row>
    <row r="71" spans="1:19">
      <c r="A71" s="39"/>
      <c r="B71" s="39"/>
      <c r="C71" s="91"/>
      <c r="D71" s="91"/>
      <c r="E71" s="39"/>
      <c r="F71" s="46">
        <v>70</v>
      </c>
      <c r="G71" s="47">
        <f t="shared" si="19"/>
        <v>0.73366823326176467</v>
      </c>
      <c r="H71" s="47">
        <f t="shared" si="20"/>
        <v>0.12727674776884387</v>
      </c>
      <c r="I71" s="47">
        <f t="shared" si="21"/>
        <v>2.8699658810621653E-2</v>
      </c>
      <c r="J71" s="47">
        <f t="shared" si="22"/>
        <v>9.0678096245836073E-2</v>
      </c>
      <c r="K71" s="47">
        <f t="shared" si="23"/>
        <v>3.292773647098173E-4</v>
      </c>
      <c r="L71" s="47">
        <f t="shared" si="24"/>
        <v>1.9277982835664276E-2</v>
      </c>
      <c r="M71" s="47">
        <f t="shared" si="25"/>
        <v>7.0003712559637177E-5</v>
      </c>
      <c r="N71" s="48">
        <f t="shared" si="26"/>
        <v>1</v>
      </c>
      <c r="O71" s="49">
        <f t="shared" si="27"/>
        <v>9.1007373610545894E-2</v>
      </c>
      <c r="P71" s="49">
        <f t="shared" si="28"/>
        <v>1.9347986548223915E-2</v>
      </c>
      <c r="Q71" s="50">
        <f t="shared" si="29"/>
        <v>0.95195235464115446</v>
      </c>
      <c r="R71" s="50">
        <f t="shared" si="30"/>
        <v>4.8047645358845564E-2</v>
      </c>
      <c r="S71" s="51">
        <f>IF(R71&lt;Interface!$B$21,R71,0)</f>
        <v>4.8047645358845564E-2</v>
      </c>
    </row>
    <row r="72" spans="1:19">
      <c r="A72" s="39"/>
      <c r="B72" s="39"/>
      <c r="C72" s="91"/>
      <c r="D72" s="91"/>
      <c r="E72" s="39"/>
      <c r="F72" s="46">
        <v>71</v>
      </c>
      <c r="G72" s="47">
        <f t="shared" si="19"/>
        <v>0.73168155844530947</v>
      </c>
      <c r="H72" s="47">
        <f t="shared" si="20"/>
        <v>0.12892854638835183</v>
      </c>
      <c r="I72" s="47">
        <f t="shared" si="21"/>
        <v>2.9072123205216578E-2</v>
      </c>
      <c r="J72" s="47">
        <f t="shared" si="22"/>
        <v>9.0432552167397789E-2</v>
      </c>
      <c r="K72" s="47">
        <f t="shared" si="23"/>
        <v>2.9363834070454144E-4</v>
      </c>
      <c r="L72" s="47">
        <f t="shared" si="24"/>
        <v>1.9528172646396089E-2</v>
      </c>
      <c r="M72" s="47">
        <f t="shared" si="25"/>
        <v>6.3408806623803653E-5</v>
      </c>
      <c r="N72" s="48">
        <f t="shared" si="26"/>
        <v>1</v>
      </c>
      <c r="O72" s="49">
        <f t="shared" si="27"/>
        <v>9.0726190508102336E-2</v>
      </c>
      <c r="P72" s="49">
        <f t="shared" si="28"/>
        <v>1.9591581453019893E-2</v>
      </c>
      <c r="Q72" s="50">
        <f t="shared" si="29"/>
        <v>0.95133629534176367</v>
      </c>
      <c r="R72" s="50">
        <f t="shared" si="30"/>
        <v>4.8663704658236467E-2</v>
      </c>
      <c r="S72" s="51">
        <f>IF(R72&lt;Interface!$B$21,R72,0)</f>
        <v>4.8663704658236467E-2</v>
      </c>
    </row>
    <row r="73" spans="1:19">
      <c r="A73" s="39"/>
      <c r="B73" s="39"/>
      <c r="C73" s="91"/>
      <c r="D73" s="91"/>
      <c r="E73" s="39"/>
      <c r="F73" s="46">
        <v>72</v>
      </c>
      <c r="G73" s="47">
        <f t="shared" si="19"/>
        <v>0.72969700116423375</v>
      </c>
      <c r="H73" s="47">
        <f t="shared" si="20"/>
        <v>0.13057537277343714</v>
      </c>
      <c r="I73" s="47">
        <f t="shared" si="21"/>
        <v>2.9443466409696601E-2</v>
      </c>
      <c r="J73" s="47">
        <f t="shared" si="22"/>
        <v>9.0187269806815393E-2</v>
      </c>
      <c r="K73" s="47">
        <f t="shared" si="23"/>
        <v>2.6185667274063201E-4</v>
      </c>
      <c r="L73" s="47">
        <f t="shared" si="24"/>
        <v>1.9777609337241243E-2</v>
      </c>
      <c r="M73" s="47">
        <f t="shared" si="25"/>
        <v>5.7423835835228736E-5</v>
      </c>
      <c r="N73" s="48">
        <f t="shared" si="26"/>
        <v>0.99999999999999989</v>
      </c>
      <c r="O73" s="49">
        <f t="shared" si="27"/>
        <v>9.0449126479556025E-2</v>
      </c>
      <c r="P73" s="49">
        <f t="shared" si="28"/>
        <v>1.9835033173076472E-2</v>
      </c>
      <c r="Q73" s="50">
        <f t="shared" si="29"/>
        <v>0.95072150041722692</v>
      </c>
      <c r="R73" s="50">
        <f t="shared" si="30"/>
        <v>4.9278499582773069E-2</v>
      </c>
      <c r="S73" s="51">
        <f>IF(R73&lt;Interface!$B$21,R73,0)</f>
        <v>4.9278499582773069E-2</v>
      </c>
    </row>
    <row r="74" spans="1:19">
      <c r="A74" s="39"/>
      <c r="B74" s="39"/>
      <c r="C74" s="91"/>
      <c r="D74" s="91"/>
      <c r="E74" s="39"/>
      <c r="F74" s="46">
        <v>73</v>
      </c>
      <c r="G74" s="47">
        <f t="shared" si="19"/>
        <v>0.72771491772701702</v>
      </c>
      <c r="H74" s="47">
        <f t="shared" si="20"/>
        <v>0.13221727934470487</v>
      </c>
      <c r="I74" s="47">
        <f t="shared" si="21"/>
        <v>2.9813700244394226E-2</v>
      </c>
      <c r="J74" s="47">
        <f t="shared" si="22"/>
        <v>8.994229320221557E-2</v>
      </c>
      <c r="K74" s="47">
        <f t="shared" si="23"/>
        <v>2.3351486353680363E-4</v>
      </c>
      <c r="L74" s="47">
        <f t="shared" si="24"/>
        <v>2.0026300848090896E-2</v>
      </c>
      <c r="M74" s="47">
        <f t="shared" si="25"/>
        <v>5.1993770040696763E-5</v>
      </c>
      <c r="N74" s="48">
        <f t="shared" si="26"/>
        <v>1</v>
      </c>
      <c r="O74" s="49">
        <f t="shared" si="27"/>
        <v>9.0175808065752372E-2</v>
      </c>
      <c r="P74" s="49">
        <f t="shared" si="28"/>
        <v>2.0078294618131595E-2</v>
      </c>
      <c r="Q74" s="50">
        <f t="shared" si="29"/>
        <v>0.95010800513747429</v>
      </c>
      <c r="R74" s="50">
        <f t="shared" si="30"/>
        <v>4.9891994862525824E-2</v>
      </c>
      <c r="S74" s="51">
        <f>IF(R74&lt;Interface!$B$21,R74,0)</f>
        <v>4.9891994862525824E-2</v>
      </c>
    </row>
    <row r="75" spans="1:19">
      <c r="A75" s="39"/>
      <c r="B75" s="39"/>
      <c r="C75" s="91"/>
      <c r="D75" s="91"/>
      <c r="E75" s="39"/>
      <c r="F75" s="46">
        <v>74</v>
      </c>
      <c r="G75" s="47">
        <f t="shared" si="19"/>
        <v>0.72573562426730776</v>
      </c>
      <c r="H75" s="47">
        <f t="shared" si="20"/>
        <v>0.13385431500681441</v>
      </c>
      <c r="I75" s="47">
        <f t="shared" si="21"/>
        <v>3.0182835736830695E-2</v>
      </c>
      <c r="J75" s="47">
        <f t="shared" si="22"/>
        <v>8.9697661426296454E-2</v>
      </c>
      <c r="K75" s="47">
        <f t="shared" si="23"/>
        <v>2.0824060323497261E-4</v>
      </c>
      <c r="L75" s="47">
        <f t="shared" si="24"/>
        <v>2.027425458629321E-2</v>
      </c>
      <c r="M75" s="47">
        <f t="shared" si="25"/>
        <v>4.7068373222396819E-5</v>
      </c>
      <c r="N75" s="48">
        <f t="shared" si="26"/>
        <v>0.99999999999999989</v>
      </c>
      <c r="O75" s="49">
        <f t="shared" si="27"/>
        <v>8.9905902029531429E-2</v>
      </c>
      <c r="P75" s="49">
        <f t="shared" si="28"/>
        <v>2.0321322959515609E-2</v>
      </c>
      <c r="Q75" s="50">
        <f t="shared" si="29"/>
        <v>0.94949584130365361</v>
      </c>
      <c r="R75" s="50">
        <f t="shared" si="30"/>
        <v>5.0504158696346307E-2</v>
      </c>
      <c r="S75" s="51">
        <f>IF(R75&lt;Interface!$B$21,R75,0)</f>
        <v>5.0504158696346307E-2</v>
      </c>
    </row>
    <row r="76" spans="1:19">
      <c r="A76" s="39"/>
      <c r="B76" s="39"/>
      <c r="C76" s="91"/>
      <c r="D76" s="91"/>
      <c r="E76" s="39"/>
      <c r="F76" s="46">
        <v>75</v>
      </c>
      <c r="G76" s="47">
        <f t="shared" si="19"/>
        <v>0.72375940109663717</v>
      </c>
      <c r="H76" s="47">
        <f t="shared" si="20"/>
        <v>0.13548652543614928</v>
      </c>
      <c r="I76" s="47">
        <f t="shared" si="21"/>
        <v>3.0550883186582674E-2</v>
      </c>
      <c r="J76" s="47">
        <f t="shared" si="22"/>
        <v>8.9453409124303468E-2</v>
      </c>
      <c r="K76" s="47">
        <f t="shared" si="23"/>
        <v>1.8570187858226331E-4</v>
      </c>
      <c r="L76" s="47">
        <f t="shared" si="24"/>
        <v>2.0521477470225293E-2</v>
      </c>
      <c r="M76" s="47">
        <f t="shared" si="25"/>
        <v>4.260180751981042E-5</v>
      </c>
      <c r="N76" s="48">
        <f t="shared" si="26"/>
        <v>0.99999999999999989</v>
      </c>
      <c r="O76" s="49">
        <f t="shared" si="27"/>
        <v>8.9639111002885727E-2</v>
      </c>
      <c r="P76" s="49">
        <f t="shared" si="28"/>
        <v>2.0564079277745104E-2</v>
      </c>
      <c r="Q76" s="50">
        <f t="shared" si="29"/>
        <v>0.9488850375356721</v>
      </c>
      <c r="R76" s="50">
        <f t="shared" si="30"/>
        <v>5.1114962464327778E-2</v>
      </c>
      <c r="S76" s="51">
        <f>IF(R76&lt;Interface!$B$21,R76,0)</f>
        <v>5.1114962464327778E-2</v>
      </c>
    </row>
    <row r="77" spans="1:19">
      <c r="A77" s="39"/>
      <c r="B77" s="39"/>
      <c r="C77" s="91"/>
      <c r="D77" s="91"/>
      <c r="E77" s="39"/>
      <c r="F77" s="46">
        <v>76</v>
      </c>
      <c r="G77" s="47">
        <f t="shared" si="19"/>
        <v>0.72178649658600691</v>
      </c>
      <c r="H77" s="47">
        <f t="shared" si="20"/>
        <v>0.13711395334680193</v>
      </c>
      <c r="I77" s="47">
        <f t="shared" si="21"/>
        <v>3.0917852225259248E-2</v>
      </c>
      <c r="J77" s="47">
        <f t="shared" si="22"/>
        <v>8.9209566993776121E-2</v>
      </c>
      <c r="K77" s="47">
        <f t="shared" si="23"/>
        <v>1.6560261146607216E-4</v>
      </c>
      <c r="L77" s="47">
        <f t="shared" si="24"/>
        <v>2.076797596958059E-2</v>
      </c>
      <c r="M77" s="47">
        <f t="shared" si="25"/>
        <v>3.8552267109054818E-5</v>
      </c>
      <c r="N77" s="48">
        <f t="shared" si="26"/>
        <v>0.99999999999999978</v>
      </c>
      <c r="O77" s="49">
        <f t="shared" si="27"/>
        <v>8.9375169605242194E-2</v>
      </c>
      <c r="P77" s="49">
        <f t="shared" si="28"/>
        <v>2.0806528236689645E-2</v>
      </c>
      <c r="Q77" s="50">
        <f t="shared" si="29"/>
        <v>0.94827561953805106</v>
      </c>
      <c r="R77" s="50">
        <f t="shared" si="30"/>
        <v>5.1724380461948896E-2</v>
      </c>
      <c r="S77" s="51">
        <f>IF(R77&lt;Interface!$B$21,R77,0)</f>
        <v>5.1724380461948896E-2</v>
      </c>
    </row>
    <row r="78" spans="1:19">
      <c r="A78" s="39"/>
      <c r="B78" s="39"/>
      <c r="C78" s="91"/>
      <c r="D78" s="91"/>
      <c r="E78" s="39"/>
      <c r="F78" s="46">
        <v>77</v>
      </c>
      <c r="G78" s="47">
        <f t="shared" si="19"/>
        <v>0.71981713062734642</v>
      </c>
      <c r="H78" s="47">
        <f t="shared" si="20"/>
        <v>0.13873663873622369</v>
      </c>
      <c r="I78" s="47">
        <f t="shared" si="21"/>
        <v>3.128375187189357E-2</v>
      </c>
      <c r="J78" s="47">
        <f t="shared" si="22"/>
        <v>8.8966162212368652E-2</v>
      </c>
      <c r="K78" s="47">
        <f t="shared" si="23"/>
        <v>1.4767876950816256E-4</v>
      </c>
      <c r="L78" s="47">
        <f t="shared" si="24"/>
        <v>2.1013756142576286E-2</v>
      </c>
      <c r="M78" s="47">
        <f t="shared" si="25"/>
        <v>3.4881640083254256E-5</v>
      </c>
      <c r="N78" s="48">
        <f t="shared" si="26"/>
        <v>1</v>
      </c>
      <c r="O78" s="49">
        <f t="shared" si="27"/>
        <v>8.9113840981876816E-2</v>
      </c>
      <c r="P78" s="49">
        <f t="shared" si="28"/>
        <v>2.104863778265954E-2</v>
      </c>
      <c r="Q78" s="50">
        <f t="shared" si="29"/>
        <v>0.94766761034544689</v>
      </c>
      <c r="R78" s="50">
        <f t="shared" si="30"/>
        <v>5.2332389654553113E-2</v>
      </c>
      <c r="S78" s="51">
        <f>IF(R78&lt;Interface!$B$21,R78,0)</f>
        <v>5.2332389654553113E-2</v>
      </c>
    </row>
    <row r="79" spans="1:19">
      <c r="A79" s="39"/>
      <c r="B79" s="39"/>
      <c r="C79" s="91"/>
      <c r="D79" s="91"/>
      <c r="E79" s="39"/>
      <c r="F79" s="46">
        <v>78</v>
      </c>
      <c r="G79" s="47">
        <f t="shared" si="19"/>
        <v>0.71785149772030887</v>
      </c>
      <c r="H79" s="47">
        <f t="shared" si="20"/>
        <v>0.14035461911184674</v>
      </c>
      <c r="I79" s="47">
        <f t="shared" si="21"/>
        <v>3.1648590584043859E-2</v>
      </c>
      <c r="J79" s="47">
        <f t="shared" si="22"/>
        <v>8.8723218819364E-2</v>
      </c>
      <c r="K79" s="47">
        <f t="shared" si="23"/>
        <v>1.3169489762492742E-4</v>
      </c>
      <c r="L79" s="47">
        <f t="shared" si="24"/>
        <v>2.1258823670278607E-2</v>
      </c>
      <c r="M79" s="47">
        <f t="shared" si="25"/>
        <v>3.1555196532981172E-5</v>
      </c>
      <c r="N79" s="48">
        <f t="shared" si="26"/>
        <v>1</v>
      </c>
      <c r="O79" s="49">
        <f t="shared" si="27"/>
        <v>8.885491371698892E-2</v>
      </c>
      <c r="P79" s="49">
        <f t="shared" si="28"/>
        <v>2.1290378866811586E-2</v>
      </c>
      <c r="Q79" s="50">
        <f t="shared" si="29"/>
        <v>0.94706103054914448</v>
      </c>
      <c r="R79" s="50">
        <f t="shared" si="30"/>
        <v>5.2938969450855446E-2</v>
      </c>
      <c r="S79" s="51">
        <f>IF(R79&lt;Interface!$B$21,R79,0)</f>
        <v>5.2938969450855446E-2</v>
      </c>
    </row>
    <row r="80" spans="1:19">
      <c r="A80" s="39"/>
      <c r="B80" s="39"/>
      <c r="C80" s="91"/>
      <c r="D80" s="91"/>
      <c r="E80" s="39"/>
      <c r="F80" s="46">
        <v>79</v>
      </c>
      <c r="G80" s="47">
        <f t="shared" si="19"/>
        <v>0.71588976972496021</v>
      </c>
      <c r="H80" s="47">
        <f t="shared" si="20"/>
        <v>0.14196792969993893</v>
      </c>
      <c r="I80" s="47">
        <f t="shared" si="21"/>
        <v>3.2012376304888186E-2</v>
      </c>
      <c r="J80" s="47">
        <f t="shared" si="22"/>
        <v>8.8480758055893949E-2</v>
      </c>
      <c r="K80" s="47">
        <f t="shared" si="23"/>
        <v>1.1744102499094493E-4</v>
      </c>
      <c r="L80" s="47">
        <f t="shared" si="24"/>
        <v>2.1503183888237055E-2</v>
      </c>
      <c r="M80" s="47">
        <f t="shared" si="25"/>
        <v>2.8541301090662517E-5</v>
      </c>
      <c r="N80" s="48">
        <f t="shared" si="26"/>
        <v>0.99999999999999989</v>
      </c>
      <c r="O80" s="49">
        <f t="shared" si="27"/>
        <v>8.8598199080884898E-2</v>
      </c>
      <c r="P80" s="49">
        <f t="shared" si="28"/>
        <v>2.1531725189327718E-2</v>
      </c>
      <c r="Q80" s="50">
        <f t="shared" si="29"/>
        <v>0.94645589850578404</v>
      </c>
      <c r="R80" s="50">
        <f t="shared" si="30"/>
        <v>5.3544101494215901E-2</v>
      </c>
      <c r="S80" s="51">
        <f>IF(R80&lt;Interface!$B$21,R80,0)</f>
        <v>5.3544101494215901E-2</v>
      </c>
    </row>
    <row r="81" spans="1:19">
      <c r="A81" s="39"/>
      <c r="B81" s="39"/>
      <c r="C81" s="91"/>
      <c r="D81" s="91"/>
      <c r="E81" s="39"/>
      <c r="F81" s="46">
        <v>80</v>
      </c>
      <c r="G81" s="47">
        <f t="shared" si="19"/>
        <v>0.71393209831652071</v>
      </c>
      <c r="H81" s="47">
        <f t="shared" si="20"/>
        <v>0.14357660363790048</v>
      </c>
      <c r="I81" s="47">
        <f t="shared" si="21"/>
        <v>3.2375116506585394E-2</v>
      </c>
      <c r="J81" s="47">
        <f t="shared" si="22"/>
        <v>8.8238798668334006E-2</v>
      </c>
      <c r="K81" s="47">
        <f t="shared" si="23"/>
        <v>1.0472990677440724E-4</v>
      </c>
      <c r="L81" s="47">
        <f t="shared" si="24"/>
        <v>2.1746841815610606E-2</v>
      </c>
      <c r="M81" s="47">
        <f t="shared" si="25"/>
        <v>2.5811148274438318E-5</v>
      </c>
      <c r="N81" s="48">
        <f t="shared" si="26"/>
        <v>1.0000000000000002</v>
      </c>
      <c r="O81" s="49">
        <f t="shared" si="27"/>
        <v>8.834352857510841E-2</v>
      </c>
      <c r="P81" s="49">
        <f t="shared" si="28"/>
        <v>2.1772652963885045E-2</v>
      </c>
      <c r="Q81" s="50">
        <f t="shared" si="29"/>
        <v>0.9458522305295296</v>
      </c>
      <c r="R81" s="50">
        <f t="shared" si="30"/>
        <v>5.4147769470470439E-2</v>
      </c>
      <c r="S81" s="51">
        <f>IF(R81&lt;Interface!$B$21,R81,0)</f>
        <v>5.4147769470470439E-2</v>
      </c>
    </row>
    <row r="82" spans="1:19">
      <c r="A82" s="39"/>
      <c r="B82" s="39"/>
      <c r="C82" s="91"/>
      <c r="D82" s="91"/>
      <c r="E82" s="39"/>
      <c r="F82" s="46">
        <v>81</v>
      </c>
      <c r="G82" s="47">
        <f t="shared" si="19"/>
        <v>0.71197861717440714</v>
      </c>
      <c r="H82" s="47">
        <f t="shared" si="20"/>
        <v>0.14518067215115632</v>
      </c>
      <c r="I82" s="47">
        <f t="shared" si="21"/>
        <v>3.2736818230162695E-2</v>
      </c>
      <c r="J82" s="47">
        <f t="shared" si="22"/>
        <v>8.7997357178859301E-2</v>
      </c>
      <c r="K82" s="47">
        <f t="shared" si="23"/>
        <v>9.3394564410705043E-5</v>
      </c>
      <c r="L82" s="47">
        <f t="shared" si="24"/>
        <v>2.1989802181960776E-2</v>
      </c>
      <c r="M82" s="47">
        <f t="shared" si="25"/>
        <v>2.3338519043105885E-5</v>
      </c>
      <c r="N82" s="48">
        <f t="shared" si="26"/>
        <v>1</v>
      </c>
      <c r="O82" s="49">
        <f t="shared" si="27"/>
        <v>8.809075174327001E-2</v>
      </c>
      <c r="P82" s="49">
        <f t="shared" si="28"/>
        <v>2.201314070100388E-2</v>
      </c>
      <c r="Q82" s="50">
        <f t="shared" si="29"/>
        <v>0.94525004106883348</v>
      </c>
      <c r="R82" s="50">
        <f t="shared" si="30"/>
        <v>5.4749958931166576E-2</v>
      </c>
      <c r="S82" s="51">
        <f>IF(R82&lt;Interface!$B$21,R82,0)</f>
        <v>5.4749958931166576E-2</v>
      </c>
    </row>
    <row r="83" spans="1:19">
      <c r="A83" s="39"/>
      <c r="B83" s="39"/>
      <c r="C83" s="91"/>
      <c r="D83" s="91"/>
      <c r="E83" s="39"/>
      <c r="F83" s="46">
        <v>82</v>
      </c>
      <c r="G83" s="47">
        <f t="shared" si="19"/>
        <v>0.71002944393433576</v>
      </c>
      <c r="H83" s="47">
        <f t="shared" si="20"/>
        <v>0.14678016471573987</v>
      </c>
      <c r="I83" s="47">
        <f t="shared" si="21"/>
        <v>3.3097488122176638E-2</v>
      </c>
      <c r="J83" s="47">
        <f t="shared" si="22"/>
        <v>8.7756448126715639E-2</v>
      </c>
      <c r="K83" s="47">
        <f t="shared" si="23"/>
        <v>8.32860921021736E-5</v>
      </c>
      <c r="L83" s="47">
        <f t="shared" si="24"/>
        <v>2.2232069451877317E-2</v>
      </c>
      <c r="M83" s="47">
        <f t="shared" si="25"/>
        <v>2.1099557052688942E-5</v>
      </c>
      <c r="N83" s="48">
        <f t="shared" si="26"/>
        <v>1</v>
      </c>
      <c r="O83" s="49">
        <f t="shared" si="27"/>
        <v>8.7839734218817814E-2</v>
      </c>
      <c r="P83" s="49">
        <f t="shared" si="28"/>
        <v>2.2253169008930006E-2</v>
      </c>
      <c r="Q83" s="50">
        <f t="shared" si="29"/>
        <v>0.94464934286889346</v>
      </c>
      <c r="R83" s="50">
        <f t="shared" si="30"/>
        <v>5.5350657131106644E-2</v>
      </c>
      <c r="S83" s="51">
        <f>IF(R83&lt;Interface!$B$21,R83,0)</f>
        <v>5.5350657131106644E-2</v>
      </c>
    </row>
    <row r="84" spans="1:19">
      <c r="A84" s="39"/>
      <c r="B84" s="39"/>
      <c r="C84" s="91"/>
      <c r="D84" s="91"/>
      <c r="E84" s="39"/>
      <c r="F84" s="46">
        <v>83</v>
      </c>
      <c r="G84" s="47">
        <f t="shared" si="19"/>
        <v>0.70808468192912777</v>
      </c>
      <c r="H84" s="47">
        <f t="shared" si="20"/>
        <v>0.14837510920760641</v>
      </c>
      <c r="I84" s="47">
        <f t="shared" si="21"/>
        <v>3.3457132468381834E-2</v>
      </c>
      <c r="J84" s="47">
        <f t="shared" si="22"/>
        <v>8.7516084283375331E-2</v>
      </c>
      <c r="K84" s="47">
        <f t="shared" si="23"/>
        <v>7.427170072926279E-5</v>
      </c>
      <c r="L84" s="47">
        <f t="shared" si="24"/>
        <v>2.2473647847594046E-2</v>
      </c>
      <c r="M84" s="47">
        <f t="shared" si="25"/>
        <v>1.9072563185375756E-5</v>
      </c>
      <c r="N84" s="48">
        <f t="shared" si="26"/>
        <v>1.0000000000000002</v>
      </c>
      <c r="O84" s="49">
        <f t="shared" si="27"/>
        <v>8.7590355984104598E-2</v>
      </c>
      <c r="P84" s="49">
        <f t="shared" si="28"/>
        <v>2.2492720410779422E-2</v>
      </c>
      <c r="Q84" s="50">
        <f t="shared" si="29"/>
        <v>0.94405014712083879</v>
      </c>
      <c r="R84" s="50">
        <f t="shared" si="30"/>
        <v>5.5949852879161252E-2</v>
      </c>
      <c r="S84" s="51">
        <f>IF(R84&lt;Interface!$B$21,R84,0)</f>
        <v>5.5949852879161252E-2</v>
      </c>
    </row>
    <row r="85" spans="1:19">
      <c r="A85" s="39"/>
      <c r="B85" s="39"/>
      <c r="C85" s="91"/>
      <c r="D85" s="91"/>
      <c r="E85" s="39"/>
      <c r="F85" s="46">
        <v>84</v>
      </c>
      <c r="G85" s="47">
        <f t="shared" si="19"/>
        <v>0.70614442174108949</v>
      </c>
      <c r="H85" s="47">
        <f t="shared" si="20"/>
        <v>0.14996553203965599</v>
      </c>
      <c r="I85" s="47">
        <f t="shared" si="21"/>
        <v>3.3815757224628297E-2</v>
      </c>
      <c r="J85" s="47">
        <f t="shared" si="22"/>
        <v>8.727627684440431E-2</v>
      </c>
      <c r="K85" s="47">
        <f t="shared" si="23"/>
        <v>6.6232973477131261E-5</v>
      </c>
      <c r="L85" s="47">
        <f t="shared" si="24"/>
        <v>2.2714541369742994E-2</v>
      </c>
      <c r="M85" s="47">
        <f t="shared" si="25"/>
        <v>1.7237807001890295E-5</v>
      </c>
      <c r="N85" s="48">
        <f t="shared" si="26"/>
        <v>1</v>
      </c>
      <c r="O85" s="49">
        <f t="shared" si="27"/>
        <v>8.7342509817881442E-2</v>
      </c>
      <c r="P85" s="49">
        <f t="shared" si="28"/>
        <v>2.2731779176744883E-2</v>
      </c>
      <c r="Q85" s="50">
        <f t="shared" si="29"/>
        <v>0.94345246359862689</v>
      </c>
      <c r="R85" s="50">
        <f t="shared" si="30"/>
        <v>5.654753640137318E-2</v>
      </c>
      <c r="S85" s="51">
        <f>IF(R85&lt;Interface!$B$21,R85,0)</f>
        <v>5.654753640137318E-2</v>
      </c>
    </row>
    <row r="86" spans="1:19">
      <c r="A86" s="39"/>
      <c r="B86" s="39"/>
      <c r="C86" s="91"/>
      <c r="D86" s="91"/>
      <c r="E86" s="39"/>
      <c r="F86" s="46">
        <v>85</v>
      </c>
      <c r="G86" s="47">
        <f t="shared" si="19"/>
        <v>0.70420874258635957</v>
      </c>
      <c r="H86" s="47">
        <f t="shared" si="20"/>
        <v>0.15155145828738686</v>
      </c>
      <c r="I86" s="47">
        <f t="shared" si="21"/>
        <v>3.4173368045195066E-2</v>
      </c>
      <c r="J86" s="47">
        <f t="shared" si="22"/>
        <v>8.703703560056128E-2</v>
      </c>
      <c r="K86" s="47">
        <f t="shared" si="23"/>
        <v>5.9064310262845318E-5</v>
      </c>
      <c r="L86" s="47">
        <f t="shared" si="24"/>
        <v>2.2954753816386526E-2</v>
      </c>
      <c r="M86" s="47">
        <f t="shared" si="25"/>
        <v>1.557735384785489E-5</v>
      </c>
      <c r="N86" s="48">
        <f t="shared" si="26"/>
        <v>1</v>
      </c>
      <c r="O86" s="49">
        <f t="shared" si="27"/>
        <v>8.7096099910824121E-2</v>
      </c>
      <c r="P86" s="49">
        <f t="shared" si="28"/>
        <v>2.2970331170234382E-2</v>
      </c>
      <c r="Q86" s="50">
        <f t="shared" si="29"/>
        <v>0.9428563007845705</v>
      </c>
      <c r="R86" s="50">
        <f t="shared" si="30"/>
        <v>5.7143699215429444E-2</v>
      </c>
      <c r="S86" s="51">
        <f>IF(R86&lt;Interface!$B$21,R86,0)</f>
        <v>5.7143699215429444E-2</v>
      </c>
    </row>
    <row r="87" spans="1:19">
      <c r="A87" s="39"/>
      <c r="B87" s="39"/>
      <c r="C87" s="91"/>
      <c r="D87" s="91"/>
      <c r="E87" s="39"/>
      <c r="F87" s="46">
        <v>86</v>
      </c>
      <c r="G87" s="47">
        <f t="shared" si="19"/>
        <v>0.70227771354941115</v>
      </c>
      <c r="H87" s="47">
        <f t="shared" si="20"/>
        <v>0.1531329118040467</v>
      </c>
      <c r="I87" s="47">
        <f t="shared" si="21"/>
        <v>3.4529970308755618E-2</v>
      </c>
      <c r="J87" s="47">
        <f t="shared" si="22"/>
        <v>8.6798369090376651E-2</v>
      </c>
      <c r="K87" s="47">
        <f t="shared" si="23"/>
        <v>5.2671540528528225E-5</v>
      </c>
      <c r="L87" s="47">
        <f t="shared" si="24"/>
        <v>2.3194288800458707E-2</v>
      </c>
      <c r="M87" s="47">
        <f t="shared" si="25"/>
        <v>1.4074906422627668E-5</v>
      </c>
      <c r="N87" s="48">
        <f t="shared" si="26"/>
        <v>1</v>
      </c>
      <c r="O87" s="49">
        <f t="shared" si="27"/>
        <v>8.685104063090518E-2</v>
      </c>
      <c r="P87" s="49">
        <f t="shared" si="28"/>
        <v>2.3208363706881334E-2</v>
      </c>
      <c r="Q87" s="50">
        <f t="shared" si="29"/>
        <v>0.94226166598436301</v>
      </c>
      <c r="R87" s="50">
        <f t="shared" si="30"/>
        <v>5.7738334015636952E-2</v>
      </c>
      <c r="S87" s="51">
        <f>IF(R87&lt;Interface!$B$21,R87,0)</f>
        <v>5.7738334015636952E-2</v>
      </c>
    </row>
    <row r="88" spans="1:19">
      <c r="A88" s="39"/>
      <c r="B88" s="39"/>
      <c r="C88" s="91"/>
      <c r="D88" s="91"/>
      <c r="E88" s="39"/>
      <c r="F88" s="46">
        <v>87</v>
      </c>
      <c r="G88" s="47">
        <f t="shared" si="19"/>
        <v>0.70035139468392726</v>
      </c>
      <c r="H88" s="47">
        <f t="shared" si="20"/>
        <v>0.15470991532608902</v>
      </c>
      <c r="I88" s="47">
        <f t="shared" si="21"/>
        <v>3.4885569142157319E-2</v>
      </c>
      <c r="J88" s="47">
        <f t="shared" si="22"/>
        <v>8.6560284736215715E-2</v>
      </c>
      <c r="K88" s="47">
        <f t="shared" si="23"/>
        <v>4.6970686177530343E-5</v>
      </c>
      <c r="L88" s="47">
        <f t="shared" si="24"/>
        <v>2.3433149765738306E-2</v>
      </c>
      <c r="M88" s="47">
        <f t="shared" si="25"/>
        <v>1.2715659694879169E-5</v>
      </c>
      <c r="N88" s="48">
        <f t="shared" si="26"/>
        <v>1</v>
      </c>
      <c r="O88" s="49">
        <f t="shared" si="27"/>
        <v>8.6607255422393239E-2</v>
      </c>
      <c r="P88" s="49">
        <f t="shared" si="28"/>
        <v>2.3445865425433185E-2</v>
      </c>
      <c r="Q88" s="50">
        <f t="shared" si="29"/>
        <v>0.94166856543240951</v>
      </c>
      <c r="R88" s="50">
        <f t="shared" si="30"/>
        <v>5.8331434567590504E-2</v>
      </c>
      <c r="S88" s="51">
        <f>IF(R88&lt;Interface!$B$21,R88,0)</f>
        <v>5.8331434567590504E-2</v>
      </c>
    </row>
    <row r="89" spans="1:19">
      <c r="A89" s="39"/>
      <c r="B89" s="39"/>
      <c r="C89" s="91"/>
      <c r="D89" s="91"/>
      <c r="E89" s="39"/>
      <c r="F89" s="46">
        <v>88</v>
      </c>
      <c r="G89" s="47">
        <f t="shared" si="19"/>
        <v>0.6984298379945113</v>
      </c>
      <c r="H89" s="47">
        <f t="shared" si="20"/>
        <v>0.15628249056969501</v>
      </c>
      <c r="I89" s="47">
        <f t="shared" si="21"/>
        <v>3.5240169442186123E-2</v>
      </c>
      <c r="J89" s="47">
        <f t="shared" si="22"/>
        <v>8.6322788965613739E-2</v>
      </c>
      <c r="K89" s="47">
        <f t="shared" si="23"/>
        <v>4.1886858403032322E-5</v>
      </c>
      <c r="L89" s="47">
        <f t="shared" si="24"/>
        <v>2.3671340001468449E-2</v>
      </c>
      <c r="M89" s="47">
        <f t="shared" si="25"/>
        <v>1.1486168122377399E-5</v>
      </c>
      <c r="N89" s="48">
        <f t="shared" si="26"/>
        <v>1</v>
      </c>
      <c r="O89" s="49">
        <f t="shared" si="27"/>
        <v>8.6364675824016773E-2</v>
      </c>
      <c r="P89" s="49">
        <f t="shared" si="28"/>
        <v>2.3682826169590828E-2</v>
      </c>
      <c r="Q89" s="50">
        <f t="shared" si="29"/>
        <v>0.94107700438822306</v>
      </c>
      <c r="R89" s="50">
        <f t="shared" si="30"/>
        <v>5.8922995611776954E-2</v>
      </c>
      <c r="S89" s="51">
        <f>IF(R89&lt;Interface!$B$21,R89,0)</f>
        <v>5.8922995611776954E-2</v>
      </c>
    </row>
    <row r="90" spans="1:19">
      <c r="A90" s="39"/>
      <c r="B90" s="39"/>
      <c r="C90" s="91"/>
      <c r="D90" s="91"/>
      <c r="E90" s="39"/>
      <c r="F90" s="46">
        <v>89</v>
      </c>
      <c r="G90" s="47">
        <f t="shared" si="19"/>
        <v>0.69651308831213277</v>
      </c>
      <c r="H90" s="47">
        <f t="shared" si="20"/>
        <v>0.15785065831906425</v>
      </c>
      <c r="I90" s="47">
        <f t="shared" si="21"/>
        <v>3.5593775895475264E-2</v>
      </c>
      <c r="J90" s="47">
        <f t="shared" si="22"/>
        <v>8.608588731947707E-2</v>
      </c>
      <c r="K90" s="47">
        <f t="shared" si="23"/>
        <v>3.7353273917360717E-5</v>
      </c>
      <c r="L90" s="47">
        <f t="shared" si="24"/>
        <v>2.3908862655729599E-2</v>
      </c>
      <c r="M90" s="47">
        <f t="shared" si="25"/>
        <v>1.0374224203761731E-5</v>
      </c>
      <c r="N90" s="48">
        <f t="shared" si="26"/>
        <v>1.0000000000000002</v>
      </c>
      <c r="O90" s="49">
        <f t="shared" si="27"/>
        <v>8.6123240593394434E-2</v>
      </c>
      <c r="P90" s="49">
        <f t="shared" si="28"/>
        <v>2.3919236879933359E-2</v>
      </c>
      <c r="Q90" s="50">
        <f t="shared" si="29"/>
        <v>0.94048698722459145</v>
      </c>
      <c r="R90" s="50">
        <f t="shared" si="30"/>
        <v>5.9513012775408623E-2</v>
      </c>
      <c r="S90" s="51">
        <f>IF(R90&lt;Interface!$B$21,R90,0)</f>
        <v>5.9513012775408623E-2</v>
      </c>
    </row>
    <row r="91" spans="1:19">
      <c r="A91" s="39"/>
      <c r="B91" s="39"/>
      <c r="C91" s="91"/>
      <c r="D91" s="91"/>
      <c r="E91" s="39"/>
      <c r="F91" s="46">
        <v>90</v>
      </c>
      <c r="G91" s="47">
        <f t="shared" si="19"/>
        <v>0.69460118407480642</v>
      </c>
      <c r="H91" s="47">
        <f t="shared" si="20"/>
        <v>0.1594144385071336</v>
      </c>
      <c r="I91" s="47">
        <f t="shared" si="21"/>
        <v>3.5946392996706593E-2</v>
      </c>
      <c r="J91" s="47">
        <f t="shared" si="22"/>
        <v>8.5849584548571584E-2</v>
      </c>
      <c r="K91" s="47">
        <f t="shared" si="23"/>
        <v>3.3310377658792678E-5</v>
      </c>
      <c r="L91" s="47">
        <f t="shared" si="24"/>
        <v>2.4145720747665637E-2</v>
      </c>
      <c r="M91" s="47">
        <f t="shared" si="25"/>
        <v>9.3687474572859857E-6</v>
      </c>
      <c r="N91" s="48">
        <f t="shared" si="26"/>
        <v>0.99999999999999978</v>
      </c>
      <c r="O91" s="49">
        <f t="shared" si="27"/>
        <v>8.5882894926230371E-2</v>
      </c>
      <c r="P91" s="49">
        <f t="shared" si="28"/>
        <v>2.4155089495122923E-2</v>
      </c>
      <c r="Q91" s="50">
        <f t="shared" si="29"/>
        <v>0.93989851750817044</v>
      </c>
      <c r="R91" s="50">
        <f t="shared" si="30"/>
        <v>6.0101482491829519E-2</v>
      </c>
      <c r="S91" s="51">
        <f>IF(R91&lt;Interface!$B$21,R91,0)</f>
        <v>0</v>
      </c>
    </row>
    <row r="92" spans="1:19">
      <c r="A92" s="39"/>
      <c r="B92" s="39"/>
      <c r="C92" s="91"/>
      <c r="D92" s="91"/>
      <c r="E92" s="39"/>
      <c r="F92" s="46">
        <v>91</v>
      </c>
      <c r="G92" s="47">
        <f t="shared" si="19"/>
        <v>0.69269415802376622</v>
      </c>
      <c r="H92" s="47">
        <f t="shared" si="20"/>
        <v>0.16097385028933334</v>
      </c>
      <c r="I92" s="47">
        <f t="shared" si="21"/>
        <v>3.6298025065241823E-2</v>
      </c>
      <c r="J92" s="47">
        <f t="shared" si="22"/>
        <v>8.5613884699566586E-2</v>
      </c>
      <c r="K92" s="47">
        <f t="shared" si="23"/>
        <v>2.9705060451359611E-5</v>
      </c>
      <c r="L92" s="47">
        <f t="shared" si="24"/>
        <v>2.438191717865535E-2</v>
      </c>
      <c r="M92" s="47">
        <f t="shared" si="25"/>
        <v>8.4596829854593325E-6</v>
      </c>
      <c r="N92" s="48">
        <f t="shared" si="26"/>
        <v>1</v>
      </c>
      <c r="O92" s="49">
        <f t="shared" si="27"/>
        <v>8.5643589760017944E-2</v>
      </c>
      <c r="P92" s="49">
        <f t="shared" si="28"/>
        <v>2.4390376861640809E-2</v>
      </c>
      <c r="Q92" s="50">
        <f t="shared" si="29"/>
        <v>0.93931159807311748</v>
      </c>
      <c r="R92" s="50">
        <f t="shared" si="30"/>
        <v>6.0688401926882629E-2</v>
      </c>
      <c r="S92" s="51">
        <f>IF(R92&lt;Interface!$B$21,R92,0)</f>
        <v>0</v>
      </c>
    </row>
    <row r="93" spans="1:19">
      <c r="A93" s="39"/>
      <c r="B93" s="39"/>
      <c r="C93" s="91"/>
      <c r="D93" s="91"/>
      <c r="E93" s="39"/>
      <c r="F93" s="46">
        <v>92</v>
      </c>
      <c r="G93" s="47">
        <f t="shared" si="19"/>
        <v>0.6907920378242739</v>
      </c>
      <c r="H93" s="47">
        <f t="shared" si="20"/>
        <v>0.16252891211094894</v>
      </c>
      <c r="I93" s="47">
        <f t="shared" si="21"/>
        <v>3.6648676260312006E-2</v>
      </c>
      <c r="J93" s="47">
        <f t="shared" si="22"/>
        <v>8.537879119176417E-2</v>
      </c>
      <c r="K93" s="47">
        <f t="shared" si="23"/>
        <v>2.6489961340501677E-5</v>
      </c>
      <c r="L93" s="47">
        <f t="shared" si="24"/>
        <v>2.4617454742515393E-2</v>
      </c>
      <c r="M93" s="47">
        <f t="shared" si="25"/>
        <v>7.6379088451381925E-6</v>
      </c>
      <c r="N93" s="48">
        <f t="shared" si="26"/>
        <v>1</v>
      </c>
      <c r="O93" s="49">
        <f t="shared" si="27"/>
        <v>8.5405281153104667E-2</v>
      </c>
      <c r="P93" s="49">
        <f t="shared" si="28"/>
        <v>2.4625092651360533E-2</v>
      </c>
      <c r="Q93" s="50">
        <f t="shared" si="29"/>
        <v>0.93872623108832753</v>
      </c>
      <c r="R93" s="50">
        <f t="shared" si="30"/>
        <v>6.1273768911672535E-2</v>
      </c>
      <c r="S93" s="51">
        <f>IF(R93&lt;Interface!$B$21,R93,0)</f>
        <v>0</v>
      </c>
    </row>
    <row r="94" spans="1:19">
      <c r="A94" s="39"/>
      <c r="B94" s="39"/>
      <c r="C94" s="91"/>
      <c r="D94" s="91"/>
      <c r="E94" s="39"/>
      <c r="F94" s="46">
        <v>93</v>
      </c>
      <c r="G94" s="47">
        <f t="shared" si="19"/>
        <v>0.6888948466192284</v>
      </c>
      <c r="H94" s="47">
        <f t="shared" si="20"/>
        <v>0.16407964176861223</v>
      </c>
      <c r="I94" s="47">
        <f t="shared" si="21"/>
        <v>3.6998350594883142E-2</v>
      </c>
      <c r="J94" s="47">
        <f t="shared" si="22"/>
        <v>8.5144306885522603E-2</v>
      </c>
      <c r="K94" s="47">
        <f t="shared" si="23"/>
        <v>2.3622845439762627E-5</v>
      </c>
      <c r="L94" s="47">
        <f t="shared" si="24"/>
        <v>2.4852336134814031E-2</v>
      </c>
      <c r="M94" s="47">
        <f t="shared" si="25"/>
        <v>6.8951514999009686E-6</v>
      </c>
      <c r="N94" s="48">
        <f t="shared" si="26"/>
        <v>1.0000000000000002</v>
      </c>
      <c r="O94" s="49">
        <f t="shared" si="27"/>
        <v>8.5167929730962363E-2</v>
      </c>
      <c r="P94" s="49">
        <f t="shared" si="28"/>
        <v>2.485923128631393E-2</v>
      </c>
      <c r="Q94" s="50">
        <f t="shared" si="29"/>
        <v>0.93814241811880295</v>
      </c>
      <c r="R94" s="50">
        <f t="shared" si="30"/>
        <v>6.1857581881197068E-2</v>
      </c>
      <c r="S94" s="51">
        <f>IF(R94&lt;Interface!$B$21,R94,0)</f>
        <v>0</v>
      </c>
    </row>
    <row r="95" spans="1:19">
      <c r="A95" s="39"/>
      <c r="B95" s="39"/>
      <c r="C95" s="91"/>
      <c r="D95" s="91"/>
      <c r="E95" s="39"/>
      <c r="F95" s="46">
        <v>94</v>
      </c>
      <c r="G95" s="47">
        <f t="shared" si="19"/>
        <v>0.68700260352283982</v>
      </c>
      <c r="H95" s="47">
        <f t="shared" si="20"/>
        <v>0.16562605646640929</v>
      </c>
      <c r="I95" s="47">
        <f t="shared" si="21"/>
        <v>3.7347051948307966E-2</v>
      </c>
      <c r="J95" s="47">
        <f t="shared" si="22"/>
        <v>8.4910434143272318E-2</v>
      </c>
      <c r="K95" s="47">
        <f t="shared" si="23"/>
        <v>2.1066049115658898E-5</v>
      </c>
      <c r="L95" s="47">
        <f t="shared" si="24"/>
        <v>2.5086563961369542E-2</v>
      </c>
      <c r="M95" s="47">
        <f t="shared" si="25"/>
        <v>6.2239086854934152E-6</v>
      </c>
      <c r="N95" s="48">
        <f t="shared" si="26"/>
        <v>1</v>
      </c>
      <c r="O95" s="49">
        <f t="shared" si="27"/>
        <v>8.4931500192387974E-2</v>
      </c>
      <c r="P95" s="49">
        <f t="shared" si="28"/>
        <v>2.5092787870055037E-2</v>
      </c>
      <c r="Q95" s="50">
        <f t="shared" si="29"/>
        <v>0.93756016018163701</v>
      </c>
      <c r="R95" s="50">
        <f t="shared" si="30"/>
        <v>6.2439839818362999E-2</v>
      </c>
      <c r="S95" s="51">
        <f>IF(R95&lt;Interface!$B$21,R95,0)</f>
        <v>0</v>
      </c>
    </row>
    <row r="96" spans="1:19">
      <c r="A96" s="39"/>
      <c r="B96" s="39"/>
      <c r="C96" s="91"/>
      <c r="D96" s="91"/>
      <c r="E96" s="39"/>
      <c r="F96" s="46">
        <v>95</v>
      </c>
      <c r="G96" s="47">
        <f t="shared" si="19"/>
        <v>0.68511532406086162</v>
      </c>
      <c r="H96" s="47">
        <f t="shared" si="20"/>
        <v>0.16716817286705338</v>
      </c>
      <c r="I96" s="47">
        <f t="shared" si="21"/>
        <v>3.7694784077864966E-2</v>
      </c>
      <c r="J96" s="47">
        <f t="shared" si="22"/>
        <v>8.4677174883926704E-2</v>
      </c>
      <c r="K96" s="47">
        <f t="shared" si="23"/>
        <v>1.8785985222439507E-5</v>
      </c>
      <c r="L96" s="47">
        <f t="shared" si="24"/>
        <v>2.5320140746001137E-2</v>
      </c>
      <c r="M96" s="47">
        <f t="shared" si="25"/>
        <v>5.6173790698200964E-6</v>
      </c>
      <c r="N96" s="48">
        <f t="shared" si="26"/>
        <v>0.99999999999999989</v>
      </c>
      <c r="O96" s="49">
        <f t="shared" si="27"/>
        <v>8.4695960869149142E-2</v>
      </c>
      <c r="P96" s="49">
        <f t="shared" si="28"/>
        <v>2.5325758125070957E-2</v>
      </c>
      <c r="Q96" s="50">
        <f t="shared" si="29"/>
        <v>0.93697945779706415</v>
      </c>
      <c r="R96" s="50">
        <f t="shared" si="30"/>
        <v>6.3020542202935931E-2</v>
      </c>
      <c r="S96" s="51">
        <f>IF(R96&lt;Interface!$B$21,R96,0)</f>
        <v>0</v>
      </c>
    </row>
    <row r="97" spans="1:19">
      <c r="A97" s="39"/>
      <c r="B97" s="39"/>
      <c r="C97" s="91"/>
      <c r="D97" s="91"/>
      <c r="E97" s="39"/>
      <c r="F97" s="46">
        <v>96</v>
      </c>
      <c r="G97" s="47">
        <f t="shared" si="19"/>
        <v>0.68323302056316371</v>
      </c>
      <c r="H97" s="47">
        <f t="shared" si="20"/>
        <v>0.16870600713853723</v>
      </c>
      <c r="I97" s="47">
        <f t="shared" si="21"/>
        <v>3.8041550629277991E-2</v>
      </c>
      <c r="J97" s="47">
        <f t="shared" si="22"/>
        <v>8.444453063140224E-2</v>
      </c>
      <c r="K97" s="47">
        <f t="shared" si="23"/>
        <v>1.6752701887293459E-5</v>
      </c>
      <c r="L97" s="47">
        <f t="shared" si="24"/>
        <v>2.5553068937595135E-2</v>
      </c>
      <c r="M97" s="47">
        <f t="shared" si="25"/>
        <v>5.0693981364590522E-6</v>
      </c>
      <c r="N97" s="48">
        <f t="shared" si="26"/>
        <v>1</v>
      </c>
      <c r="O97" s="49">
        <f t="shared" si="27"/>
        <v>8.4461283333289533E-2</v>
      </c>
      <c r="P97" s="49">
        <f t="shared" si="28"/>
        <v>2.5558138335731593E-2</v>
      </c>
      <c r="Q97" s="50">
        <f t="shared" si="29"/>
        <v>0.93640031103499044</v>
      </c>
      <c r="R97" s="50">
        <f t="shared" si="30"/>
        <v>6.3599688965009588E-2</v>
      </c>
      <c r="S97" s="51">
        <f>IF(R97&lt;Interface!$B$21,R97,0)</f>
        <v>0</v>
      </c>
    </row>
    <row r="98" spans="1:19">
      <c r="A98" s="39"/>
      <c r="B98" s="39"/>
      <c r="C98" s="91"/>
      <c r="D98" s="91"/>
      <c r="E98" s="39"/>
      <c r="F98" s="46">
        <v>97</v>
      </c>
      <c r="G98" s="47">
        <f>p.delivery*(1-(1-p.conception)^F98)*(1-alpha)^F98</f>
        <v>0.68135570251380217</v>
      </c>
      <c r="H98" s="47">
        <f t="shared" si="20"/>
        <v>0.1702395749966491</v>
      </c>
      <c r="I98" s="47">
        <f t="shared" si="21"/>
        <v>3.8387355146303218E-2</v>
      </c>
      <c r="J98" s="47">
        <f t="shared" si="22"/>
        <v>8.4212502557885663E-2</v>
      </c>
      <c r="K98" s="47">
        <f t="shared" si="23"/>
        <v>1.4939489050022835E-5</v>
      </c>
      <c r="L98" s="47">
        <f t="shared" si="24"/>
        <v>2.5785350916544662E-2</v>
      </c>
      <c r="M98" s="47">
        <f t="shared" si="25"/>
        <v>4.5743797650939571E-6</v>
      </c>
      <c r="N98" s="48">
        <f t="shared" si="26"/>
        <v>1</v>
      </c>
      <c r="O98" s="49">
        <f t="shared" si="27"/>
        <v>8.4227442046935691E-2</v>
      </c>
      <c r="P98" s="49">
        <f t="shared" si="28"/>
        <v>2.5789925296309756E-2</v>
      </c>
      <c r="Q98" s="50">
        <f t="shared" si="29"/>
        <v>0.93582271955738694</v>
      </c>
      <c r="R98" s="50">
        <f t="shared" si="30"/>
        <v>6.4177280442612977E-2</v>
      </c>
      <c r="S98" s="51">
        <f>IF(R98&lt;Interface!$B$21,R98,0)</f>
        <v>0</v>
      </c>
    </row>
    <row r="99" spans="1:19">
      <c r="A99" s="39"/>
      <c r="B99" s="39"/>
      <c r="C99" s="91"/>
      <c r="D99" s="91"/>
      <c r="E99" s="39"/>
      <c r="F99" s="46">
        <v>98</v>
      </c>
      <c r="G99" s="47">
        <f>p.delivery*(1-(1-p.conception)^F99)*(1-alpha)^F99</f>
        <v>0.6794833768631906</v>
      </c>
      <c r="H99" s="47">
        <f t="shared" si="20"/>
        <v>0.1717688917437023</v>
      </c>
      <c r="I99" s="47">
        <f t="shared" si="21"/>
        <v>3.8732201079462278E-2</v>
      </c>
      <c r="J99" s="47">
        <f t="shared" si="22"/>
        <v>8.3981091522416798E-2</v>
      </c>
      <c r="K99" s="47">
        <f t="shared" si="23"/>
        <v>1.3322527588522028E-5</v>
      </c>
      <c r="L99" s="47">
        <f t="shared" si="24"/>
        <v>2.6016989000615841E-2</v>
      </c>
      <c r="M99" s="47">
        <f t="shared" si="25"/>
        <v>4.1272630237064573E-6</v>
      </c>
      <c r="N99" s="48">
        <f t="shared" si="26"/>
        <v>1.0000000000000002</v>
      </c>
      <c r="O99" s="49">
        <f t="shared" si="27"/>
        <v>8.3994414050005323E-2</v>
      </c>
      <c r="P99" s="49">
        <f t="shared" si="28"/>
        <v>2.6021116263639548E-2</v>
      </c>
      <c r="Q99" s="50">
        <f t="shared" si="29"/>
        <v>0.93524668265689825</v>
      </c>
      <c r="R99" s="50">
        <f t="shared" si="30"/>
        <v>6.4753317343101829E-2</v>
      </c>
      <c r="S99" s="51">
        <f>IF(R99&lt;Interface!$B$21,R99,0)</f>
        <v>0</v>
      </c>
    </row>
    <row r="100" spans="1:19">
      <c r="A100" s="39"/>
      <c r="B100" s="39"/>
      <c r="C100" s="91"/>
      <c r="D100" s="91"/>
      <c r="E100" s="39"/>
      <c r="F100" s="46">
        <v>99</v>
      </c>
      <c r="G100" s="47">
        <f>p.delivery*(1-(1-p.conception)^F100)*(1-alpha)^F100</f>
        <v>0.67761604830646982</v>
      </c>
      <c r="H100" s="47">
        <f t="shared" si="20"/>
        <v>0.1732939723038045</v>
      </c>
      <c r="I100" s="47">
        <f t="shared" si="21"/>
        <v>3.907609179399512E-2</v>
      </c>
      <c r="J100" s="47">
        <f t="shared" si="22"/>
        <v>8.375029810529401E-2</v>
      </c>
      <c r="K100" s="47">
        <f t="shared" si="23"/>
        <v>1.1880576420828749E-5</v>
      </c>
      <c r="L100" s="47">
        <f t="shared" si="24"/>
        <v>2.6247985450289838E-2</v>
      </c>
      <c r="M100" s="47">
        <f t="shared" si="25"/>
        <v>3.7234637259787551E-6</v>
      </c>
      <c r="N100" s="48">
        <f t="shared" si="26"/>
        <v>1</v>
      </c>
      <c r="O100" s="49">
        <f t="shared" si="27"/>
        <v>8.3762178681714844E-2</v>
      </c>
      <c r="P100" s="49">
        <f t="shared" si="28"/>
        <v>2.6251708914015816E-2</v>
      </c>
      <c r="Q100" s="50">
        <f t="shared" si="29"/>
        <v>0.93467219929198919</v>
      </c>
      <c r="R100" s="50">
        <f t="shared" si="30"/>
        <v>6.5327800708010933E-2</v>
      </c>
      <c r="S100" s="51">
        <f>IF(R100&lt;Interface!$B$21,R100,0)</f>
        <v>0</v>
      </c>
    </row>
    <row r="101" spans="1:19">
      <c r="A101" s="39"/>
      <c r="B101" s="39"/>
      <c r="C101" s="91"/>
      <c r="D101" s="91"/>
      <c r="E101" s="39"/>
      <c r="F101" s="46">
        <v>100</v>
      </c>
      <c r="G101" s="47">
        <f>p.delivery*(1-(1-p.conception)^F101)*(1-alpha)^F101</f>
        <v>0.67575371953173935</v>
      </c>
      <c r="H101" s="47">
        <f t="shared" si="20"/>
        <v>0.17481483125496411</v>
      </c>
      <c r="I101" s="47">
        <f t="shared" si="21"/>
        <v>3.9419030577099737E-2</v>
      </c>
      <c r="J101" s="47">
        <f t="shared" si="22"/>
        <v>8.3520122638754302E-2</v>
      </c>
      <c r="K101" s="47">
        <f t="shared" si="23"/>
        <v>1.059469347338846E-5</v>
      </c>
      <c r="L101" s="47">
        <f t="shared" si="24"/>
        <v>2.6478342473625863E-2</v>
      </c>
      <c r="M101" s="47">
        <f t="shared" si="25"/>
        <v>3.3588303432554982E-6</v>
      </c>
      <c r="N101" s="48">
        <f t="shared" si="26"/>
        <v>1</v>
      </c>
      <c r="O101" s="49">
        <f t="shared" si="27"/>
        <v>8.3530717332227694E-2</v>
      </c>
      <c r="P101" s="49">
        <f t="shared" si="28"/>
        <v>2.6481701303969117E-2</v>
      </c>
      <c r="Q101" s="50">
        <f t="shared" si="29"/>
        <v>0.93409926811893118</v>
      </c>
      <c r="R101" s="50">
        <f t="shared" si="30"/>
        <v>6.5900731881068847E-2</v>
      </c>
      <c r="S101" s="51">
        <f>IF(R101&lt;Interface!$B$21,R101,0)</f>
        <v>0</v>
      </c>
    </row>
    <row r="102" spans="1:19">
      <c r="A102" s="39"/>
      <c r="B102" s="39"/>
      <c r="C102" s="91"/>
      <c r="D102" s="91"/>
      <c r="E102" s="39"/>
      <c r="F102" s="46"/>
      <c r="G102" s="47"/>
      <c r="H102" s="47"/>
      <c r="I102" s="47"/>
      <c r="J102" s="47"/>
      <c r="K102" s="47"/>
      <c r="L102" s="47"/>
      <c r="M102" s="47"/>
      <c r="N102" s="48"/>
      <c r="O102" s="49"/>
      <c r="P102" s="49"/>
      <c r="Q102" s="52"/>
      <c r="R102" s="52"/>
      <c r="S102" s="39"/>
    </row>
    <row r="103" spans="1:19">
      <c r="A103" s="39"/>
      <c r="B103" s="39"/>
      <c r="C103" s="91"/>
      <c r="D103" s="91"/>
      <c r="E103" s="39"/>
      <c r="F103" s="46"/>
      <c r="G103" s="47"/>
      <c r="H103" s="47"/>
      <c r="I103" s="47"/>
      <c r="J103" s="47"/>
      <c r="K103" s="47"/>
      <c r="L103" s="47"/>
      <c r="M103" s="47"/>
      <c r="N103" s="48"/>
      <c r="O103" s="49"/>
      <c r="P103" s="49"/>
      <c r="Q103" s="52"/>
      <c r="R103" s="52"/>
      <c r="S103" s="39"/>
    </row>
    <row r="104" spans="1:19">
      <c r="A104" s="39"/>
      <c r="B104" s="39"/>
      <c r="C104" s="91"/>
      <c r="D104" s="91"/>
      <c r="E104" s="39"/>
      <c r="F104" s="46"/>
      <c r="G104" s="47"/>
      <c r="H104" s="47"/>
      <c r="I104" s="47"/>
      <c r="J104" s="47"/>
      <c r="K104" s="47"/>
      <c r="L104" s="47"/>
      <c r="M104" s="47"/>
      <c r="N104" s="48"/>
      <c r="O104" s="49"/>
      <c r="P104" s="49"/>
      <c r="Q104" s="52"/>
      <c r="R104" s="52"/>
      <c r="S104" s="39"/>
    </row>
    <row r="105" spans="1:19">
      <c r="A105" s="39"/>
      <c r="B105" s="39"/>
      <c r="C105" s="91"/>
      <c r="D105" s="91"/>
      <c r="E105" s="39"/>
      <c r="F105" s="46"/>
      <c r="G105" s="47"/>
      <c r="H105" s="47"/>
      <c r="I105" s="47"/>
      <c r="J105" s="47"/>
      <c r="K105" s="47"/>
      <c r="L105" s="47"/>
      <c r="M105" s="47"/>
      <c r="N105" s="48"/>
      <c r="O105" s="49"/>
      <c r="P105" s="49"/>
      <c r="Q105" s="52"/>
      <c r="R105" s="52"/>
      <c r="S105" s="39"/>
    </row>
    <row r="106" spans="1:19">
      <c r="A106" s="39"/>
      <c r="B106" s="39"/>
      <c r="C106" s="91"/>
      <c r="D106" s="91"/>
      <c r="E106" s="39"/>
      <c r="F106" s="46"/>
      <c r="G106" s="47"/>
      <c r="H106" s="47"/>
      <c r="I106" s="47"/>
      <c r="J106" s="47"/>
      <c r="K106" s="47"/>
      <c r="L106" s="47"/>
      <c r="M106" s="47"/>
      <c r="N106" s="48"/>
      <c r="O106" s="49"/>
      <c r="P106" s="49"/>
      <c r="Q106" s="52"/>
      <c r="R106" s="52"/>
      <c r="S106" s="39"/>
    </row>
    <row r="107" spans="1:19">
      <c r="A107" s="39"/>
      <c r="B107" s="39"/>
      <c r="C107" s="91"/>
      <c r="D107" s="91"/>
      <c r="E107" s="39"/>
      <c r="F107" s="46"/>
      <c r="G107" s="47"/>
      <c r="H107" s="47"/>
      <c r="I107" s="47"/>
      <c r="J107" s="47"/>
      <c r="K107" s="47"/>
      <c r="L107" s="47"/>
      <c r="M107" s="47"/>
      <c r="N107" s="48"/>
      <c r="O107" s="49"/>
      <c r="P107" s="49"/>
      <c r="Q107" s="52"/>
      <c r="R107" s="52"/>
      <c r="S107" s="39"/>
    </row>
    <row r="108" spans="1:19">
      <c r="A108" s="39"/>
      <c r="B108" s="39"/>
      <c r="C108" s="91"/>
      <c r="D108" s="91"/>
      <c r="E108" s="39"/>
      <c r="F108" s="46"/>
      <c r="G108" s="47"/>
      <c r="H108" s="47"/>
      <c r="I108" s="47"/>
      <c r="J108" s="47"/>
      <c r="K108" s="47"/>
      <c r="L108" s="47"/>
      <c r="M108" s="47"/>
      <c r="N108" s="48"/>
      <c r="O108" s="49"/>
      <c r="P108" s="49"/>
      <c r="Q108" s="52"/>
      <c r="R108" s="52"/>
      <c r="S108" s="39"/>
    </row>
    <row r="109" spans="1:19">
      <c r="A109" s="39"/>
      <c r="B109" s="39"/>
      <c r="C109" s="91"/>
      <c r="D109" s="91"/>
      <c r="E109" s="39"/>
      <c r="F109" s="46"/>
      <c r="G109" s="47"/>
      <c r="H109" s="47"/>
      <c r="I109" s="47"/>
      <c r="J109" s="47"/>
      <c r="K109" s="47"/>
      <c r="L109" s="47"/>
      <c r="M109" s="47"/>
      <c r="N109" s="48"/>
      <c r="O109" s="49"/>
      <c r="P109" s="49"/>
      <c r="Q109" s="52"/>
      <c r="R109" s="52"/>
      <c r="S109" s="39"/>
    </row>
    <row r="110" spans="1:19" ht="16" thickBot="1">
      <c r="A110" s="40" t="s">
        <v>21</v>
      </c>
      <c r="B110" s="39">
        <f>MIN(1,TT*h.late*h.tx*h.std*h.prep)</f>
        <v>2.7500000000000003E-3</v>
      </c>
      <c r="C110" s="91"/>
      <c r="D110" s="91"/>
      <c r="E110" s="39"/>
      <c r="F110" s="53"/>
      <c r="G110" s="54"/>
      <c r="H110" s="54"/>
      <c r="I110" s="54"/>
      <c r="J110" s="54"/>
      <c r="K110" s="54"/>
      <c r="L110" s="54"/>
      <c r="M110" s="54"/>
      <c r="N110" s="55"/>
      <c r="O110" s="44"/>
      <c r="P110" s="44"/>
      <c r="Q110" s="45"/>
      <c r="R110" s="45"/>
      <c r="S110" s="39"/>
    </row>
    <row r="111" spans="1:19">
      <c r="A111" s="39"/>
      <c r="B111" s="39"/>
      <c r="C111" s="91"/>
      <c r="D111" s="91"/>
      <c r="E111" s="39"/>
      <c r="F111" s="56"/>
      <c r="G111" s="57"/>
      <c r="H111" s="57"/>
      <c r="I111" s="57"/>
      <c r="J111" s="57"/>
      <c r="K111" s="57"/>
      <c r="L111" s="57"/>
      <c r="M111" s="57"/>
      <c r="N111" s="58"/>
      <c r="O111" s="49"/>
      <c r="P111" s="49"/>
      <c r="Q111" s="52"/>
      <c r="R111" s="50"/>
      <c r="S111" s="39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G34"/>
  <sheetViews>
    <sheetView topLeftCell="A8" workbookViewId="0">
      <selection activeCell="F2" sqref="F2"/>
    </sheetView>
  </sheetViews>
  <sheetFormatPr baseColWidth="10" defaultColWidth="9.1640625" defaultRowHeight="12" x14ac:dyDescent="0"/>
  <cols>
    <col min="1" max="1" width="9.1640625" style="21"/>
    <col min="2" max="2" width="19.1640625" style="21" customWidth="1"/>
    <col min="3" max="3" width="21.5" style="22" customWidth="1"/>
    <col min="4" max="4" width="17.6640625" style="21" customWidth="1"/>
    <col min="5" max="5" width="16.6640625" style="21" hidden="1" customWidth="1"/>
    <col min="6" max="6" width="9.1640625" style="21"/>
    <col min="7" max="7" width="30.5" style="59" bestFit="1" customWidth="1"/>
    <col min="8" max="16384" width="9.1640625" style="21"/>
  </cols>
  <sheetData>
    <row r="1" spans="1:7" s="23" customFormat="1" ht="16" thickBot="1">
      <c r="A1" s="79" t="s">
        <v>34</v>
      </c>
      <c r="B1" s="75" t="s">
        <v>35</v>
      </c>
      <c r="C1" s="77" t="s">
        <v>36</v>
      </c>
      <c r="D1" s="81" t="s">
        <v>41</v>
      </c>
      <c r="E1" s="28" t="s">
        <v>46</v>
      </c>
      <c r="F1" s="84" t="s">
        <v>42</v>
      </c>
      <c r="G1" s="86" t="s">
        <v>47</v>
      </c>
    </row>
    <row r="2" spans="1:7">
      <c r="A2" s="80">
        <v>18</v>
      </c>
      <c r="B2" s="76">
        <f>Pregnancy.Calc!V2</f>
        <v>0.36721088650102851</v>
      </c>
      <c r="C2" s="78">
        <f>Pregnancy.Calc!W2</f>
        <v>0.89</v>
      </c>
      <c r="D2" s="82">
        <f>LOG(1-Interface!$B$20)/LOG(1-B2)+0.5</f>
        <v>4.2472262440844952</v>
      </c>
      <c r="E2" s="26">
        <f ca="1">CELL("row",INDEX(Model!S:S,MATCH(MAX(Model!S:S),Model!S:S,0)))</f>
        <v>90</v>
      </c>
      <c r="F2" s="85">
        <f ca="1">INDIRECT("Model!F"&amp;Pregnancy!E2)</f>
        <v>89</v>
      </c>
      <c r="G2" s="87">
        <f ca="1">MIN(D2,F2)</f>
        <v>4.2472262440844952</v>
      </c>
    </row>
    <row r="3" spans="1:7">
      <c r="A3" s="71">
        <v>19</v>
      </c>
      <c r="B3" s="76">
        <f>Pregnancy.Calc!V3</f>
        <v>0.25875323486359136</v>
      </c>
      <c r="C3" s="78">
        <f>Pregnancy.Calc!W3</f>
        <v>0.89</v>
      </c>
      <c r="D3" s="83">
        <f>LOG(1-Interface!$B$20)/LOG(1-B3)+0.5</f>
        <v>6.2270347127144516</v>
      </c>
      <c r="E3" s="24">
        <f ca="1">CELL("row",INDEX(Model!S:S,MATCH(MAX(Model!S:S),Model!S:S,0)))</f>
        <v>90</v>
      </c>
      <c r="F3" s="85">
        <f ca="1">INDIRECT("Model!F"&amp;Pregnancy!E3)</f>
        <v>89</v>
      </c>
      <c r="G3" s="88">
        <f t="shared" ref="G3:G33" ca="1" si="0">MIN(D3,F3)</f>
        <v>6.2270347127144516</v>
      </c>
    </row>
    <row r="4" spans="1:7">
      <c r="A4" s="71">
        <v>20</v>
      </c>
      <c r="B4" s="76">
        <f>Pregnancy.Calc!V4</f>
        <v>0.21975544288831828</v>
      </c>
      <c r="C4" s="78">
        <f>Pregnancy.Calc!W4</f>
        <v>0.89</v>
      </c>
      <c r="D4" s="83">
        <f>LOG(1-Interface!$B$20)/LOG(1-B4)+0.5</f>
        <v>7.4103893684441244</v>
      </c>
      <c r="E4" s="24">
        <f ca="1">CELL("row",INDEX(Model!S:S,MATCH(MAX(Model!S:S),Model!S:S,0)))</f>
        <v>90</v>
      </c>
      <c r="F4" s="85">
        <f ca="1">INDIRECT("Model!F"&amp;Pregnancy!E4)</f>
        <v>89</v>
      </c>
      <c r="G4" s="88">
        <f t="shared" ca="1" si="0"/>
        <v>7.4103893684441244</v>
      </c>
    </row>
    <row r="5" spans="1:7">
      <c r="A5" s="71">
        <v>21</v>
      </c>
      <c r="B5" s="76">
        <f>Pregnancy.Calc!V5</f>
        <v>0.19477961630013763</v>
      </c>
      <c r="C5" s="78">
        <f>Pregnancy.Calc!W5</f>
        <v>0.89</v>
      </c>
      <c r="D5" s="83">
        <f>LOG(1-Interface!$B$20)/LOG(1-B5)+0.5</f>
        <v>8.4154551455517712</v>
      </c>
      <c r="E5" s="24">
        <f ca="1">CELL("row",INDEX(Model!S:S,MATCH(MAX(Model!S:S),Model!S:S,0)))</f>
        <v>90</v>
      </c>
      <c r="F5" s="85">
        <f ca="1">INDIRECT("Model!F"&amp;Pregnancy!E5)</f>
        <v>89</v>
      </c>
      <c r="G5" s="88">
        <f t="shared" ca="1" si="0"/>
        <v>8.4154551455517712</v>
      </c>
    </row>
    <row r="6" spans="1:7">
      <c r="A6" s="71">
        <v>22</v>
      </c>
      <c r="B6" s="76">
        <f>Pregnancy.Calc!V6</f>
        <v>0.17620179283092774</v>
      </c>
      <c r="C6" s="78">
        <f>Pregnancy.Calc!W6</f>
        <v>0.89</v>
      </c>
      <c r="D6" s="83">
        <f>LOG(1-Interface!$B$20)/LOG(1-B6)+0.5</f>
        <v>9.3469345230039949</v>
      </c>
      <c r="E6" s="24">
        <f ca="1">CELL("row",INDEX(Model!S:S,MATCH(MAX(Model!S:S),Model!S:S,0)))</f>
        <v>90</v>
      </c>
      <c r="F6" s="85">
        <f ca="1">INDIRECT("Model!F"&amp;Pregnancy!E6)</f>
        <v>89</v>
      </c>
      <c r="G6" s="88">
        <f t="shared" ca="1" si="0"/>
        <v>9.3469345230039949</v>
      </c>
    </row>
    <row r="7" spans="1:7">
      <c r="A7" s="71">
        <v>23</v>
      </c>
      <c r="B7" s="76">
        <f>Pregnancy.Calc!V7</f>
        <v>0.16133220665389847</v>
      </c>
      <c r="C7" s="78">
        <f>Pregnancy.Calc!W7</f>
        <v>0.89</v>
      </c>
      <c r="D7" s="83">
        <f>LOG(1-Interface!$B$20)/LOG(1-B7)+0.5</f>
        <v>10.246461962641259</v>
      </c>
      <c r="E7" s="24">
        <f ca="1">CELL("row",INDEX(Model!S:S,MATCH(MAX(Model!S:S),Model!S:S,0)))</f>
        <v>90</v>
      </c>
      <c r="F7" s="85">
        <f ca="1">INDIRECT("Model!F"&amp;Pregnancy!E7)</f>
        <v>89</v>
      </c>
      <c r="G7" s="88">
        <f t="shared" ca="1" si="0"/>
        <v>10.246461962641259</v>
      </c>
    </row>
    <row r="8" spans="1:7">
      <c r="A8" s="71">
        <v>24</v>
      </c>
      <c r="B8" s="76">
        <f>Pregnancy.Calc!V8</f>
        <v>0.14889630738288473</v>
      </c>
      <c r="C8" s="78">
        <f>Pregnancy.Calc!W8</f>
        <v>0.89</v>
      </c>
      <c r="D8" s="83">
        <f>LOG(1-Interface!$B$20)/LOG(1-B8)+0.5</f>
        <v>11.13630130220886</v>
      </c>
      <c r="E8" s="24">
        <f ca="1">CELL("row",INDEX(Model!S:S,MATCH(MAX(Model!S:S),Model!S:S,0)))</f>
        <v>90</v>
      </c>
      <c r="F8" s="85">
        <f ca="1">INDIRECT("Model!F"&amp;Pregnancy!E8)</f>
        <v>89</v>
      </c>
      <c r="G8" s="88">
        <f t="shared" ca="1" si="0"/>
        <v>11.13630130220886</v>
      </c>
    </row>
    <row r="9" spans="1:7">
      <c r="A9" s="71">
        <v>25</v>
      </c>
      <c r="B9" s="76">
        <f>Pregnancy.Calc!V9</f>
        <v>0.13818596628347746</v>
      </c>
      <c r="C9" s="78">
        <f>Pregnancy.Calc!W9</f>
        <v>0.89</v>
      </c>
      <c r="D9" s="83">
        <f>LOG(1-Interface!$B$20)/LOG(1-B9)+0.5</f>
        <v>12.030710099383771</v>
      </c>
      <c r="E9" s="24">
        <f ca="1">CELL("row",INDEX(Model!S:S,MATCH(MAX(Model!S:S),Model!S:S,0)))</f>
        <v>90</v>
      </c>
      <c r="F9" s="85">
        <f ca="1">INDIRECT("Model!F"&amp;Pregnancy!E9)</f>
        <v>89</v>
      </c>
      <c r="G9" s="88">
        <f t="shared" ca="1" si="0"/>
        <v>12.030710099383771</v>
      </c>
    </row>
    <row r="10" spans="1:7">
      <c r="A10" s="71">
        <v>26</v>
      </c>
      <c r="B10" s="76">
        <f>Pregnancy.Calc!V10</f>
        <v>0.12876569500599644</v>
      </c>
      <c r="C10" s="78">
        <f>Pregnancy.Calc!W10</f>
        <v>0.89</v>
      </c>
      <c r="D10" s="83">
        <f>LOG(1-Interface!$B$20)/LOG(1-B10)+0.5</f>
        <v>12.940108420711523</v>
      </c>
      <c r="E10" s="24">
        <f ca="1">CELL("row",INDEX(Model!S:S,MATCH(MAX(Model!S:S),Model!S:S,0)))</f>
        <v>90</v>
      </c>
      <c r="F10" s="85">
        <f ca="1">INDIRECT("Model!F"&amp;Pregnancy!E10)</f>
        <v>89</v>
      </c>
      <c r="G10" s="88">
        <f t="shared" ca="1" si="0"/>
        <v>12.940108420711523</v>
      </c>
    </row>
    <row r="11" spans="1:7">
      <c r="A11" s="71">
        <v>27</v>
      </c>
      <c r="B11" s="76">
        <f>Pregnancy.Calc!V11</f>
        <v>0.12034797310421919</v>
      </c>
      <c r="C11" s="78">
        <f>Pregnancy.Calc!W11</f>
        <v>0.89</v>
      </c>
      <c r="D11" s="83">
        <f>LOG(1-Interface!$B$20)/LOG(1-B11)+0.5</f>
        <v>13.872950870662425</v>
      </c>
      <c r="E11" s="24">
        <f ca="1">CELL("row",INDEX(Model!S:S,MATCH(MAX(Model!S:S),Model!S:S,0)))</f>
        <v>90</v>
      </c>
      <c r="F11" s="85">
        <f ca="1">INDIRECT("Model!F"&amp;Pregnancy!E11)</f>
        <v>89</v>
      </c>
      <c r="G11" s="88">
        <f t="shared" ca="1" si="0"/>
        <v>13.872950870662425</v>
      </c>
    </row>
    <row r="12" spans="1:7">
      <c r="A12" s="71">
        <v>28</v>
      </c>
      <c r="B12" s="76">
        <f>Pregnancy.Calc!V12</f>
        <v>0.11273272069900386</v>
      </c>
      <c r="C12" s="78">
        <f>Pregnancy.Calc!W12</f>
        <v>0.89</v>
      </c>
      <c r="D12" s="83">
        <f>LOG(1-Interface!$B$20)/LOG(1-B12)+0.5</f>
        <v>14.836699149185172</v>
      </c>
      <c r="E12" s="24">
        <f ca="1">CELL("row",INDEX(Model!S:S,MATCH(MAX(Model!S:S),Model!S:S,0)))</f>
        <v>90</v>
      </c>
      <c r="F12" s="85">
        <f ca="1">INDIRECT("Model!F"&amp;Pregnancy!E12)</f>
        <v>89</v>
      </c>
      <c r="G12" s="88">
        <f t="shared" ca="1" si="0"/>
        <v>14.836699149185172</v>
      </c>
    </row>
    <row r="13" spans="1:7">
      <c r="A13" s="71">
        <v>29</v>
      </c>
      <c r="B13" s="76">
        <f>Pregnancy.Calc!V13</f>
        <v>0.10577493486526501</v>
      </c>
      <c r="C13" s="78">
        <f>Pregnancy.Calc!W13</f>
        <v>0.89</v>
      </c>
      <c r="D13" s="83">
        <f>LOG(1-Interface!$B$20)/LOG(1-B13)+0.5</f>
        <v>15.83839361332342</v>
      </c>
      <c r="E13" s="24">
        <f ca="1">CELL("row",INDEX(Model!S:S,MATCH(MAX(Model!S:S),Model!S:S,0)))</f>
        <v>90</v>
      </c>
      <c r="F13" s="85">
        <f ca="1">INDIRECT("Model!F"&amp;Pregnancy!E13)</f>
        <v>89</v>
      </c>
      <c r="G13" s="88">
        <f t="shared" ca="1" si="0"/>
        <v>15.83839361332342</v>
      </c>
    </row>
    <row r="14" spans="1:7">
      <c r="A14" s="71">
        <v>30</v>
      </c>
      <c r="B14" s="76">
        <f>Pregnancy.Calc!V14</f>
        <v>9.9366073616430572E-2</v>
      </c>
      <c r="C14" s="78">
        <f>Pregnancy.Calc!W14</f>
        <v>0.85499999999999998</v>
      </c>
      <c r="D14" s="83">
        <f>LOG(1-Interface!$B$20)/LOG(1-B14)+0.5</f>
        <v>16.885031516676335</v>
      </c>
      <c r="E14" s="24">
        <f ca="1">CELL("row",INDEX(Model!S:S,MATCH(MAX(Model!S:S),Model!S:S,0)))</f>
        <v>90</v>
      </c>
      <c r="F14" s="85">
        <f ca="1">INDIRECT("Model!F"&amp;Pregnancy!E14)</f>
        <v>89</v>
      </c>
      <c r="G14" s="88">
        <f t="shared" ca="1" si="0"/>
        <v>16.885031516676335</v>
      </c>
    </row>
    <row r="15" spans="1:7">
      <c r="A15" s="71">
        <v>31</v>
      </c>
      <c r="B15" s="76">
        <f>Pregnancy.Calc!V15</f>
        <v>9.3422715217796881E-2</v>
      </c>
      <c r="C15" s="78">
        <f>Pregnancy.Calc!W15</f>
        <v>0.82</v>
      </c>
      <c r="D15" s="83">
        <f>LOG(1-Interface!$B$20)/LOG(1-B15)+0.5</f>
        <v>17.983849701457416</v>
      </c>
      <c r="E15" s="24">
        <f ca="1">CELL("row",INDEX(Model!S:S,MATCH(MAX(Model!S:S),Model!S:S,0)))</f>
        <v>90</v>
      </c>
      <c r="F15" s="85">
        <f ca="1">INDIRECT("Model!F"&amp;Pregnancy!E15)</f>
        <v>89</v>
      </c>
      <c r="G15" s="88">
        <f t="shared" ca="1" si="0"/>
        <v>17.983849701457416</v>
      </c>
    </row>
    <row r="16" spans="1:7">
      <c r="A16" s="71">
        <v>32</v>
      </c>
      <c r="B16" s="76">
        <f>Pregnancy.Calc!V16</f>
        <v>8.7879321683924316E-2</v>
      </c>
      <c r="C16" s="78">
        <f>Pregnancy.Calc!W16</f>
        <v>0.78500000000000003</v>
      </c>
      <c r="D16" s="83">
        <f>LOG(1-Interface!$B$20)/LOG(1-B16)+0.5</f>
        <v>19.142563247011601</v>
      </c>
      <c r="E16" s="24">
        <f ca="1">CELL("row",INDEX(Model!S:S,MATCH(MAX(Model!S:S),Model!S:S,0)))</f>
        <v>90</v>
      </c>
      <c r="F16" s="85">
        <f ca="1">INDIRECT("Model!F"&amp;Pregnancy!E16)</f>
        <v>89</v>
      </c>
      <c r="G16" s="88">
        <f t="shared" ca="1" si="0"/>
        <v>19.142563247011601</v>
      </c>
    </row>
    <row r="17" spans="1:7">
      <c r="A17" s="71">
        <v>33</v>
      </c>
      <c r="B17" s="76">
        <f>Pregnancy.Calc!V17</f>
        <v>8.2683440913106643E-2</v>
      </c>
      <c r="C17" s="78">
        <f>Pregnancy.Calc!W17</f>
        <v>0.75</v>
      </c>
      <c r="D17" s="83">
        <f>LOG(1-Interface!$B$20)/LOG(1-B17)+0.5</f>
        <v>20.369590746415863</v>
      </c>
      <c r="E17" s="24">
        <f ca="1">CELL("row",INDEX(Model!S:S,MATCH(MAX(Model!S:S),Model!S:S,0)))</f>
        <v>90</v>
      </c>
      <c r="F17" s="85">
        <f ca="1">INDIRECT("Model!F"&amp;Pregnancy!E17)</f>
        <v>89</v>
      </c>
      <c r="G17" s="88">
        <f t="shared" ca="1" si="0"/>
        <v>20.369590746415863</v>
      </c>
    </row>
    <row r="18" spans="1:7">
      <c r="A18" s="71">
        <v>34</v>
      </c>
      <c r="B18" s="76">
        <f>Pregnancy.Calc!V18</f>
        <v>7.7792421609958473E-2</v>
      </c>
      <c r="C18" s="78">
        <f>Pregnancy.Calc!W18</f>
        <v>0.71499999999999997</v>
      </c>
      <c r="D18" s="83">
        <f>LOG(1-Interface!$B$20)/LOG(1-B18)+0.5</f>
        <v>21.674287417339261</v>
      </c>
      <c r="E18" s="24">
        <f ca="1">CELL("row",INDEX(Model!S:S,MATCH(MAX(Model!S:S),Model!S:S,0)))</f>
        <v>90</v>
      </c>
      <c r="F18" s="85">
        <f ca="1">INDIRECT("Model!F"&amp;Pregnancy!E18)</f>
        <v>89</v>
      </c>
      <c r="G18" s="88">
        <f t="shared" ca="1" si="0"/>
        <v>21.674287417339261</v>
      </c>
    </row>
    <row r="19" spans="1:7">
      <c r="A19" s="71">
        <v>35</v>
      </c>
      <c r="B19" s="76">
        <f>Pregnancy.Calc!V19</f>
        <v>7.317110141008154E-2</v>
      </c>
      <c r="C19" s="78">
        <f>Pregnancy.Calc!W19</f>
        <v>0.68</v>
      </c>
      <c r="D19" s="83">
        <f>LOG(1-Interface!$B$20)/LOG(1-B19)+0.5</f>
        <v>23.067203504730372</v>
      </c>
      <c r="E19" s="24">
        <f ca="1">CELL("row",INDEX(Model!S:S,MATCH(MAX(Model!S:S),Model!S:S,0)))</f>
        <v>90</v>
      </c>
      <c r="F19" s="85">
        <f ca="1">INDIRECT("Model!F"&amp;Pregnancy!E19)</f>
        <v>89</v>
      </c>
      <c r="G19" s="88">
        <f t="shared" ca="1" si="0"/>
        <v>23.067203504730372</v>
      </c>
    </row>
    <row r="20" spans="1:7">
      <c r="A20" s="71">
        <v>36</v>
      </c>
      <c r="B20" s="76">
        <f>Pregnancy.Calc!V20</f>
        <v>6.8790140879513406E-2</v>
      </c>
      <c r="C20" s="78">
        <f>Pregnancy.Calc!W20</f>
        <v>0.64500000000000002</v>
      </c>
      <c r="D20" s="83">
        <f>LOG(1-Interface!$B$20)/LOG(1-B20)+0.5</f>
        <v>24.560385050700873</v>
      </c>
      <c r="E20" s="24">
        <f ca="1">CELL("row",INDEX(Model!S:S,MATCH(MAX(Model!S:S),Model!S:S,0)))</f>
        <v>90</v>
      </c>
      <c r="F20" s="85">
        <f ca="1">INDIRECT("Model!F"&amp;Pregnancy!E20)</f>
        <v>89</v>
      </c>
      <c r="G20" s="88">
        <f t="shared" ca="1" si="0"/>
        <v>24.560385050700873</v>
      </c>
    </row>
    <row r="21" spans="1:7">
      <c r="A21" s="71">
        <v>37</v>
      </c>
      <c r="B21" s="76">
        <f>Pregnancy.Calc!V21</f>
        <v>6.4624797871226325E-2</v>
      </c>
      <c r="C21" s="78">
        <f>Pregnancy.Calc!W21</f>
        <v>0.61</v>
      </c>
      <c r="D21" s="83">
        <f>LOG(1-Interface!$B$20)/LOG(1-B21)+0.5</f>
        <v>26.167736200139441</v>
      </c>
      <c r="E21" s="24">
        <f ca="1">CELL("row",INDEX(Model!S:S,MATCH(MAX(Model!S:S),Model!S:S,0)))</f>
        <v>90</v>
      </c>
      <c r="F21" s="85">
        <f ca="1">INDIRECT("Model!F"&amp;Pregnancy!E21)</f>
        <v>89</v>
      </c>
      <c r="G21" s="88">
        <f t="shared" ca="1" si="0"/>
        <v>26.167736200139441</v>
      </c>
    </row>
    <row r="22" spans="1:7">
      <c r="A22" s="71">
        <v>38</v>
      </c>
      <c r="B22" s="76">
        <f>Pregnancy.Calc!V22</f>
        <v>6.0654009284893284E-2</v>
      </c>
      <c r="C22" s="78">
        <f>Pregnancy.Calc!W22</f>
        <v>0.57499999999999996</v>
      </c>
      <c r="D22" s="83">
        <f>LOG(1-Interface!$B$20)/LOG(1-B22)+0.5</f>
        <v>27.905466657560467</v>
      </c>
      <c r="E22" s="24">
        <f ca="1">CELL("row",INDEX(Model!S:S,MATCH(MAX(Model!S:S),Model!S:S,0)))</f>
        <v>90</v>
      </c>
      <c r="F22" s="85">
        <f ca="1">INDIRECT("Model!F"&amp;Pregnancy!E22)</f>
        <v>89</v>
      </c>
      <c r="G22" s="88">
        <f t="shared" ca="1" si="0"/>
        <v>27.905466657560467</v>
      </c>
    </row>
    <row r="23" spans="1:7">
      <c r="A23" s="71">
        <v>39</v>
      </c>
      <c r="B23" s="76">
        <f>Pregnancy.Calc!V23</f>
        <v>5.6859691933490719E-2</v>
      </c>
      <c r="C23" s="78">
        <f>Pregnancy.Calc!W23</f>
        <v>0.54</v>
      </c>
      <c r="D23" s="83">
        <f>LOG(1-Interface!$B$20)/LOG(1-B23)+0.5</f>
        <v>29.792655130081812</v>
      </c>
      <c r="E23" s="24">
        <f ca="1">CELL("row",INDEX(Model!S:S,MATCH(MAX(Model!S:S),Model!S:S,0)))</f>
        <v>90</v>
      </c>
      <c r="F23" s="85">
        <f ca="1">INDIRECT("Model!F"&amp;Pregnancy!E23)</f>
        <v>89</v>
      </c>
      <c r="G23" s="88">
        <f t="shared" ca="1" si="0"/>
        <v>29.792655130081812</v>
      </c>
    </row>
    <row r="24" spans="1:7">
      <c r="A24" s="71">
        <v>40</v>
      </c>
      <c r="B24" s="76">
        <f>Pregnancy.Calc!V24</f>
        <v>5.3226202501206576E-2</v>
      </c>
      <c r="C24" s="78">
        <f>Pregnancy.Calc!W24</f>
        <v>0.505</v>
      </c>
      <c r="D24" s="83">
        <f>LOG(1-Interface!$B$20)/LOG(1-B24)+0.5</f>
        <v>31.851970543109754</v>
      </c>
      <c r="E24" s="24">
        <f ca="1">CELL("row",INDEX(Model!S:S,MATCH(MAX(Model!S:S),Model!S:S,0)))</f>
        <v>90</v>
      </c>
      <c r="F24" s="85">
        <f ca="1">INDIRECT("Model!F"&amp;Pregnancy!E24)</f>
        <v>89</v>
      </c>
      <c r="G24" s="88">
        <f t="shared" ca="1" si="0"/>
        <v>31.851970543109754</v>
      </c>
    </row>
    <row r="25" spans="1:7">
      <c r="A25" s="71">
        <v>41</v>
      </c>
      <c r="B25" s="76">
        <f>Pregnancy.Calc!V25</f>
        <v>4.973991494729546E-2</v>
      </c>
      <c r="C25" s="78">
        <f>Pregnancy.Calc!W25</f>
        <v>0.47</v>
      </c>
      <c r="D25" s="83">
        <f>LOG(1-Interface!$B$20)/LOG(1-B25)+0.5</f>
        <v>34.110609173793613</v>
      </c>
      <c r="E25" s="24">
        <f ca="1">CELL("row",INDEX(Model!S:S,MATCH(MAX(Model!S:S),Model!S:S,0)))</f>
        <v>90</v>
      </c>
      <c r="F25" s="85">
        <f ca="1">INDIRECT("Model!F"&amp;Pregnancy!E25)</f>
        <v>89</v>
      </c>
      <c r="G25" s="88">
        <f t="shared" ca="1" si="0"/>
        <v>34.110609173793613</v>
      </c>
    </row>
    <row r="26" spans="1:7">
      <c r="A26" s="71">
        <v>42</v>
      </c>
      <c r="B26" s="76">
        <f>Pregnancy.Calc!V26</f>
        <v>4.6388885916569977E-2</v>
      </c>
      <c r="C26" s="78">
        <f>Pregnancy.Calc!W26</f>
        <v>0.435</v>
      </c>
      <c r="D26" s="83">
        <f>LOG(1-Interface!$B$20)/LOG(1-B26)+0.5</f>
        <v>36.601530379536086</v>
      </c>
      <c r="E26" s="24">
        <f ca="1">CELL("row",INDEX(Model!S:S,MATCH(MAX(Model!S:S),Model!S:S,0)))</f>
        <v>90</v>
      </c>
      <c r="F26" s="85">
        <f ca="1">INDIRECT("Model!F"&amp;Pregnancy!E26)</f>
        <v>89</v>
      </c>
      <c r="G26" s="88">
        <f t="shared" ca="1" si="0"/>
        <v>36.601530379536086</v>
      </c>
    </row>
    <row r="27" spans="1:7">
      <c r="A27" s="71">
        <v>43</v>
      </c>
      <c r="B27" s="76">
        <f>Pregnancy.Calc!V27</f>
        <v>4.3162586994372587E-2</v>
      </c>
      <c r="C27" s="78">
        <f>Pregnancy.Calc!W27</f>
        <v>0.4</v>
      </c>
      <c r="D27" s="83">
        <f>LOG(1-Interface!$B$20)/LOG(1-B27)+0.5</f>
        <v>39.365110863788807</v>
      </c>
      <c r="E27" s="24">
        <f ca="1">CELL("row",INDEX(Model!S:S,MATCH(MAX(Model!S:S),Model!S:S,0)))</f>
        <v>90</v>
      </c>
      <c r="F27" s="85">
        <f ca="1">INDIRECT("Model!F"&amp;Pregnancy!E27)</f>
        <v>89</v>
      </c>
      <c r="G27" s="88">
        <f t="shared" ca="1" si="0"/>
        <v>39.365110863788807</v>
      </c>
    </row>
    <row r="28" spans="1:7">
      <c r="A28" s="71">
        <v>44</v>
      </c>
      <c r="B28" s="76">
        <f>Pregnancy.Calc!V28</f>
        <v>4.0051688361063098E-2</v>
      </c>
      <c r="C28" s="78">
        <f>Pregnancy.Calc!W28</f>
        <v>0.36499999999999999</v>
      </c>
      <c r="D28" s="83">
        <f>LOG(1-Interface!$B$20)/LOG(1-B28)+0.5</f>
        <v>42.451395040875951</v>
      </c>
      <c r="E28" s="24">
        <f ca="1">CELL("row",INDEX(Model!S:S,MATCH(MAX(Model!S:S),Model!S:S,0)))</f>
        <v>90</v>
      </c>
      <c r="F28" s="85">
        <f ca="1">INDIRECT("Model!F"&amp;Pregnancy!E28)</f>
        <v>89</v>
      </c>
      <c r="G28" s="88">
        <f t="shared" ca="1" si="0"/>
        <v>42.451395040875951</v>
      </c>
    </row>
    <row r="29" spans="1:7">
      <c r="A29" s="71">
        <v>45</v>
      </c>
      <c r="B29" s="76">
        <f>Pregnancy.Calc!V29</f>
        <v>3.7047882416614497E-2</v>
      </c>
      <c r="C29" s="78">
        <f>Pregnancy.Calc!W29</f>
        <v>0.33306249999999998</v>
      </c>
      <c r="D29" s="83">
        <f>LOG(1-Interface!$B$20)/LOG(1-B29)+0.5</f>
        <v>45.923210064643861</v>
      </c>
      <c r="E29" s="24">
        <f ca="1">CELL("row",INDEX(Model!S:S,MATCH(MAX(Model!S:S),Model!S:S,0)))</f>
        <v>90</v>
      </c>
      <c r="F29" s="85">
        <f ca="1">INDIRECT("Model!F"&amp;Pregnancy!E29)</f>
        <v>89</v>
      </c>
      <c r="G29" s="88">
        <f t="shared" ca="1" si="0"/>
        <v>45.923210064643861</v>
      </c>
    </row>
    <row r="30" spans="1:7">
      <c r="A30" s="71">
        <v>46</v>
      </c>
      <c r="B30" s="76">
        <f>Pregnancy.Calc!V30</f>
        <v>3.414373880966981E-2</v>
      </c>
      <c r="C30" s="78">
        <f>Pregnancy.Calc!W30</f>
        <v>0.30391953124999999</v>
      </c>
      <c r="D30" s="83">
        <f>LOG(1-Interface!$B$20)/LOG(1-B30)+0.5</f>
        <v>49.860561350943222</v>
      </c>
      <c r="E30" s="24">
        <f ca="1">CELL("row",INDEX(Model!S:S,MATCH(MAX(Model!S:S),Model!S:S,0)))</f>
        <v>90</v>
      </c>
      <c r="F30" s="85">
        <f ca="1">INDIRECT("Model!F"&amp;Pregnancy!E30)</f>
        <v>89</v>
      </c>
      <c r="G30" s="88">
        <f t="shared" ca="1" si="0"/>
        <v>49.860561350943222</v>
      </c>
    </row>
    <row r="31" spans="1:7">
      <c r="A31" s="71">
        <v>47</v>
      </c>
      <c r="B31" s="76">
        <f>Pregnancy.Calc!V31</f>
        <v>3.1332584376508543E-2</v>
      </c>
      <c r="C31" s="78">
        <f>Pregnancy.Calc!W31</f>
        <v>0.27732657226562496</v>
      </c>
      <c r="D31" s="83">
        <f>LOG(1-Interface!$B$20)/LOG(1-B31)+0.5</f>
        <v>54.366969381248509</v>
      </c>
      <c r="E31" s="24">
        <f ca="1">CELL("row",INDEX(Model!S:S,MATCH(MAX(Model!S:S),Model!S:S,0)))</f>
        <v>90</v>
      </c>
      <c r="F31" s="85">
        <f ca="1">INDIRECT("Model!F"&amp;Pregnancy!E31)</f>
        <v>89</v>
      </c>
      <c r="G31" s="88">
        <f t="shared" ca="1" si="0"/>
        <v>54.366969381248509</v>
      </c>
    </row>
    <row r="32" spans="1:7">
      <c r="A32" s="71">
        <v>48</v>
      </c>
      <c r="B32" s="76">
        <f>Pregnancy.Calc!V32</f>
        <v>2.8608403012600703E-2</v>
      </c>
      <c r="C32" s="78">
        <f>Pregnancy.Calc!W32</f>
        <v>0.25306049719238277</v>
      </c>
      <c r="D32" s="83">
        <f>LOG(1-Interface!$B$20)/LOG(1-B32)+0.5</f>
        <v>59.578828906559551</v>
      </c>
      <c r="E32" s="24">
        <f ca="1">CELL("row",INDEX(Model!S:S,MATCH(MAX(Model!S:S),Model!S:S,0)))</f>
        <v>90</v>
      </c>
      <c r="F32" s="85">
        <f ca="1">INDIRECT("Model!F"&amp;Pregnancy!E32)</f>
        <v>89</v>
      </c>
      <c r="G32" s="88">
        <f t="shared" ca="1" si="0"/>
        <v>59.578828906559551</v>
      </c>
    </row>
    <row r="33" spans="1:7">
      <c r="A33" s="71">
        <v>49</v>
      </c>
      <c r="B33" s="76">
        <f>Pregnancy.Calc!V33</f>
        <v>2.5965751624177358E-2</v>
      </c>
      <c r="C33" s="78">
        <f>Pregnancy.Calc!W33</f>
        <v>0.23091770368804929</v>
      </c>
      <c r="D33" s="83">
        <f>LOG(1-Interface!$B$20)/LOG(1-B33)+0.5</f>
        <v>65.679618898056503</v>
      </c>
      <c r="E33" s="24">
        <f ca="1">CELL("row",INDEX(Model!S:S,MATCH(MAX(Model!S:S),Model!S:S,0)))</f>
        <v>90</v>
      </c>
      <c r="F33" s="85">
        <f ca="1">INDIRECT("Model!F"&amp;Pregnancy!E33)</f>
        <v>89</v>
      </c>
      <c r="G33" s="88">
        <f t="shared" ca="1" si="0"/>
        <v>65.679618898056503</v>
      </c>
    </row>
    <row r="34" spans="1:7">
      <c r="A34" s="35"/>
      <c r="B34" s="35"/>
      <c r="C34" s="36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"/>
  <sheetViews>
    <sheetView topLeftCell="U1" zoomScale="150" zoomScaleNormal="150" zoomScalePageLayoutView="150" workbookViewId="0">
      <selection activeCell="V1" sqref="V1:W1048576"/>
    </sheetView>
  </sheetViews>
  <sheetFormatPr baseColWidth="10" defaultRowHeight="12" x14ac:dyDescent="0"/>
  <cols>
    <col min="2" max="2" width="21.83203125" customWidth="1"/>
    <col min="3" max="3" width="21.6640625" customWidth="1"/>
    <col min="5" max="5" width="67.83203125" customWidth="1"/>
    <col min="7" max="8" width="21.5" customWidth="1"/>
    <col min="9" max="9" width="21.6640625" customWidth="1"/>
    <col min="10" max="10" width="19.1640625" customWidth="1"/>
    <col min="12" max="12" width="28" customWidth="1"/>
    <col min="19" max="20" width="21.5" customWidth="1"/>
    <col min="21" max="21" width="21.6640625" customWidth="1"/>
    <col min="22" max="22" width="19.1640625" style="98" customWidth="1"/>
    <col min="23" max="23" width="10.83203125" customWidth="1"/>
    <col min="24" max="24" width="9.33203125" style="98" customWidth="1"/>
  </cols>
  <sheetData>
    <row r="1" spans="1:24" ht="15">
      <c r="A1" s="95" t="s">
        <v>48</v>
      </c>
      <c r="B1" s="95"/>
      <c r="C1" s="95"/>
      <c r="E1" s="60" t="s">
        <v>49</v>
      </c>
      <c r="F1" s="61" t="s">
        <v>34</v>
      </c>
      <c r="G1" s="62" t="s">
        <v>50</v>
      </c>
      <c r="H1" s="62" t="s">
        <v>51</v>
      </c>
      <c r="I1" s="62" t="s">
        <v>52</v>
      </c>
      <c r="J1" s="62" t="s">
        <v>53</v>
      </c>
      <c r="K1" s="62" t="s">
        <v>54</v>
      </c>
      <c r="L1" s="62" t="s">
        <v>55</v>
      </c>
      <c r="N1" s="63" t="s">
        <v>56</v>
      </c>
      <c r="O1" s="63" t="s">
        <v>57</v>
      </c>
      <c r="P1" s="64"/>
      <c r="Q1" s="64"/>
      <c r="R1" s="65" t="s">
        <v>34</v>
      </c>
      <c r="S1" s="66" t="s">
        <v>50</v>
      </c>
      <c r="T1" s="66" t="s">
        <v>51</v>
      </c>
      <c r="U1" s="66" t="s">
        <v>52</v>
      </c>
      <c r="V1" s="96" t="s">
        <v>53</v>
      </c>
      <c r="W1" s="66" t="s">
        <v>54</v>
      </c>
      <c r="X1" s="96" t="s">
        <v>55</v>
      </c>
    </row>
    <row r="2" spans="1:24" ht="62" thickBot="1">
      <c r="A2" s="28" t="s">
        <v>34</v>
      </c>
      <c r="B2" s="28" t="s">
        <v>35</v>
      </c>
      <c r="C2" s="29" t="s">
        <v>36</v>
      </c>
      <c r="E2" s="67" t="s">
        <v>58</v>
      </c>
      <c r="F2" s="68">
        <v>18</v>
      </c>
      <c r="G2" s="69">
        <v>0.88</v>
      </c>
      <c r="H2" s="69">
        <f>1-G2</f>
        <v>0.12</v>
      </c>
      <c r="I2" s="69">
        <f>H2^(1/12)</f>
        <v>0.83804068629273387</v>
      </c>
      <c r="J2" s="69">
        <f>1-I2</f>
        <v>0.16195931370726613</v>
      </c>
      <c r="K2" s="70">
        <v>0.89</v>
      </c>
      <c r="L2" s="69">
        <f>K2*J2</f>
        <v>0.14414378919946685</v>
      </c>
      <c r="N2" s="64">
        <v>21.5</v>
      </c>
      <c r="O2" s="64">
        <v>0.88</v>
      </c>
      <c r="P2" s="64"/>
      <c r="Q2" s="64"/>
      <c r="R2" s="71">
        <v>18</v>
      </c>
      <c r="S2" s="72">
        <f>1.416934-0.023392*R2</f>
        <v>0.99587799999999993</v>
      </c>
      <c r="T2" s="72">
        <f>1-S2</f>
        <v>4.1220000000000701E-3</v>
      </c>
      <c r="U2" s="72">
        <f>T2^(1/12)</f>
        <v>0.63278911349897149</v>
      </c>
      <c r="V2" s="97">
        <f>1-U2</f>
        <v>0.36721088650102851</v>
      </c>
      <c r="W2" s="73">
        <v>0.89</v>
      </c>
      <c r="X2" s="97">
        <f>W2*V2</f>
        <v>0.3268176889859154</v>
      </c>
    </row>
    <row r="3" spans="1:24">
      <c r="A3" s="26">
        <v>18</v>
      </c>
      <c r="B3" s="26">
        <v>0.75</v>
      </c>
      <c r="C3" s="27">
        <v>0.89</v>
      </c>
      <c r="E3" s="74" t="s">
        <v>59</v>
      </c>
      <c r="F3" s="68">
        <v>19</v>
      </c>
      <c r="G3" s="69">
        <v>0.88</v>
      </c>
      <c r="H3" s="69">
        <f t="shared" ref="H3:H33" si="0">1-G3</f>
        <v>0.12</v>
      </c>
      <c r="I3" s="69">
        <f t="shared" ref="I3:I33" si="1">H3^(1/12)</f>
        <v>0.83804068629273387</v>
      </c>
      <c r="J3" s="69">
        <f t="shared" ref="J3:J33" si="2">1-I3</f>
        <v>0.16195931370726613</v>
      </c>
      <c r="K3" s="70">
        <v>0.89</v>
      </c>
      <c r="L3" s="69">
        <f t="shared" ref="L3:L33" si="3">K3*J3</f>
        <v>0.14414378919946685</v>
      </c>
      <c r="N3" s="64">
        <v>28</v>
      </c>
      <c r="O3" s="64">
        <v>0.8</v>
      </c>
      <c r="P3" s="64"/>
      <c r="Q3" s="64"/>
      <c r="R3" s="71">
        <v>19</v>
      </c>
      <c r="S3" s="72">
        <f t="shared" ref="S3:S33" si="4">1.416934-0.023392*R3</f>
        <v>0.97248599999999996</v>
      </c>
      <c r="T3" s="72">
        <f t="shared" ref="T3:T33" si="5">1-S3</f>
        <v>2.7514000000000038E-2</v>
      </c>
      <c r="U3" s="72">
        <f t="shared" ref="U3:U33" si="6">T3^(1/12)</f>
        <v>0.74124676513640864</v>
      </c>
      <c r="V3" s="97">
        <f t="shared" ref="V3:V33" si="7">1-U3</f>
        <v>0.25875323486359136</v>
      </c>
      <c r="W3" s="73">
        <v>0.89</v>
      </c>
      <c r="X3" s="97">
        <f t="shared" ref="X3:X33" si="8">W3*V3</f>
        <v>0.23029037902859631</v>
      </c>
    </row>
    <row r="4" spans="1:24">
      <c r="A4" s="24">
        <v>19</v>
      </c>
      <c r="B4" s="24">
        <v>0.75</v>
      </c>
      <c r="C4" s="25">
        <v>0.89</v>
      </c>
      <c r="E4" s="74" t="s">
        <v>60</v>
      </c>
      <c r="F4" s="68">
        <v>20</v>
      </c>
      <c r="G4" s="69">
        <v>0.88</v>
      </c>
      <c r="H4" s="69">
        <f t="shared" si="0"/>
        <v>0.12</v>
      </c>
      <c r="I4" s="69">
        <f t="shared" si="1"/>
        <v>0.83804068629273387</v>
      </c>
      <c r="J4" s="69">
        <f t="shared" si="2"/>
        <v>0.16195931370726613</v>
      </c>
      <c r="K4" s="70">
        <v>0.89</v>
      </c>
      <c r="L4" s="69">
        <f t="shared" si="3"/>
        <v>0.14414378919946685</v>
      </c>
      <c r="N4" s="64">
        <v>33</v>
      </c>
      <c r="O4" s="64">
        <v>0.65</v>
      </c>
      <c r="P4" s="64"/>
      <c r="Q4" s="64"/>
      <c r="R4" s="71">
        <v>20</v>
      </c>
      <c r="S4" s="72">
        <f t="shared" si="4"/>
        <v>0.94909399999999988</v>
      </c>
      <c r="T4" s="72">
        <f t="shared" si="5"/>
        <v>5.0906000000000118E-2</v>
      </c>
      <c r="U4" s="72">
        <f t="shared" si="6"/>
        <v>0.78024455711168172</v>
      </c>
      <c r="V4" s="97">
        <f t="shared" si="7"/>
        <v>0.21975544288831828</v>
      </c>
      <c r="W4" s="73">
        <v>0.89</v>
      </c>
      <c r="X4" s="97">
        <f t="shared" si="8"/>
        <v>0.19558234417060327</v>
      </c>
    </row>
    <row r="5" spans="1:24">
      <c r="A5" s="24">
        <v>20</v>
      </c>
      <c r="B5" s="24">
        <v>0.75</v>
      </c>
      <c r="C5" s="25">
        <v>0.89</v>
      </c>
      <c r="E5" s="74" t="s">
        <v>61</v>
      </c>
      <c r="F5" s="68">
        <v>21</v>
      </c>
      <c r="G5" s="69">
        <v>0.88</v>
      </c>
      <c r="H5" s="69">
        <f t="shared" si="0"/>
        <v>0.12</v>
      </c>
      <c r="I5" s="69">
        <f t="shared" si="1"/>
        <v>0.83804068629273387</v>
      </c>
      <c r="J5" s="69">
        <f t="shared" si="2"/>
        <v>0.16195931370726613</v>
      </c>
      <c r="K5" s="70">
        <v>0.89</v>
      </c>
      <c r="L5" s="69">
        <f t="shared" si="3"/>
        <v>0.14414378919946685</v>
      </c>
      <c r="N5" s="64">
        <v>38</v>
      </c>
      <c r="O5" s="64">
        <v>0.55000000000000004</v>
      </c>
      <c r="P5" s="64"/>
      <c r="Q5" s="64"/>
      <c r="R5" s="71">
        <v>21</v>
      </c>
      <c r="S5" s="72">
        <f t="shared" si="4"/>
        <v>0.92570199999999991</v>
      </c>
      <c r="T5" s="72">
        <f t="shared" si="5"/>
        <v>7.4298000000000086E-2</v>
      </c>
      <c r="U5" s="72">
        <f t="shared" si="6"/>
        <v>0.80522038369986237</v>
      </c>
      <c r="V5" s="97">
        <f t="shared" si="7"/>
        <v>0.19477961630013763</v>
      </c>
      <c r="W5" s="73">
        <v>0.89</v>
      </c>
      <c r="X5" s="97">
        <f t="shared" si="8"/>
        <v>0.17335385850712248</v>
      </c>
    </row>
    <row r="6" spans="1:24">
      <c r="A6" s="24">
        <v>21</v>
      </c>
      <c r="B6" s="24">
        <v>0.75</v>
      </c>
      <c r="C6" s="25">
        <v>0.89</v>
      </c>
      <c r="F6" s="68">
        <v>22</v>
      </c>
      <c r="G6" s="69">
        <v>0.88</v>
      </c>
      <c r="H6" s="69">
        <f t="shared" si="0"/>
        <v>0.12</v>
      </c>
      <c r="I6" s="69">
        <f t="shared" si="1"/>
        <v>0.83804068629273387</v>
      </c>
      <c r="J6" s="69">
        <f t="shared" si="2"/>
        <v>0.16195931370726613</v>
      </c>
      <c r="K6" s="70">
        <v>0.89</v>
      </c>
      <c r="L6" s="69">
        <f t="shared" si="3"/>
        <v>0.14414378919946685</v>
      </c>
      <c r="N6" s="64">
        <v>43</v>
      </c>
      <c r="O6" s="64">
        <v>0.38</v>
      </c>
      <c r="P6" s="64"/>
      <c r="Q6" s="64"/>
      <c r="R6" s="71">
        <v>22</v>
      </c>
      <c r="S6" s="72">
        <f t="shared" si="4"/>
        <v>0.90230999999999995</v>
      </c>
      <c r="T6" s="72">
        <f t="shared" si="5"/>
        <v>9.7690000000000055E-2</v>
      </c>
      <c r="U6" s="72">
        <f t="shared" si="6"/>
        <v>0.82379820716907226</v>
      </c>
      <c r="V6" s="97">
        <f t="shared" si="7"/>
        <v>0.17620179283092774</v>
      </c>
      <c r="W6" s="73">
        <v>0.89</v>
      </c>
      <c r="X6" s="97">
        <f t="shared" si="8"/>
        <v>0.15681959561952569</v>
      </c>
    </row>
    <row r="7" spans="1:24">
      <c r="A7" s="24">
        <v>22</v>
      </c>
      <c r="B7" s="24">
        <v>0.75</v>
      </c>
      <c r="C7" s="25">
        <v>0.89</v>
      </c>
      <c r="F7" s="68">
        <v>23</v>
      </c>
      <c r="G7" s="69">
        <v>0.88</v>
      </c>
      <c r="H7" s="69">
        <f t="shared" si="0"/>
        <v>0.12</v>
      </c>
      <c r="I7" s="69">
        <f t="shared" si="1"/>
        <v>0.83804068629273387</v>
      </c>
      <c r="J7" s="69">
        <f t="shared" si="2"/>
        <v>0.16195931370726613</v>
      </c>
      <c r="K7" s="70">
        <v>0.89</v>
      </c>
      <c r="L7" s="69">
        <f t="shared" si="3"/>
        <v>0.14414378919946685</v>
      </c>
      <c r="N7" s="64" t="s">
        <v>62</v>
      </c>
      <c r="O7" s="64"/>
      <c r="P7" s="64"/>
      <c r="Q7" s="64"/>
      <c r="R7" s="71">
        <v>23</v>
      </c>
      <c r="S7" s="72">
        <f t="shared" si="4"/>
        <v>0.87891799999999998</v>
      </c>
      <c r="T7" s="72">
        <f t="shared" si="5"/>
        <v>0.12108200000000002</v>
      </c>
      <c r="U7" s="72">
        <f t="shared" si="6"/>
        <v>0.83866779334610153</v>
      </c>
      <c r="V7" s="97">
        <f t="shared" si="7"/>
        <v>0.16133220665389847</v>
      </c>
      <c r="W7" s="73">
        <v>0.89</v>
      </c>
      <c r="X7" s="97">
        <f t="shared" si="8"/>
        <v>0.14358566392196964</v>
      </c>
    </row>
    <row r="8" spans="1:24">
      <c r="A8" s="24">
        <v>23</v>
      </c>
      <c r="B8" s="24">
        <v>0.75</v>
      </c>
      <c r="C8" s="25">
        <v>0.89</v>
      </c>
      <c r="F8" s="68">
        <v>24</v>
      </c>
      <c r="G8" s="69">
        <v>0.88</v>
      </c>
      <c r="H8" s="69">
        <f t="shared" si="0"/>
        <v>0.12</v>
      </c>
      <c r="I8" s="69">
        <f t="shared" si="1"/>
        <v>0.83804068629273387</v>
      </c>
      <c r="J8" s="69">
        <f t="shared" si="2"/>
        <v>0.16195931370726613</v>
      </c>
      <c r="K8" s="70">
        <v>0.89</v>
      </c>
      <c r="L8" s="69">
        <f t="shared" si="3"/>
        <v>0.14414378919946685</v>
      </c>
      <c r="N8" s="64" t="s">
        <v>63</v>
      </c>
      <c r="O8" s="64"/>
      <c r="P8" s="64"/>
      <c r="Q8" s="64"/>
      <c r="R8" s="71">
        <v>24</v>
      </c>
      <c r="S8" s="72">
        <f t="shared" si="4"/>
        <v>0.8555259999999999</v>
      </c>
      <c r="T8" s="72">
        <f t="shared" si="5"/>
        <v>0.1444740000000001</v>
      </c>
      <c r="U8" s="72">
        <f t="shared" si="6"/>
        <v>0.85110369261711527</v>
      </c>
      <c r="V8" s="97">
        <f t="shared" si="7"/>
        <v>0.14889630738288473</v>
      </c>
      <c r="W8" s="73">
        <v>0.89</v>
      </c>
      <c r="X8" s="97">
        <f t="shared" si="8"/>
        <v>0.13251771357076741</v>
      </c>
    </row>
    <row r="9" spans="1:24">
      <c r="A9" s="24">
        <v>24</v>
      </c>
      <c r="B9" s="24">
        <v>0.75</v>
      </c>
      <c r="C9" s="25">
        <v>0.89</v>
      </c>
      <c r="F9" s="68">
        <v>25</v>
      </c>
      <c r="G9" s="69">
        <v>0.88</v>
      </c>
      <c r="H9" s="69">
        <f t="shared" si="0"/>
        <v>0.12</v>
      </c>
      <c r="I9" s="69">
        <f t="shared" si="1"/>
        <v>0.83804068629273387</v>
      </c>
      <c r="J9" s="69">
        <f t="shared" si="2"/>
        <v>0.16195931370726613</v>
      </c>
      <c r="K9" s="70">
        <v>0.89</v>
      </c>
      <c r="L9" s="69">
        <f t="shared" si="3"/>
        <v>0.14414378919946685</v>
      </c>
      <c r="N9" s="64" t="s">
        <v>64</v>
      </c>
      <c r="O9" s="64"/>
      <c r="P9" s="64"/>
      <c r="Q9" s="64"/>
      <c r="R9" s="71">
        <v>25</v>
      </c>
      <c r="S9" s="72">
        <f t="shared" si="4"/>
        <v>0.83213399999999993</v>
      </c>
      <c r="T9" s="72">
        <f t="shared" si="5"/>
        <v>0.16786600000000007</v>
      </c>
      <c r="U9" s="72">
        <f t="shared" si="6"/>
        <v>0.86181403371652254</v>
      </c>
      <c r="V9" s="97">
        <f t="shared" si="7"/>
        <v>0.13818596628347746</v>
      </c>
      <c r="W9" s="73">
        <v>0.89</v>
      </c>
      <c r="X9" s="97">
        <f t="shared" si="8"/>
        <v>0.12298550999229493</v>
      </c>
    </row>
    <row r="10" spans="1:24">
      <c r="A10" s="24">
        <v>25</v>
      </c>
      <c r="B10" s="24">
        <v>0.72</v>
      </c>
      <c r="C10" s="25">
        <v>0.89</v>
      </c>
      <c r="F10" s="68">
        <v>26</v>
      </c>
      <c r="G10" s="69">
        <v>0.8</v>
      </c>
      <c r="H10" s="69">
        <f t="shared" si="0"/>
        <v>0.19999999999999996</v>
      </c>
      <c r="I10" s="69">
        <f t="shared" si="1"/>
        <v>0.87448527222116779</v>
      </c>
      <c r="J10" s="69">
        <f t="shared" si="2"/>
        <v>0.12551472777883221</v>
      </c>
      <c r="K10" s="70">
        <v>0.89</v>
      </c>
      <c r="L10" s="69">
        <f t="shared" si="3"/>
        <v>0.11170810772316067</v>
      </c>
      <c r="N10" s="64" t="s">
        <v>65</v>
      </c>
      <c r="O10" s="64"/>
      <c r="P10" s="64"/>
      <c r="Q10" s="64"/>
      <c r="R10" s="71">
        <v>26</v>
      </c>
      <c r="S10" s="72">
        <f t="shared" si="4"/>
        <v>0.80874199999999996</v>
      </c>
      <c r="T10" s="72">
        <f t="shared" si="5"/>
        <v>0.19125800000000004</v>
      </c>
      <c r="U10" s="72">
        <f t="shared" si="6"/>
        <v>0.87123430499400356</v>
      </c>
      <c r="V10" s="97">
        <f t="shared" si="7"/>
        <v>0.12876569500599644</v>
      </c>
      <c r="W10" s="73">
        <v>0.89</v>
      </c>
      <c r="X10" s="97">
        <f t="shared" si="8"/>
        <v>0.11460146855533683</v>
      </c>
    </row>
    <row r="11" spans="1:24">
      <c r="A11" s="24">
        <v>26</v>
      </c>
      <c r="B11" s="24">
        <v>0.72</v>
      </c>
      <c r="C11" s="25">
        <v>0.89</v>
      </c>
      <c r="F11" s="68">
        <v>27</v>
      </c>
      <c r="G11" s="69">
        <v>0.8</v>
      </c>
      <c r="H11" s="69">
        <f t="shared" si="0"/>
        <v>0.19999999999999996</v>
      </c>
      <c r="I11" s="69">
        <f t="shared" si="1"/>
        <v>0.87448527222116779</v>
      </c>
      <c r="J11" s="69">
        <f t="shared" si="2"/>
        <v>0.12551472777883221</v>
      </c>
      <c r="K11" s="70">
        <v>0.89</v>
      </c>
      <c r="L11" s="69">
        <f t="shared" si="3"/>
        <v>0.11170810772316067</v>
      </c>
      <c r="N11" s="64"/>
      <c r="O11" s="64"/>
      <c r="P11" s="64"/>
      <c r="Q11" s="64"/>
      <c r="R11" s="71">
        <v>27</v>
      </c>
      <c r="S11" s="72">
        <f t="shared" si="4"/>
        <v>0.78534999999999988</v>
      </c>
      <c r="T11" s="72">
        <f t="shared" si="5"/>
        <v>0.21465000000000012</v>
      </c>
      <c r="U11" s="72">
        <f t="shared" si="6"/>
        <v>0.87965202689578081</v>
      </c>
      <c r="V11" s="97">
        <f t="shared" si="7"/>
        <v>0.12034797310421919</v>
      </c>
      <c r="W11" s="73">
        <v>0.89</v>
      </c>
      <c r="X11" s="97">
        <f t="shared" si="8"/>
        <v>0.10710969606275508</v>
      </c>
    </row>
    <row r="12" spans="1:24">
      <c r="A12" s="24">
        <v>27</v>
      </c>
      <c r="B12" s="24">
        <v>0.72</v>
      </c>
      <c r="C12" s="25">
        <v>0.89</v>
      </c>
      <c r="F12" s="68">
        <v>28</v>
      </c>
      <c r="G12" s="69">
        <v>0.8</v>
      </c>
      <c r="H12" s="69">
        <f t="shared" si="0"/>
        <v>0.19999999999999996</v>
      </c>
      <c r="I12" s="69">
        <f t="shared" si="1"/>
        <v>0.87448527222116779</v>
      </c>
      <c r="J12" s="69">
        <f t="shared" si="2"/>
        <v>0.12551472777883221</v>
      </c>
      <c r="K12" s="70">
        <v>0.89</v>
      </c>
      <c r="L12" s="69">
        <f t="shared" si="3"/>
        <v>0.11170810772316067</v>
      </c>
      <c r="N12" s="64" t="s">
        <v>66</v>
      </c>
      <c r="O12" s="64"/>
      <c r="P12" s="64"/>
      <c r="Q12" s="64"/>
      <c r="R12" s="71">
        <v>28</v>
      </c>
      <c r="S12" s="72">
        <f t="shared" si="4"/>
        <v>0.76195799999999991</v>
      </c>
      <c r="T12" s="72">
        <f t="shared" si="5"/>
        <v>0.23804200000000009</v>
      </c>
      <c r="U12" s="72">
        <f t="shared" si="6"/>
        <v>0.88726727930099614</v>
      </c>
      <c r="V12" s="97">
        <f t="shared" si="7"/>
        <v>0.11273272069900386</v>
      </c>
      <c r="W12" s="73">
        <v>0.89</v>
      </c>
      <c r="X12" s="97">
        <f t="shared" si="8"/>
        <v>0.10033212142211344</v>
      </c>
    </row>
    <row r="13" spans="1:24">
      <c r="A13" s="24">
        <v>28</v>
      </c>
      <c r="B13" s="24">
        <v>0.72</v>
      </c>
      <c r="C13" s="25">
        <v>0.89</v>
      </c>
      <c r="F13" s="68">
        <v>29</v>
      </c>
      <c r="G13" s="69">
        <v>0.8</v>
      </c>
      <c r="H13" s="69">
        <f t="shared" si="0"/>
        <v>0.19999999999999996</v>
      </c>
      <c r="I13" s="69">
        <f t="shared" si="1"/>
        <v>0.87448527222116779</v>
      </c>
      <c r="J13" s="69">
        <f t="shared" si="2"/>
        <v>0.12551472777883221</v>
      </c>
      <c r="K13" s="70">
        <v>0.89</v>
      </c>
      <c r="L13" s="69">
        <f t="shared" si="3"/>
        <v>0.11170810772316067</v>
      </c>
      <c r="N13" s="64" t="s">
        <v>67</v>
      </c>
      <c r="O13" s="64"/>
      <c r="P13" s="64"/>
      <c r="Q13" s="64"/>
      <c r="R13" s="71">
        <v>29</v>
      </c>
      <c r="S13" s="72">
        <f t="shared" si="4"/>
        <v>0.73856599999999994</v>
      </c>
      <c r="T13" s="72">
        <f t="shared" si="5"/>
        <v>0.26143400000000006</v>
      </c>
      <c r="U13" s="72">
        <f t="shared" si="6"/>
        <v>0.89422506513473499</v>
      </c>
      <c r="V13" s="97">
        <f t="shared" si="7"/>
        <v>0.10577493486526501</v>
      </c>
      <c r="W13" s="73">
        <v>0.89</v>
      </c>
      <c r="X13" s="97">
        <f t="shared" si="8"/>
        <v>9.4139692030085861E-2</v>
      </c>
    </row>
    <row r="14" spans="1:24">
      <c r="A14" s="24">
        <v>29</v>
      </c>
      <c r="B14" s="24">
        <v>0.72</v>
      </c>
      <c r="C14" s="25">
        <v>0.89</v>
      </c>
      <c r="F14" s="68">
        <v>30</v>
      </c>
      <c r="G14" s="69">
        <v>0.8</v>
      </c>
      <c r="H14" s="69">
        <f t="shared" si="0"/>
        <v>0.19999999999999996</v>
      </c>
      <c r="I14" s="69">
        <f t="shared" si="1"/>
        <v>0.87448527222116779</v>
      </c>
      <c r="J14" s="69">
        <f t="shared" si="2"/>
        <v>0.12551472777883221</v>
      </c>
      <c r="K14" s="70">
        <v>0.85499999999999998</v>
      </c>
      <c r="L14" s="69">
        <f t="shared" si="3"/>
        <v>0.10731509225090154</v>
      </c>
      <c r="N14" s="64"/>
      <c r="O14" s="64"/>
      <c r="P14" s="64"/>
      <c r="Q14" s="64"/>
      <c r="R14" s="71">
        <v>30</v>
      </c>
      <c r="S14" s="72">
        <f t="shared" si="4"/>
        <v>0.71517399999999998</v>
      </c>
      <c r="T14" s="72">
        <f t="shared" si="5"/>
        <v>0.28482600000000002</v>
      </c>
      <c r="U14" s="72">
        <f t="shared" si="6"/>
        <v>0.90063392638356943</v>
      </c>
      <c r="V14" s="97">
        <f t="shared" si="7"/>
        <v>9.9366073616430572E-2</v>
      </c>
      <c r="W14" s="73">
        <v>0.85499999999999998</v>
      </c>
      <c r="X14" s="97">
        <f t="shared" si="8"/>
        <v>8.4957992942048144E-2</v>
      </c>
    </row>
    <row r="15" spans="1:24">
      <c r="A15" s="24">
        <v>30</v>
      </c>
      <c r="B15" s="24">
        <v>0.72</v>
      </c>
      <c r="C15" s="25">
        <v>0.85499999999999998</v>
      </c>
      <c r="F15" s="68">
        <v>31</v>
      </c>
      <c r="G15" s="69">
        <v>0.65</v>
      </c>
      <c r="H15" s="69">
        <f t="shared" si="0"/>
        <v>0.35</v>
      </c>
      <c r="I15" s="69">
        <f t="shared" si="1"/>
        <v>0.91623245282579358</v>
      </c>
      <c r="J15" s="69">
        <f t="shared" si="2"/>
        <v>8.3767547174206425E-2</v>
      </c>
      <c r="K15" s="70">
        <v>0.82</v>
      </c>
      <c r="L15" s="69">
        <f t="shared" si="3"/>
        <v>6.8689388682849267E-2</v>
      </c>
      <c r="N15" s="64" t="s">
        <v>68</v>
      </c>
      <c r="O15" s="64"/>
      <c r="P15" s="64"/>
      <c r="Q15" s="64"/>
      <c r="R15" s="71">
        <v>31</v>
      </c>
      <c r="S15" s="72">
        <f t="shared" si="4"/>
        <v>0.6917819999999999</v>
      </c>
      <c r="T15" s="72">
        <f t="shared" si="5"/>
        <v>0.3082180000000001</v>
      </c>
      <c r="U15" s="72">
        <f t="shared" si="6"/>
        <v>0.90657728478220312</v>
      </c>
      <c r="V15" s="97">
        <f t="shared" si="7"/>
        <v>9.3422715217796881E-2</v>
      </c>
      <c r="W15" s="73">
        <v>0.82</v>
      </c>
      <c r="X15" s="97">
        <f t="shared" si="8"/>
        <v>7.660662647859344E-2</v>
      </c>
    </row>
    <row r="16" spans="1:24">
      <c r="A16" s="24">
        <v>31</v>
      </c>
      <c r="B16" s="24">
        <v>0.72</v>
      </c>
      <c r="C16" s="25">
        <v>0.82</v>
      </c>
      <c r="F16" s="68">
        <v>32</v>
      </c>
      <c r="G16" s="69">
        <v>0.65</v>
      </c>
      <c r="H16" s="69">
        <f t="shared" si="0"/>
        <v>0.35</v>
      </c>
      <c r="I16" s="69">
        <f t="shared" si="1"/>
        <v>0.91623245282579358</v>
      </c>
      <c r="J16" s="69">
        <f t="shared" si="2"/>
        <v>8.3767547174206425E-2</v>
      </c>
      <c r="K16" s="70">
        <v>0.78500000000000003</v>
      </c>
      <c r="L16" s="69">
        <f t="shared" si="3"/>
        <v>6.5757524531752043E-2</v>
      </c>
      <c r="N16" s="64" t="s">
        <v>69</v>
      </c>
      <c r="O16" s="64"/>
      <c r="P16" s="64"/>
      <c r="Q16" s="64"/>
      <c r="R16" s="71">
        <v>32</v>
      </c>
      <c r="S16" s="72">
        <f t="shared" si="4"/>
        <v>0.66838999999999993</v>
      </c>
      <c r="T16" s="72">
        <f t="shared" si="5"/>
        <v>0.33161000000000007</v>
      </c>
      <c r="U16" s="72">
        <f t="shared" si="6"/>
        <v>0.91212067831607568</v>
      </c>
      <c r="V16" s="97">
        <f t="shared" si="7"/>
        <v>8.7879321683924316E-2</v>
      </c>
      <c r="W16" s="73">
        <v>0.78500000000000003</v>
      </c>
      <c r="X16" s="97">
        <f t="shared" si="8"/>
        <v>6.8985267521880597E-2</v>
      </c>
    </row>
    <row r="17" spans="1:24">
      <c r="A17" s="24">
        <v>32</v>
      </c>
      <c r="B17" s="24">
        <v>0.72</v>
      </c>
      <c r="C17" s="25">
        <v>0.78500000000000003</v>
      </c>
      <c r="F17" s="68">
        <v>33</v>
      </c>
      <c r="G17" s="69">
        <v>0.65</v>
      </c>
      <c r="H17" s="69">
        <f t="shared" si="0"/>
        <v>0.35</v>
      </c>
      <c r="I17" s="69">
        <f t="shared" si="1"/>
        <v>0.91623245282579358</v>
      </c>
      <c r="J17" s="69">
        <f t="shared" si="2"/>
        <v>8.3767547174206425E-2</v>
      </c>
      <c r="K17" s="70">
        <v>0.75</v>
      </c>
      <c r="L17" s="69">
        <f t="shared" si="3"/>
        <v>6.2825660380654819E-2</v>
      </c>
      <c r="N17" s="64" t="s">
        <v>70</v>
      </c>
      <c r="O17" s="64"/>
      <c r="P17" s="64"/>
      <c r="Q17" s="64"/>
      <c r="R17" s="71">
        <v>33</v>
      </c>
      <c r="S17" s="72">
        <f t="shared" si="4"/>
        <v>0.64499799999999996</v>
      </c>
      <c r="T17" s="72">
        <f t="shared" si="5"/>
        <v>0.35500200000000004</v>
      </c>
      <c r="U17" s="72">
        <f t="shared" si="6"/>
        <v>0.91731655908689336</v>
      </c>
      <c r="V17" s="97">
        <f t="shared" si="7"/>
        <v>8.2683440913106643E-2</v>
      </c>
      <c r="W17" s="73">
        <v>0.75</v>
      </c>
      <c r="X17" s="97">
        <f t="shared" si="8"/>
        <v>6.2012580684829982E-2</v>
      </c>
    </row>
    <row r="18" spans="1:24">
      <c r="A18" s="24">
        <v>33</v>
      </c>
      <c r="B18" s="24">
        <v>0.72</v>
      </c>
      <c r="C18" s="25">
        <v>0.75</v>
      </c>
      <c r="F18" s="68">
        <v>34</v>
      </c>
      <c r="G18" s="69">
        <v>0.65</v>
      </c>
      <c r="H18" s="69">
        <f t="shared" si="0"/>
        <v>0.35</v>
      </c>
      <c r="I18" s="69">
        <f t="shared" si="1"/>
        <v>0.91623245282579358</v>
      </c>
      <c r="J18" s="69">
        <f t="shared" si="2"/>
        <v>8.3767547174206425E-2</v>
      </c>
      <c r="K18" s="70">
        <v>0.71499999999999997</v>
      </c>
      <c r="L18" s="69">
        <f t="shared" si="3"/>
        <v>5.9893796229557594E-2</v>
      </c>
      <c r="N18" s="64"/>
      <c r="O18" s="64"/>
      <c r="P18" s="64"/>
      <c r="Q18" s="64"/>
      <c r="R18" s="71">
        <v>34</v>
      </c>
      <c r="S18" s="72">
        <f t="shared" si="4"/>
        <v>0.62160599999999988</v>
      </c>
      <c r="T18" s="72">
        <f t="shared" si="5"/>
        <v>0.37839400000000012</v>
      </c>
      <c r="U18" s="72">
        <f t="shared" si="6"/>
        <v>0.92220757839004153</v>
      </c>
      <c r="V18" s="97">
        <f t="shared" si="7"/>
        <v>7.7792421609958473E-2</v>
      </c>
      <c r="W18" s="73">
        <v>0.71499999999999997</v>
      </c>
      <c r="X18" s="97">
        <f t="shared" si="8"/>
        <v>5.5621581451120304E-2</v>
      </c>
    </row>
    <row r="19" spans="1:24">
      <c r="A19" s="24">
        <v>34</v>
      </c>
      <c r="B19" s="24">
        <v>0.72</v>
      </c>
      <c r="C19" s="25">
        <v>0.71499999999999997</v>
      </c>
      <c r="F19" s="68">
        <v>35</v>
      </c>
      <c r="G19" s="69">
        <v>0.65</v>
      </c>
      <c r="H19" s="69">
        <f t="shared" si="0"/>
        <v>0.35</v>
      </c>
      <c r="I19" s="69">
        <f t="shared" si="1"/>
        <v>0.91623245282579358</v>
      </c>
      <c r="J19" s="69">
        <f t="shared" si="2"/>
        <v>8.3767547174206425E-2</v>
      </c>
      <c r="K19" s="70">
        <v>0.68</v>
      </c>
      <c r="L19" s="69">
        <f t="shared" si="3"/>
        <v>5.696193207846037E-2</v>
      </c>
      <c r="N19" s="64" t="s">
        <v>71</v>
      </c>
      <c r="O19" s="64"/>
      <c r="P19" s="64"/>
      <c r="Q19" s="64"/>
      <c r="R19" s="71">
        <v>35</v>
      </c>
      <c r="S19" s="72">
        <f t="shared" si="4"/>
        <v>0.59821399999999991</v>
      </c>
      <c r="T19" s="72">
        <f t="shared" si="5"/>
        <v>0.40178600000000009</v>
      </c>
      <c r="U19" s="72">
        <f t="shared" si="6"/>
        <v>0.92682889858991846</v>
      </c>
      <c r="V19" s="97">
        <f t="shared" si="7"/>
        <v>7.317110141008154E-2</v>
      </c>
      <c r="W19" s="73">
        <v>0.68</v>
      </c>
      <c r="X19" s="97">
        <f t="shared" si="8"/>
        <v>4.9756348958855452E-2</v>
      </c>
    </row>
    <row r="20" spans="1:24">
      <c r="A20" s="24">
        <v>35</v>
      </c>
      <c r="B20" s="24">
        <v>0.49</v>
      </c>
      <c r="C20" s="25">
        <v>0.68</v>
      </c>
      <c r="F20" s="68">
        <v>36</v>
      </c>
      <c r="G20" s="69">
        <v>0.55000000000000004</v>
      </c>
      <c r="H20" s="69">
        <f t="shared" si="0"/>
        <v>0.44999999999999996</v>
      </c>
      <c r="I20" s="69">
        <f t="shared" si="1"/>
        <v>0.93562333065009839</v>
      </c>
      <c r="J20" s="69">
        <f t="shared" si="2"/>
        <v>6.4376669349901605E-2</v>
      </c>
      <c r="K20" s="70">
        <v>0.64500000000000002</v>
      </c>
      <c r="L20" s="69">
        <f t="shared" si="3"/>
        <v>4.1522951730686534E-2</v>
      </c>
      <c r="N20" s="64" t="s">
        <v>72</v>
      </c>
      <c r="O20" s="64"/>
      <c r="P20" s="64"/>
      <c r="Q20" s="64"/>
      <c r="R20" s="71">
        <v>36</v>
      </c>
      <c r="S20" s="72">
        <f t="shared" si="4"/>
        <v>0.57482199999999994</v>
      </c>
      <c r="T20" s="72">
        <f t="shared" si="5"/>
        <v>0.42517800000000006</v>
      </c>
      <c r="U20" s="72">
        <f t="shared" si="6"/>
        <v>0.93120985912048659</v>
      </c>
      <c r="V20" s="97">
        <f t="shared" si="7"/>
        <v>6.8790140879513406E-2</v>
      </c>
      <c r="W20" s="73">
        <v>0.64500000000000002</v>
      </c>
      <c r="X20" s="97">
        <f t="shared" si="8"/>
        <v>4.4369640867286148E-2</v>
      </c>
    </row>
    <row r="21" spans="1:24">
      <c r="A21" s="24">
        <v>36</v>
      </c>
      <c r="B21" s="24">
        <v>0.49</v>
      </c>
      <c r="C21" s="25">
        <v>0.64500000000000002</v>
      </c>
      <c r="F21" s="68">
        <v>37</v>
      </c>
      <c r="G21" s="69">
        <v>0.55000000000000004</v>
      </c>
      <c r="H21" s="69">
        <f t="shared" si="0"/>
        <v>0.44999999999999996</v>
      </c>
      <c r="I21" s="69">
        <f t="shared" si="1"/>
        <v>0.93562333065009839</v>
      </c>
      <c r="J21" s="69">
        <f t="shared" si="2"/>
        <v>6.4376669349901605E-2</v>
      </c>
      <c r="K21" s="70">
        <v>0.61</v>
      </c>
      <c r="L21" s="69">
        <f t="shared" si="3"/>
        <v>3.9269768303439978E-2</v>
      </c>
      <c r="N21" s="64" t="s">
        <v>73</v>
      </c>
      <c r="O21" s="64"/>
      <c r="P21" s="64"/>
      <c r="Q21" s="64"/>
      <c r="R21" s="71">
        <v>37</v>
      </c>
      <c r="S21" s="72">
        <f t="shared" si="4"/>
        <v>0.55142999999999998</v>
      </c>
      <c r="T21" s="72">
        <f t="shared" si="5"/>
        <v>0.44857000000000002</v>
      </c>
      <c r="U21" s="72">
        <f t="shared" si="6"/>
        <v>0.93537520212877368</v>
      </c>
      <c r="V21" s="97">
        <f t="shared" si="7"/>
        <v>6.4624797871226325E-2</v>
      </c>
      <c r="W21" s="73">
        <v>0.61</v>
      </c>
      <c r="X21" s="97">
        <f t="shared" si="8"/>
        <v>3.942112670144806E-2</v>
      </c>
    </row>
    <row r="22" spans="1:24">
      <c r="A22" s="24">
        <v>37</v>
      </c>
      <c r="B22" s="24">
        <v>0.49</v>
      </c>
      <c r="C22" s="25">
        <v>0.61</v>
      </c>
      <c r="F22" s="68">
        <v>38</v>
      </c>
      <c r="G22" s="69">
        <v>0.55000000000000004</v>
      </c>
      <c r="H22" s="69">
        <f t="shared" si="0"/>
        <v>0.44999999999999996</v>
      </c>
      <c r="I22" s="69">
        <f t="shared" si="1"/>
        <v>0.93562333065009839</v>
      </c>
      <c r="J22" s="69">
        <f t="shared" si="2"/>
        <v>6.4376669349901605E-2</v>
      </c>
      <c r="K22" s="70">
        <v>0.57499999999999996</v>
      </c>
      <c r="L22" s="69">
        <f t="shared" si="3"/>
        <v>3.7016584876193422E-2</v>
      </c>
      <c r="N22" s="64" t="s">
        <v>74</v>
      </c>
      <c r="O22" s="64"/>
      <c r="P22" s="64"/>
      <c r="Q22" s="64"/>
      <c r="R22" s="71">
        <v>38</v>
      </c>
      <c r="S22" s="72">
        <f t="shared" si="4"/>
        <v>0.5280379999999999</v>
      </c>
      <c r="T22" s="72">
        <f t="shared" si="5"/>
        <v>0.4719620000000001</v>
      </c>
      <c r="U22" s="72">
        <f t="shared" si="6"/>
        <v>0.93934599071510672</v>
      </c>
      <c r="V22" s="97">
        <f t="shared" si="7"/>
        <v>6.0654009284893284E-2</v>
      </c>
      <c r="W22" s="73">
        <v>0.57499999999999996</v>
      </c>
      <c r="X22" s="97">
        <f t="shared" si="8"/>
        <v>3.4876055338813633E-2</v>
      </c>
    </row>
    <row r="23" spans="1:24">
      <c r="A23" s="24">
        <v>38</v>
      </c>
      <c r="B23" s="24">
        <v>0.49</v>
      </c>
      <c r="C23" s="25">
        <v>0.57499999999999996</v>
      </c>
      <c r="F23" s="68">
        <v>39</v>
      </c>
      <c r="G23" s="69">
        <v>0.55000000000000004</v>
      </c>
      <c r="H23" s="69">
        <f t="shared" si="0"/>
        <v>0.44999999999999996</v>
      </c>
      <c r="I23" s="69">
        <f t="shared" si="1"/>
        <v>0.93562333065009839</v>
      </c>
      <c r="J23" s="69">
        <f t="shared" si="2"/>
        <v>6.4376669349901605E-2</v>
      </c>
      <c r="K23" s="70">
        <v>0.54</v>
      </c>
      <c r="L23" s="69">
        <f t="shared" si="3"/>
        <v>3.4763401448946872E-2</v>
      </c>
      <c r="N23" s="64" t="s">
        <v>75</v>
      </c>
      <c r="O23" s="64"/>
      <c r="P23" s="64"/>
      <c r="Q23" s="64"/>
      <c r="R23" s="71">
        <v>39</v>
      </c>
      <c r="S23" s="72">
        <f t="shared" si="4"/>
        <v>0.50464599999999993</v>
      </c>
      <c r="T23" s="72">
        <f t="shared" si="5"/>
        <v>0.49535400000000007</v>
      </c>
      <c r="U23" s="72">
        <f t="shared" si="6"/>
        <v>0.94314030806650928</v>
      </c>
      <c r="V23" s="97">
        <f t="shared" si="7"/>
        <v>5.6859691933490719E-2</v>
      </c>
      <c r="W23" s="73">
        <v>0.54</v>
      </c>
      <c r="X23" s="97">
        <f t="shared" si="8"/>
        <v>3.0704233644084991E-2</v>
      </c>
    </row>
    <row r="24" spans="1:24">
      <c r="A24" s="24">
        <v>39</v>
      </c>
      <c r="B24" s="24">
        <v>0.49</v>
      </c>
      <c r="C24" s="25">
        <v>0.54</v>
      </c>
      <c r="F24" s="68">
        <v>40</v>
      </c>
      <c r="G24" s="69">
        <v>0.55000000000000004</v>
      </c>
      <c r="H24" s="69">
        <f t="shared" si="0"/>
        <v>0.44999999999999996</v>
      </c>
      <c r="I24" s="69">
        <f t="shared" si="1"/>
        <v>0.93562333065009839</v>
      </c>
      <c r="J24" s="69">
        <f t="shared" si="2"/>
        <v>6.4376669349901605E-2</v>
      </c>
      <c r="K24" s="70">
        <v>0.505</v>
      </c>
      <c r="L24" s="69">
        <f t="shared" si="3"/>
        <v>3.2510218021700309E-2</v>
      </c>
      <c r="N24" s="64" t="s">
        <v>76</v>
      </c>
      <c r="O24" s="64"/>
      <c r="P24" s="64"/>
      <c r="Q24" s="64"/>
      <c r="R24" s="71">
        <v>40</v>
      </c>
      <c r="S24" s="72">
        <f t="shared" si="4"/>
        <v>0.48125399999999996</v>
      </c>
      <c r="T24" s="72">
        <f t="shared" si="5"/>
        <v>0.51874600000000004</v>
      </c>
      <c r="U24" s="72">
        <f t="shared" si="6"/>
        <v>0.94677379749879342</v>
      </c>
      <c r="V24" s="97">
        <f t="shared" si="7"/>
        <v>5.3226202501206576E-2</v>
      </c>
      <c r="W24" s="73">
        <v>0.505</v>
      </c>
      <c r="X24" s="97">
        <f t="shared" si="8"/>
        <v>2.6879232263109322E-2</v>
      </c>
    </row>
    <row r="25" spans="1:24">
      <c r="A25" s="24">
        <v>40</v>
      </c>
      <c r="B25" s="24">
        <v>0.49</v>
      </c>
      <c r="C25" s="25">
        <v>0.505</v>
      </c>
      <c r="F25" s="68">
        <v>41</v>
      </c>
      <c r="G25" s="69">
        <v>0.38</v>
      </c>
      <c r="H25" s="69">
        <f t="shared" si="0"/>
        <v>0.62</v>
      </c>
      <c r="I25" s="69">
        <f t="shared" si="1"/>
        <v>0.96094671716639057</v>
      </c>
      <c r="J25" s="69">
        <f t="shared" si="2"/>
        <v>3.9053282833609426E-2</v>
      </c>
      <c r="K25" s="70">
        <v>0.47</v>
      </c>
      <c r="L25" s="69">
        <f t="shared" si="3"/>
        <v>1.835504293179643E-2</v>
      </c>
      <c r="N25" s="64"/>
      <c r="O25" s="64"/>
      <c r="P25" s="64"/>
      <c r="Q25" s="64"/>
      <c r="R25" s="71">
        <v>41</v>
      </c>
      <c r="S25" s="72">
        <f t="shared" si="4"/>
        <v>0.45786199999999988</v>
      </c>
      <c r="T25" s="72">
        <f t="shared" si="5"/>
        <v>0.54213800000000012</v>
      </c>
      <c r="U25" s="72">
        <f t="shared" si="6"/>
        <v>0.95026008505270454</v>
      </c>
      <c r="V25" s="97">
        <f t="shared" si="7"/>
        <v>4.973991494729546E-2</v>
      </c>
      <c r="W25" s="73">
        <v>0.47</v>
      </c>
      <c r="X25" s="97">
        <f t="shared" si="8"/>
        <v>2.3377760025228865E-2</v>
      </c>
    </row>
    <row r="26" spans="1:24">
      <c r="A26" s="24">
        <v>41</v>
      </c>
      <c r="B26" s="24">
        <v>0.49</v>
      </c>
      <c r="C26" s="25">
        <v>0.47</v>
      </c>
      <c r="F26" s="68">
        <v>42</v>
      </c>
      <c r="G26" s="69">
        <v>0.38</v>
      </c>
      <c r="H26" s="69">
        <f t="shared" si="0"/>
        <v>0.62</v>
      </c>
      <c r="I26" s="69">
        <f t="shared" si="1"/>
        <v>0.96094671716639057</v>
      </c>
      <c r="J26" s="69">
        <f t="shared" si="2"/>
        <v>3.9053282833609426E-2</v>
      </c>
      <c r="K26" s="70">
        <v>0.435</v>
      </c>
      <c r="L26" s="69">
        <f t="shared" si="3"/>
        <v>1.6988178032620101E-2</v>
      </c>
      <c r="N26" s="64" t="s">
        <v>77</v>
      </c>
      <c r="O26" s="64"/>
      <c r="P26" s="64"/>
      <c r="Q26" s="64"/>
      <c r="R26" s="71">
        <v>42</v>
      </c>
      <c r="S26" s="72">
        <f t="shared" si="4"/>
        <v>0.43446999999999991</v>
      </c>
      <c r="T26" s="72">
        <f t="shared" si="5"/>
        <v>0.56553000000000009</v>
      </c>
      <c r="U26" s="72">
        <f t="shared" si="6"/>
        <v>0.95361111408343002</v>
      </c>
      <c r="V26" s="97">
        <f t="shared" si="7"/>
        <v>4.6388885916569977E-2</v>
      </c>
      <c r="W26" s="73">
        <v>0.435</v>
      </c>
      <c r="X26" s="97">
        <f t="shared" si="8"/>
        <v>2.0179165373707939E-2</v>
      </c>
    </row>
    <row r="27" spans="1:24">
      <c r="A27" s="24">
        <v>42</v>
      </c>
      <c r="B27" s="24">
        <v>0.49</v>
      </c>
      <c r="C27" s="25">
        <v>0.435</v>
      </c>
      <c r="F27" s="68">
        <v>43</v>
      </c>
      <c r="G27" s="69">
        <v>0.38</v>
      </c>
      <c r="H27" s="69">
        <f t="shared" si="0"/>
        <v>0.62</v>
      </c>
      <c r="I27" s="69">
        <f t="shared" si="1"/>
        <v>0.96094671716639057</v>
      </c>
      <c r="J27" s="69">
        <f t="shared" si="2"/>
        <v>3.9053282833609426E-2</v>
      </c>
      <c r="K27" s="70">
        <v>0.4</v>
      </c>
      <c r="L27" s="69">
        <f t="shared" si="3"/>
        <v>1.5621313133443771E-2</v>
      </c>
      <c r="N27" s="64" t="s">
        <v>78</v>
      </c>
      <c r="O27" s="64" t="s">
        <v>79</v>
      </c>
      <c r="P27" s="64"/>
      <c r="Q27" s="64"/>
      <c r="R27" s="71">
        <v>43</v>
      </c>
      <c r="S27" s="72">
        <f t="shared" si="4"/>
        <v>0.41107799999999983</v>
      </c>
      <c r="T27" s="72">
        <f t="shared" si="5"/>
        <v>0.58892200000000017</v>
      </c>
      <c r="U27" s="72">
        <f t="shared" si="6"/>
        <v>0.95683741300562741</v>
      </c>
      <c r="V27" s="97">
        <f t="shared" si="7"/>
        <v>4.3162586994372587E-2</v>
      </c>
      <c r="W27" s="73">
        <v>0.4</v>
      </c>
      <c r="X27" s="97">
        <f t="shared" si="8"/>
        <v>1.7265034797749036E-2</v>
      </c>
    </row>
    <row r="28" spans="1:24">
      <c r="A28" s="24">
        <v>43</v>
      </c>
      <c r="B28" s="24">
        <v>0.49</v>
      </c>
      <c r="C28" s="25">
        <v>0.4</v>
      </c>
      <c r="F28" s="68">
        <v>44</v>
      </c>
      <c r="G28" s="69">
        <v>0.38</v>
      </c>
      <c r="H28" s="69">
        <f t="shared" si="0"/>
        <v>0.62</v>
      </c>
      <c r="I28" s="69">
        <f t="shared" si="1"/>
        <v>0.96094671716639057</v>
      </c>
      <c r="J28" s="69">
        <f t="shared" si="2"/>
        <v>3.9053282833609426E-2</v>
      </c>
      <c r="K28" s="70">
        <v>0.36499999999999999</v>
      </c>
      <c r="L28" s="69">
        <f t="shared" si="3"/>
        <v>1.425444823426744E-2</v>
      </c>
      <c r="N28" s="64" t="s">
        <v>80</v>
      </c>
      <c r="O28" s="64"/>
      <c r="P28" s="64"/>
      <c r="Q28" s="64"/>
      <c r="R28" s="71">
        <v>44</v>
      </c>
      <c r="S28" s="72">
        <f t="shared" si="4"/>
        <v>0.38768599999999998</v>
      </c>
      <c r="T28" s="72">
        <f t="shared" si="5"/>
        <v>0.61231400000000002</v>
      </c>
      <c r="U28" s="72">
        <f t="shared" si="6"/>
        <v>0.9599483116389369</v>
      </c>
      <c r="V28" s="97">
        <f t="shared" si="7"/>
        <v>4.0051688361063098E-2</v>
      </c>
      <c r="W28" s="73">
        <v>0.36499999999999999</v>
      </c>
      <c r="X28" s="97">
        <f t="shared" si="8"/>
        <v>1.4618866251788031E-2</v>
      </c>
    </row>
    <row r="29" spans="1:24">
      <c r="A29" s="24">
        <v>44</v>
      </c>
      <c r="B29" s="24">
        <v>0.49</v>
      </c>
      <c r="C29" s="25">
        <v>0.36499999999999999</v>
      </c>
      <c r="F29" s="68">
        <v>45</v>
      </c>
      <c r="G29" s="69">
        <v>0.38</v>
      </c>
      <c r="H29" s="69">
        <f t="shared" si="0"/>
        <v>0.62</v>
      </c>
      <c r="I29" s="69">
        <f t="shared" si="1"/>
        <v>0.96094671716639057</v>
      </c>
      <c r="J29" s="69">
        <f t="shared" si="2"/>
        <v>3.9053282833609426E-2</v>
      </c>
      <c r="K29" s="70">
        <f>($C$29/$C$28)*K28</f>
        <v>0.33306249999999998</v>
      </c>
      <c r="L29" s="69">
        <f t="shared" si="3"/>
        <v>1.3007184013769039E-2</v>
      </c>
      <c r="R29" s="71">
        <v>45</v>
      </c>
      <c r="S29" s="72">
        <f t="shared" si="4"/>
        <v>0.3642939999999999</v>
      </c>
      <c r="T29" s="72">
        <f t="shared" si="5"/>
        <v>0.6357060000000001</v>
      </c>
      <c r="U29" s="72">
        <f t="shared" si="6"/>
        <v>0.9629521175833855</v>
      </c>
      <c r="V29" s="97">
        <f t="shared" si="7"/>
        <v>3.7047882416614497E-2</v>
      </c>
      <c r="W29" s="73">
        <f>($C$29/$C$28)*W28</f>
        <v>0.33306249999999998</v>
      </c>
      <c r="X29" s="97">
        <f t="shared" si="8"/>
        <v>1.2339260337383666E-2</v>
      </c>
    </row>
    <row r="30" spans="1:24">
      <c r="A30" s="24">
        <v>45</v>
      </c>
      <c r="B30" s="24">
        <v>0.49</v>
      </c>
      <c r="C30" s="25">
        <f>($C$29/$C$28)*C29</f>
        <v>0.33306249999999998</v>
      </c>
      <c r="F30" s="68">
        <v>46</v>
      </c>
      <c r="G30" s="69">
        <v>0.38</v>
      </c>
      <c r="H30" s="69">
        <f t="shared" si="0"/>
        <v>0.62</v>
      </c>
      <c r="I30" s="69">
        <f t="shared" si="1"/>
        <v>0.96094671716639057</v>
      </c>
      <c r="J30" s="69">
        <f t="shared" si="2"/>
        <v>3.9053282833609426E-2</v>
      </c>
      <c r="K30" s="70">
        <f>($C$29/$C$28)*K29</f>
        <v>0.30391953124999999</v>
      </c>
      <c r="L30" s="69">
        <f t="shared" si="3"/>
        <v>1.1869055412564248E-2</v>
      </c>
      <c r="R30" s="71">
        <v>46</v>
      </c>
      <c r="S30" s="72">
        <f t="shared" si="4"/>
        <v>0.34090200000000004</v>
      </c>
      <c r="T30" s="72">
        <f t="shared" si="5"/>
        <v>0.65909799999999996</v>
      </c>
      <c r="U30" s="72">
        <f t="shared" si="6"/>
        <v>0.96585626119033019</v>
      </c>
      <c r="V30" s="97">
        <f t="shared" si="7"/>
        <v>3.414373880966981E-2</v>
      </c>
      <c r="W30" s="73">
        <f>($C$29/$C$28)*W29</f>
        <v>0.30391953124999999</v>
      </c>
      <c r="X30" s="97">
        <f t="shared" si="8"/>
        <v>1.0376949094157281E-2</v>
      </c>
    </row>
    <row r="31" spans="1:24">
      <c r="A31" s="24">
        <v>46</v>
      </c>
      <c r="B31" s="24">
        <v>0.49</v>
      </c>
      <c r="C31" s="25">
        <f>($C$29/$C$28)*C30</f>
        <v>0.30391953124999999</v>
      </c>
      <c r="F31" s="68">
        <v>47</v>
      </c>
      <c r="G31" s="69">
        <v>0.38</v>
      </c>
      <c r="H31" s="69">
        <f t="shared" si="0"/>
        <v>0.62</v>
      </c>
      <c r="I31" s="69">
        <f t="shared" si="1"/>
        <v>0.96094671716639057</v>
      </c>
      <c r="J31" s="69">
        <f t="shared" si="2"/>
        <v>3.9053282833609426E-2</v>
      </c>
      <c r="K31" s="70">
        <f>($C$29/$C$28)*K30</f>
        <v>0.27732657226562496</v>
      </c>
      <c r="L31" s="69">
        <f t="shared" si="3"/>
        <v>1.0830513063964875E-2</v>
      </c>
      <c r="R31" s="71">
        <v>47</v>
      </c>
      <c r="S31" s="72">
        <f t="shared" si="4"/>
        <v>0.31750999999999996</v>
      </c>
      <c r="T31" s="72">
        <f t="shared" si="5"/>
        <v>0.68249000000000004</v>
      </c>
      <c r="U31" s="72">
        <f t="shared" si="6"/>
        <v>0.96866741562349146</v>
      </c>
      <c r="V31" s="97">
        <f t="shared" si="7"/>
        <v>3.1332584376508543E-2</v>
      </c>
      <c r="W31" s="73">
        <f>($C$29/$C$28)*W30</f>
        <v>0.27732657226562496</v>
      </c>
      <c r="X31" s="97">
        <f t="shared" si="8"/>
        <v>8.6893582253605873E-3</v>
      </c>
    </row>
    <row r="32" spans="1:24">
      <c r="A32" s="24">
        <v>47</v>
      </c>
      <c r="B32" s="24">
        <v>0.49</v>
      </c>
      <c r="C32" s="25">
        <f>($C$29/$C$28)*C31</f>
        <v>0.27732657226562496</v>
      </c>
      <c r="F32" s="68">
        <v>48</v>
      </c>
      <c r="G32" s="69">
        <v>0.38</v>
      </c>
      <c r="H32" s="69">
        <f t="shared" si="0"/>
        <v>0.62</v>
      </c>
      <c r="I32" s="69">
        <f t="shared" si="1"/>
        <v>0.96094671716639057</v>
      </c>
      <c r="J32" s="69">
        <f t="shared" si="2"/>
        <v>3.9053282833609426E-2</v>
      </c>
      <c r="K32" s="70">
        <f>($C$29/$C$28)*K31</f>
        <v>0.25306049719238277</v>
      </c>
      <c r="L32" s="69">
        <f t="shared" si="3"/>
        <v>9.8828431708679488E-3</v>
      </c>
      <c r="R32" s="71">
        <v>48</v>
      </c>
      <c r="S32" s="72">
        <f t="shared" si="4"/>
        <v>0.29411799999999988</v>
      </c>
      <c r="T32" s="72">
        <f t="shared" si="5"/>
        <v>0.70588200000000012</v>
      </c>
      <c r="U32" s="72">
        <f t="shared" si="6"/>
        <v>0.9713915969873993</v>
      </c>
      <c r="V32" s="97">
        <f t="shared" si="7"/>
        <v>2.8608403012600703E-2</v>
      </c>
      <c r="W32" s="73">
        <f>($C$29/$C$28)*W31</f>
        <v>0.25306049719238277</v>
      </c>
      <c r="X32" s="97">
        <f t="shared" si="8"/>
        <v>7.2396566902487953E-3</v>
      </c>
    </row>
    <row r="33" spans="1:24">
      <c r="A33" s="24">
        <v>48</v>
      </c>
      <c r="B33" s="24">
        <v>0.49</v>
      </c>
      <c r="C33" s="25">
        <f>($C$29/$C$28)*C32</f>
        <v>0.25306049719238277</v>
      </c>
      <c r="F33" s="68">
        <v>49</v>
      </c>
      <c r="G33" s="69">
        <v>0.38</v>
      </c>
      <c r="H33" s="69">
        <f t="shared" si="0"/>
        <v>0.62</v>
      </c>
      <c r="I33" s="69">
        <f t="shared" si="1"/>
        <v>0.96094671716639057</v>
      </c>
      <c r="J33" s="69">
        <f t="shared" si="2"/>
        <v>3.9053282833609426E-2</v>
      </c>
      <c r="K33" s="70">
        <f>($C$29/$C$28)*K32</f>
        <v>0.23091770368804929</v>
      </c>
      <c r="L33" s="69">
        <f t="shared" si="3"/>
        <v>9.0180943934170029E-3</v>
      </c>
      <c r="R33" s="71">
        <v>49</v>
      </c>
      <c r="S33" s="72">
        <f t="shared" si="4"/>
        <v>0.27072600000000002</v>
      </c>
      <c r="T33" s="72">
        <f t="shared" si="5"/>
        <v>0.72927399999999998</v>
      </c>
      <c r="U33" s="72">
        <f t="shared" si="6"/>
        <v>0.97403424837582264</v>
      </c>
      <c r="V33" s="97">
        <f t="shared" si="7"/>
        <v>2.5965751624177358E-2</v>
      </c>
      <c r="W33" s="73">
        <f>($C$29/$C$28)*W32</f>
        <v>0.23091770368804929</v>
      </c>
      <c r="X33" s="97">
        <f t="shared" si="8"/>
        <v>5.995951739589272E-3</v>
      </c>
    </row>
    <row r="34" spans="1:24">
      <c r="A34" s="24">
        <v>49</v>
      </c>
      <c r="B34" s="24">
        <v>0.49</v>
      </c>
      <c r="C34" s="25">
        <f>($C$29/$C$28)*C33</f>
        <v>0.23091770368804929</v>
      </c>
      <c r="S34" s="69"/>
    </row>
    <row r="35" spans="1:24">
      <c r="S35" s="69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</vt:lpstr>
      <vt:lpstr>Model</vt:lpstr>
      <vt:lpstr>Pregnancy</vt:lpstr>
      <vt:lpstr>Pregnancy.Calc</vt:lpstr>
    </vt:vector>
  </TitlesOfParts>
  <Company>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>The RAND Corporation</cp:lastModifiedBy>
  <dcterms:created xsi:type="dcterms:W3CDTF">2004-12-11T00:54:06Z</dcterms:created>
  <dcterms:modified xsi:type="dcterms:W3CDTF">2011-11-22T16:51:30Z</dcterms:modified>
</cp:coreProperties>
</file>