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codeName="ThisWorkbook" autoCompressPictures="0"/>
  <bookViews>
    <workbookView xWindow="560" yWindow="560" windowWidth="25040" windowHeight="15500"/>
  </bookViews>
  <sheets>
    <sheet name="Interface" sheetId="1" r:id="rId1"/>
    <sheet name="Model" sheetId="3" r:id="rId2"/>
    <sheet name="Pregnancy" sheetId="4" r:id="rId3"/>
    <sheet name="Pregnancy.Calc" sheetId="5" r:id="rId4"/>
  </sheets>
  <definedNames>
    <definedName name="alpha">Model!$B$1</definedName>
    <definedName name="h.hormon">Interface!#REF!</definedName>
    <definedName name="h.late">Interface!$B$6</definedName>
    <definedName name="h.mtctx">Interface!$B$17</definedName>
    <definedName name="h.prep">Interface!$B$9</definedName>
    <definedName name="h.std">Interface!$B$8</definedName>
    <definedName name="h.tx">Interface!$B$7</definedName>
    <definedName name="N">Interface!$B$24</definedName>
    <definedName name="p.conception">Model!$B$2</definedName>
    <definedName name="p.concieve">Model!$C$15</definedName>
    <definedName name="p.delivery">Model!$C$16</definedName>
    <definedName name="p.mtct">Interface!$B$16</definedName>
    <definedName name="TT">Interface!$B$3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2" i="4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2" i="5"/>
  <c r="S13" i="5"/>
  <c r="T13" i="5"/>
  <c r="U13" i="5"/>
  <c r="V13" i="5"/>
  <c r="C15" i="3"/>
  <c r="B2" i="3"/>
  <c r="B21" i="1"/>
  <c r="B20" i="1"/>
  <c r="B7" i="1"/>
  <c r="D26" i="3"/>
  <c r="B8" i="1"/>
  <c r="B6" i="1"/>
  <c r="B9" i="1"/>
  <c r="B3" i="1"/>
  <c r="B1" i="3"/>
  <c r="B12" i="1"/>
  <c r="C13" i="4"/>
  <c r="C16" i="3"/>
  <c r="L2" i="3"/>
  <c r="M2" i="3"/>
  <c r="P2" i="3"/>
  <c r="B17" i="1"/>
  <c r="B16" i="1"/>
  <c r="I2" i="3"/>
  <c r="R2" i="3"/>
  <c r="S2" i="3"/>
  <c r="L3" i="3"/>
  <c r="M3" i="3"/>
  <c r="P3" i="3"/>
  <c r="I3" i="3"/>
  <c r="R3" i="3"/>
  <c r="S3" i="3"/>
  <c r="L4" i="3"/>
  <c r="M4" i="3"/>
  <c r="P4" i="3"/>
  <c r="I4" i="3"/>
  <c r="R4" i="3"/>
  <c r="S4" i="3"/>
  <c r="L5" i="3"/>
  <c r="M5" i="3"/>
  <c r="P5" i="3"/>
  <c r="I5" i="3"/>
  <c r="R5" i="3"/>
  <c r="S5" i="3"/>
  <c r="L6" i="3"/>
  <c r="M6" i="3"/>
  <c r="P6" i="3"/>
  <c r="I6" i="3"/>
  <c r="R6" i="3"/>
  <c r="S6" i="3"/>
  <c r="L7" i="3"/>
  <c r="M7" i="3"/>
  <c r="P7" i="3"/>
  <c r="I7" i="3"/>
  <c r="R7" i="3"/>
  <c r="S7" i="3"/>
  <c r="L8" i="3"/>
  <c r="M8" i="3"/>
  <c r="P8" i="3"/>
  <c r="I8" i="3"/>
  <c r="R8" i="3"/>
  <c r="S8" i="3"/>
  <c r="L9" i="3"/>
  <c r="M9" i="3"/>
  <c r="P9" i="3"/>
  <c r="I9" i="3"/>
  <c r="R9" i="3"/>
  <c r="S9" i="3"/>
  <c r="L10" i="3"/>
  <c r="M10" i="3"/>
  <c r="P10" i="3"/>
  <c r="I10" i="3"/>
  <c r="R10" i="3"/>
  <c r="S10" i="3"/>
  <c r="L11" i="3"/>
  <c r="M11" i="3"/>
  <c r="P11" i="3"/>
  <c r="I11" i="3"/>
  <c r="R11" i="3"/>
  <c r="S11" i="3"/>
  <c r="L12" i="3"/>
  <c r="M12" i="3"/>
  <c r="P12" i="3"/>
  <c r="I12" i="3"/>
  <c r="R12" i="3"/>
  <c r="S12" i="3"/>
  <c r="L13" i="3"/>
  <c r="M13" i="3"/>
  <c r="P13" i="3"/>
  <c r="I13" i="3"/>
  <c r="R13" i="3"/>
  <c r="S13" i="3"/>
  <c r="L14" i="3"/>
  <c r="M14" i="3"/>
  <c r="P14" i="3"/>
  <c r="I14" i="3"/>
  <c r="R14" i="3"/>
  <c r="S14" i="3"/>
  <c r="L15" i="3"/>
  <c r="M15" i="3"/>
  <c r="P15" i="3"/>
  <c r="I15" i="3"/>
  <c r="R15" i="3"/>
  <c r="S15" i="3"/>
  <c r="L16" i="3"/>
  <c r="M16" i="3"/>
  <c r="P16" i="3"/>
  <c r="I16" i="3"/>
  <c r="R16" i="3"/>
  <c r="S16" i="3"/>
  <c r="L17" i="3"/>
  <c r="M17" i="3"/>
  <c r="P17" i="3"/>
  <c r="I17" i="3"/>
  <c r="R17" i="3"/>
  <c r="S17" i="3"/>
  <c r="L18" i="3"/>
  <c r="M18" i="3"/>
  <c r="P18" i="3"/>
  <c r="I18" i="3"/>
  <c r="R18" i="3"/>
  <c r="S18" i="3"/>
  <c r="L19" i="3"/>
  <c r="M19" i="3"/>
  <c r="P19" i="3"/>
  <c r="I19" i="3"/>
  <c r="R19" i="3"/>
  <c r="S19" i="3"/>
  <c r="L20" i="3"/>
  <c r="M20" i="3"/>
  <c r="P20" i="3"/>
  <c r="I20" i="3"/>
  <c r="R20" i="3"/>
  <c r="S20" i="3"/>
  <c r="L21" i="3"/>
  <c r="M21" i="3"/>
  <c r="P21" i="3"/>
  <c r="I21" i="3"/>
  <c r="R21" i="3"/>
  <c r="S21" i="3"/>
  <c r="L22" i="3"/>
  <c r="M22" i="3"/>
  <c r="P22" i="3"/>
  <c r="I22" i="3"/>
  <c r="R22" i="3"/>
  <c r="S22" i="3"/>
  <c r="L23" i="3"/>
  <c r="M23" i="3"/>
  <c r="P23" i="3"/>
  <c r="I23" i="3"/>
  <c r="R23" i="3"/>
  <c r="S23" i="3"/>
  <c r="L24" i="3"/>
  <c r="M24" i="3"/>
  <c r="P24" i="3"/>
  <c r="I24" i="3"/>
  <c r="R24" i="3"/>
  <c r="S24" i="3"/>
  <c r="L25" i="3"/>
  <c r="M25" i="3"/>
  <c r="P25" i="3"/>
  <c r="I25" i="3"/>
  <c r="R25" i="3"/>
  <c r="S25" i="3"/>
  <c r="L26" i="3"/>
  <c r="M26" i="3"/>
  <c r="P26" i="3"/>
  <c r="I26" i="3"/>
  <c r="R26" i="3"/>
  <c r="S26" i="3"/>
  <c r="L27" i="3"/>
  <c r="M27" i="3"/>
  <c r="P27" i="3"/>
  <c r="I27" i="3"/>
  <c r="R27" i="3"/>
  <c r="S27" i="3"/>
  <c r="L28" i="3"/>
  <c r="M28" i="3"/>
  <c r="P28" i="3"/>
  <c r="I28" i="3"/>
  <c r="R28" i="3"/>
  <c r="S28" i="3"/>
  <c r="L29" i="3"/>
  <c r="M29" i="3"/>
  <c r="P29" i="3"/>
  <c r="I29" i="3"/>
  <c r="R29" i="3"/>
  <c r="S29" i="3"/>
  <c r="L30" i="3"/>
  <c r="M30" i="3"/>
  <c r="P30" i="3"/>
  <c r="I30" i="3"/>
  <c r="R30" i="3"/>
  <c r="S30" i="3"/>
  <c r="L31" i="3"/>
  <c r="M31" i="3"/>
  <c r="P31" i="3"/>
  <c r="I31" i="3"/>
  <c r="R31" i="3"/>
  <c r="S31" i="3"/>
  <c r="L32" i="3"/>
  <c r="M32" i="3"/>
  <c r="P32" i="3"/>
  <c r="I32" i="3"/>
  <c r="R32" i="3"/>
  <c r="S32" i="3"/>
  <c r="L33" i="3"/>
  <c r="M33" i="3"/>
  <c r="P33" i="3"/>
  <c r="I33" i="3"/>
  <c r="R33" i="3"/>
  <c r="S33" i="3"/>
  <c r="L34" i="3"/>
  <c r="M34" i="3"/>
  <c r="P34" i="3"/>
  <c r="I34" i="3"/>
  <c r="R34" i="3"/>
  <c r="S34" i="3"/>
  <c r="L35" i="3"/>
  <c r="M35" i="3"/>
  <c r="P35" i="3"/>
  <c r="I35" i="3"/>
  <c r="R35" i="3"/>
  <c r="S35" i="3"/>
  <c r="L36" i="3"/>
  <c r="M36" i="3"/>
  <c r="P36" i="3"/>
  <c r="I36" i="3"/>
  <c r="R36" i="3"/>
  <c r="S36" i="3"/>
  <c r="L37" i="3"/>
  <c r="M37" i="3"/>
  <c r="P37" i="3"/>
  <c r="I37" i="3"/>
  <c r="R37" i="3"/>
  <c r="S37" i="3"/>
  <c r="L38" i="3"/>
  <c r="M38" i="3"/>
  <c r="P38" i="3"/>
  <c r="I38" i="3"/>
  <c r="R38" i="3"/>
  <c r="S38" i="3"/>
  <c r="L39" i="3"/>
  <c r="M39" i="3"/>
  <c r="P39" i="3"/>
  <c r="I39" i="3"/>
  <c r="R39" i="3"/>
  <c r="S39" i="3"/>
  <c r="L40" i="3"/>
  <c r="M40" i="3"/>
  <c r="P40" i="3"/>
  <c r="I40" i="3"/>
  <c r="R40" i="3"/>
  <c r="S40" i="3"/>
  <c r="L41" i="3"/>
  <c r="M41" i="3"/>
  <c r="P41" i="3"/>
  <c r="I41" i="3"/>
  <c r="R41" i="3"/>
  <c r="S41" i="3"/>
  <c r="L42" i="3"/>
  <c r="M42" i="3"/>
  <c r="P42" i="3"/>
  <c r="I42" i="3"/>
  <c r="R42" i="3"/>
  <c r="S42" i="3"/>
  <c r="L43" i="3"/>
  <c r="M43" i="3"/>
  <c r="P43" i="3"/>
  <c r="I43" i="3"/>
  <c r="R43" i="3"/>
  <c r="S43" i="3"/>
  <c r="L44" i="3"/>
  <c r="M44" i="3"/>
  <c r="P44" i="3"/>
  <c r="I44" i="3"/>
  <c r="R44" i="3"/>
  <c r="S44" i="3"/>
  <c r="L45" i="3"/>
  <c r="M45" i="3"/>
  <c r="P45" i="3"/>
  <c r="I45" i="3"/>
  <c r="R45" i="3"/>
  <c r="S45" i="3"/>
  <c r="L46" i="3"/>
  <c r="M46" i="3"/>
  <c r="P46" i="3"/>
  <c r="I46" i="3"/>
  <c r="R46" i="3"/>
  <c r="S46" i="3"/>
  <c r="L47" i="3"/>
  <c r="M47" i="3"/>
  <c r="P47" i="3"/>
  <c r="I47" i="3"/>
  <c r="R47" i="3"/>
  <c r="S47" i="3"/>
  <c r="L48" i="3"/>
  <c r="M48" i="3"/>
  <c r="P48" i="3"/>
  <c r="I48" i="3"/>
  <c r="R48" i="3"/>
  <c r="S48" i="3"/>
  <c r="L49" i="3"/>
  <c r="M49" i="3"/>
  <c r="P49" i="3"/>
  <c r="I49" i="3"/>
  <c r="R49" i="3"/>
  <c r="S49" i="3"/>
  <c r="L50" i="3"/>
  <c r="M50" i="3"/>
  <c r="P50" i="3"/>
  <c r="I50" i="3"/>
  <c r="R50" i="3"/>
  <c r="S50" i="3"/>
  <c r="L51" i="3"/>
  <c r="M51" i="3"/>
  <c r="P51" i="3"/>
  <c r="I51" i="3"/>
  <c r="R51" i="3"/>
  <c r="S51" i="3"/>
  <c r="L52" i="3"/>
  <c r="M52" i="3"/>
  <c r="P52" i="3"/>
  <c r="I52" i="3"/>
  <c r="R52" i="3"/>
  <c r="S52" i="3"/>
  <c r="L53" i="3"/>
  <c r="M53" i="3"/>
  <c r="P53" i="3"/>
  <c r="I53" i="3"/>
  <c r="R53" i="3"/>
  <c r="S53" i="3"/>
  <c r="L54" i="3"/>
  <c r="M54" i="3"/>
  <c r="P54" i="3"/>
  <c r="I54" i="3"/>
  <c r="R54" i="3"/>
  <c r="S54" i="3"/>
  <c r="L55" i="3"/>
  <c r="M55" i="3"/>
  <c r="P55" i="3"/>
  <c r="I55" i="3"/>
  <c r="R55" i="3"/>
  <c r="S55" i="3"/>
  <c r="L56" i="3"/>
  <c r="M56" i="3"/>
  <c r="P56" i="3"/>
  <c r="I56" i="3"/>
  <c r="R56" i="3"/>
  <c r="S56" i="3"/>
  <c r="L57" i="3"/>
  <c r="M57" i="3"/>
  <c r="P57" i="3"/>
  <c r="I57" i="3"/>
  <c r="R57" i="3"/>
  <c r="S57" i="3"/>
  <c r="L58" i="3"/>
  <c r="M58" i="3"/>
  <c r="P58" i="3"/>
  <c r="I58" i="3"/>
  <c r="R58" i="3"/>
  <c r="S58" i="3"/>
  <c r="L59" i="3"/>
  <c r="M59" i="3"/>
  <c r="P59" i="3"/>
  <c r="I59" i="3"/>
  <c r="R59" i="3"/>
  <c r="S59" i="3"/>
  <c r="L60" i="3"/>
  <c r="M60" i="3"/>
  <c r="P60" i="3"/>
  <c r="I60" i="3"/>
  <c r="R60" i="3"/>
  <c r="S60" i="3"/>
  <c r="L61" i="3"/>
  <c r="M61" i="3"/>
  <c r="P61" i="3"/>
  <c r="I61" i="3"/>
  <c r="R61" i="3"/>
  <c r="S61" i="3"/>
  <c r="L62" i="3"/>
  <c r="M62" i="3"/>
  <c r="P62" i="3"/>
  <c r="I62" i="3"/>
  <c r="R62" i="3"/>
  <c r="S62" i="3"/>
  <c r="L63" i="3"/>
  <c r="M63" i="3"/>
  <c r="P63" i="3"/>
  <c r="I63" i="3"/>
  <c r="R63" i="3"/>
  <c r="S63" i="3"/>
  <c r="L64" i="3"/>
  <c r="M64" i="3"/>
  <c r="P64" i="3"/>
  <c r="I64" i="3"/>
  <c r="R64" i="3"/>
  <c r="S64" i="3"/>
  <c r="L65" i="3"/>
  <c r="M65" i="3"/>
  <c r="P65" i="3"/>
  <c r="I65" i="3"/>
  <c r="R65" i="3"/>
  <c r="S65" i="3"/>
  <c r="L66" i="3"/>
  <c r="M66" i="3"/>
  <c r="P66" i="3"/>
  <c r="I66" i="3"/>
  <c r="R66" i="3"/>
  <c r="S66" i="3"/>
  <c r="L67" i="3"/>
  <c r="M67" i="3"/>
  <c r="P67" i="3"/>
  <c r="I67" i="3"/>
  <c r="R67" i="3"/>
  <c r="S67" i="3"/>
  <c r="L68" i="3"/>
  <c r="M68" i="3"/>
  <c r="P68" i="3"/>
  <c r="I68" i="3"/>
  <c r="R68" i="3"/>
  <c r="S68" i="3"/>
  <c r="L69" i="3"/>
  <c r="M69" i="3"/>
  <c r="P69" i="3"/>
  <c r="I69" i="3"/>
  <c r="R69" i="3"/>
  <c r="S69" i="3"/>
  <c r="L70" i="3"/>
  <c r="M70" i="3"/>
  <c r="P70" i="3"/>
  <c r="I70" i="3"/>
  <c r="R70" i="3"/>
  <c r="S70" i="3"/>
  <c r="L71" i="3"/>
  <c r="M71" i="3"/>
  <c r="P71" i="3"/>
  <c r="I71" i="3"/>
  <c r="R71" i="3"/>
  <c r="S71" i="3"/>
  <c r="L72" i="3"/>
  <c r="M72" i="3"/>
  <c r="P72" i="3"/>
  <c r="I72" i="3"/>
  <c r="R72" i="3"/>
  <c r="S72" i="3"/>
  <c r="L73" i="3"/>
  <c r="M73" i="3"/>
  <c r="P73" i="3"/>
  <c r="I73" i="3"/>
  <c r="R73" i="3"/>
  <c r="S73" i="3"/>
  <c r="L74" i="3"/>
  <c r="M74" i="3"/>
  <c r="P74" i="3"/>
  <c r="I74" i="3"/>
  <c r="R74" i="3"/>
  <c r="S74" i="3"/>
  <c r="L75" i="3"/>
  <c r="M75" i="3"/>
  <c r="P75" i="3"/>
  <c r="I75" i="3"/>
  <c r="R75" i="3"/>
  <c r="S75" i="3"/>
  <c r="L76" i="3"/>
  <c r="M76" i="3"/>
  <c r="P76" i="3"/>
  <c r="I76" i="3"/>
  <c r="R76" i="3"/>
  <c r="S76" i="3"/>
  <c r="L77" i="3"/>
  <c r="M77" i="3"/>
  <c r="P77" i="3"/>
  <c r="I77" i="3"/>
  <c r="R77" i="3"/>
  <c r="S77" i="3"/>
  <c r="L78" i="3"/>
  <c r="M78" i="3"/>
  <c r="P78" i="3"/>
  <c r="I78" i="3"/>
  <c r="R78" i="3"/>
  <c r="S78" i="3"/>
  <c r="L79" i="3"/>
  <c r="M79" i="3"/>
  <c r="P79" i="3"/>
  <c r="I79" i="3"/>
  <c r="R79" i="3"/>
  <c r="S79" i="3"/>
  <c r="L80" i="3"/>
  <c r="M80" i="3"/>
  <c r="P80" i="3"/>
  <c r="I80" i="3"/>
  <c r="R80" i="3"/>
  <c r="S80" i="3"/>
  <c r="L81" i="3"/>
  <c r="M81" i="3"/>
  <c r="P81" i="3"/>
  <c r="I81" i="3"/>
  <c r="R81" i="3"/>
  <c r="S81" i="3"/>
  <c r="L82" i="3"/>
  <c r="M82" i="3"/>
  <c r="P82" i="3"/>
  <c r="I82" i="3"/>
  <c r="R82" i="3"/>
  <c r="S82" i="3"/>
  <c r="L83" i="3"/>
  <c r="M83" i="3"/>
  <c r="P83" i="3"/>
  <c r="I83" i="3"/>
  <c r="R83" i="3"/>
  <c r="S83" i="3"/>
  <c r="L84" i="3"/>
  <c r="M84" i="3"/>
  <c r="P84" i="3"/>
  <c r="I84" i="3"/>
  <c r="R84" i="3"/>
  <c r="S84" i="3"/>
  <c r="L85" i="3"/>
  <c r="M85" i="3"/>
  <c r="P85" i="3"/>
  <c r="I85" i="3"/>
  <c r="R85" i="3"/>
  <c r="S85" i="3"/>
  <c r="L86" i="3"/>
  <c r="M86" i="3"/>
  <c r="P86" i="3"/>
  <c r="I86" i="3"/>
  <c r="R86" i="3"/>
  <c r="S86" i="3"/>
  <c r="L87" i="3"/>
  <c r="M87" i="3"/>
  <c r="P87" i="3"/>
  <c r="I87" i="3"/>
  <c r="R87" i="3"/>
  <c r="S87" i="3"/>
  <c r="L88" i="3"/>
  <c r="M88" i="3"/>
  <c r="P88" i="3"/>
  <c r="I88" i="3"/>
  <c r="R88" i="3"/>
  <c r="S88" i="3"/>
  <c r="L89" i="3"/>
  <c r="M89" i="3"/>
  <c r="P89" i="3"/>
  <c r="I89" i="3"/>
  <c r="R89" i="3"/>
  <c r="S89" i="3"/>
  <c r="L90" i="3"/>
  <c r="M90" i="3"/>
  <c r="P90" i="3"/>
  <c r="I90" i="3"/>
  <c r="R90" i="3"/>
  <c r="S90" i="3"/>
  <c r="L91" i="3"/>
  <c r="M91" i="3"/>
  <c r="P91" i="3"/>
  <c r="I91" i="3"/>
  <c r="R91" i="3"/>
  <c r="S91" i="3"/>
  <c r="L92" i="3"/>
  <c r="M92" i="3"/>
  <c r="P92" i="3"/>
  <c r="I92" i="3"/>
  <c r="R92" i="3"/>
  <c r="S92" i="3"/>
  <c r="L93" i="3"/>
  <c r="M93" i="3"/>
  <c r="P93" i="3"/>
  <c r="I93" i="3"/>
  <c r="R93" i="3"/>
  <c r="S93" i="3"/>
  <c r="L94" i="3"/>
  <c r="M94" i="3"/>
  <c r="P94" i="3"/>
  <c r="I94" i="3"/>
  <c r="R94" i="3"/>
  <c r="S94" i="3"/>
  <c r="L95" i="3"/>
  <c r="M95" i="3"/>
  <c r="P95" i="3"/>
  <c r="I95" i="3"/>
  <c r="R95" i="3"/>
  <c r="S95" i="3"/>
  <c r="L96" i="3"/>
  <c r="M96" i="3"/>
  <c r="P96" i="3"/>
  <c r="I96" i="3"/>
  <c r="R96" i="3"/>
  <c r="S96" i="3"/>
  <c r="L97" i="3"/>
  <c r="M97" i="3"/>
  <c r="P97" i="3"/>
  <c r="I97" i="3"/>
  <c r="R97" i="3"/>
  <c r="S97" i="3"/>
  <c r="L98" i="3"/>
  <c r="M98" i="3"/>
  <c r="P98" i="3"/>
  <c r="I98" i="3"/>
  <c r="R98" i="3"/>
  <c r="S98" i="3"/>
  <c r="L99" i="3"/>
  <c r="M99" i="3"/>
  <c r="P99" i="3"/>
  <c r="I99" i="3"/>
  <c r="R99" i="3"/>
  <c r="S99" i="3"/>
  <c r="L100" i="3"/>
  <c r="M100" i="3"/>
  <c r="P100" i="3"/>
  <c r="I100" i="3"/>
  <c r="R100" i="3"/>
  <c r="S100" i="3"/>
  <c r="L101" i="3"/>
  <c r="M101" i="3"/>
  <c r="P101" i="3"/>
  <c r="I101" i="3"/>
  <c r="R101" i="3"/>
  <c r="S101" i="3"/>
  <c r="E14" i="4"/>
  <c r="E13" i="4"/>
  <c r="E12" i="4"/>
  <c r="E11" i="4"/>
  <c r="E10" i="4"/>
  <c r="E9" i="4"/>
  <c r="E8" i="4"/>
  <c r="E7" i="4"/>
  <c r="E6" i="4"/>
  <c r="E5" i="4"/>
  <c r="D23" i="3"/>
  <c r="D27" i="3"/>
  <c r="D28" i="3"/>
  <c r="B24" i="1"/>
  <c r="D13" i="4"/>
  <c r="D22" i="3"/>
  <c r="E3" i="4"/>
  <c r="F3" i="4"/>
  <c r="E4" i="4"/>
  <c r="F4" i="4"/>
  <c r="F5" i="4"/>
  <c r="F6" i="4"/>
  <c r="F7" i="4"/>
  <c r="F8" i="4"/>
  <c r="F9" i="4"/>
  <c r="F10" i="4"/>
  <c r="F11" i="4"/>
  <c r="F12" i="4"/>
  <c r="F13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2" i="4"/>
  <c r="F2" i="4"/>
  <c r="S3" i="5"/>
  <c r="T3" i="5"/>
  <c r="U3" i="5"/>
  <c r="V3" i="5"/>
  <c r="S4" i="5"/>
  <c r="T4" i="5"/>
  <c r="U4" i="5"/>
  <c r="V4" i="5"/>
  <c r="S5" i="5"/>
  <c r="T5" i="5"/>
  <c r="U5" i="5"/>
  <c r="V5" i="5"/>
  <c r="S6" i="5"/>
  <c r="T6" i="5"/>
  <c r="U6" i="5"/>
  <c r="V6" i="5"/>
  <c r="S7" i="5"/>
  <c r="T7" i="5"/>
  <c r="U7" i="5"/>
  <c r="V7" i="5"/>
  <c r="S8" i="5"/>
  <c r="T8" i="5"/>
  <c r="U8" i="5"/>
  <c r="V8" i="5"/>
  <c r="S9" i="5"/>
  <c r="T9" i="5"/>
  <c r="U9" i="5"/>
  <c r="V9" i="5"/>
  <c r="S10" i="5"/>
  <c r="T10" i="5"/>
  <c r="U10" i="5"/>
  <c r="V10" i="5"/>
  <c r="S11" i="5"/>
  <c r="T11" i="5"/>
  <c r="U11" i="5"/>
  <c r="V11" i="5"/>
  <c r="S12" i="5"/>
  <c r="T12" i="5"/>
  <c r="U12" i="5"/>
  <c r="V12" i="5"/>
  <c r="S14" i="5"/>
  <c r="T14" i="5"/>
  <c r="U14" i="5"/>
  <c r="V14" i="5"/>
  <c r="S15" i="5"/>
  <c r="T15" i="5"/>
  <c r="U15" i="5"/>
  <c r="V15" i="5"/>
  <c r="S16" i="5"/>
  <c r="T16" i="5"/>
  <c r="U16" i="5"/>
  <c r="V16" i="5"/>
  <c r="S17" i="5"/>
  <c r="T17" i="5"/>
  <c r="U17" i="5"/>
  <c r="V17" i="5"/>
  <c r="S18" i="5"/>
  <c r="T18" i="5"/>
  <c r="U18" i="5"/>
  <c r="V18" i="5"/>
  <c r="S19" i="5"/>
  <c r="T19" i="5"/>
  <c r="U19" i="5"/>
  <c r="V19" i="5"/>
  <c r="S20" i="5"/>
  <c r="T20" i="5"/>
  <c r="U20" i="5"/>
  <c r="V20" i="5"/>
  <c r="S21" i="5"/>
  <c r="T21" i="5"/>
  <c r="U21" i="5"/>
  <c r="V21" i="5"/>
  <c r="S22" i="5"/>
  <c r="T22" i="5"/>
  <c r="U22" i="5"/>
  <c r="V22" i="5"/>
  <c r="S23" i="5"/>
  <c r="T23" i="5"/>
  <c r="U23" i="5"/>
  <c r="V23" i="5"/>
  <c r="S24" i="5"/>
  <c r="T24" i="5"/>
  <c r="U24" i="5"/>
  <c r="V24" i="5"/>
  <c r="S25" i="5"/>
  <c r="T25" i="5"/>
  <c r="U25" i="5"/>
  <c r="V25" i="5"/>
  <c r="S26" i="5"/>
  <c r="T26" i="5"/>
  <c r="U26" i="5"/>
  <c r="V26" i="5"/>
  <c r="S27" i="5"/>
  <c r="T27" i="5"/>
  <c r="U27" i="5"/>
  <c r="V27" i="5"/>
  <c r="S28" i="5"/>
  <c r="T28" i="5"/>
  <c r="U28" i="5"/>
  <c r="V28" i="5"/>
  <c r="S29" i="5"/>
  <c r="T29" i="5"/>
  <c r="U29" i="5"/>
  <c r="V29" i="5"/>
  <c r="S30" i="5"/>
  <c r="T30" i="5"/>
  <c r="U30" i="5"/>
  <c r="V30" i="5"/>
  <c r="S31" i="5"/>
  <c r="T31" i="5"/>
  <c r="U31" i="5"/>
  <c r="V31" i="5"/>
  <c r="S32" i="5"/>
  <c r="T32" i="5"/>
  <c r="U32" i="5"/>
  <c r="V32" i="5"/>
  <c r="S33" i="5"/>
  <c r="T33" i="5"/>
  <c r="U33" i="5"/>
  <c r="V33" i="5"/>
  <c r="S2" i="5"/>
  <c r="T2" i="5"/>
  <c r="U2" i="5"/>
  <c r="V2" i="5"/>
  <c r="D3" i="4"/>
  <c r="D4" i="4"/>
  <c r="D5" i="4"/>
  <c r="D6" i="4"/>
  <c r="D7" i="4"/>
  <c r="D8" i="4"/>
  <c r="D9" i="4"/>
  <c r="D10" i="4"/>
  <c r="D11" i="4"/>
  <c r="D12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2" i="4"/>
  <c r="C3" i="4"/>
  <c r="C4" i="4"/>
  <c r="C5" i="4"/>
  <c r="C6" i="4"/>
  <c r="C7" i="4"/>
  <c r="C8" i="4"/>
  <c r="C9" i="4"/>
  <c r="C10" i="4"/>
  <c r="C11" i="4"/>
  <c r="C12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X29" i="5"/>
  <c r="C29" i="4"/>
  <c r="X30" i="5"/>
  <c r="C30" i="4"/>
  <c r="X31" i="5"/>
  <c r="C31" i="4"/>
  <c r="X32" i="5"/>
  <c r="C32" i="4"/>
  <c r="X33" i="5"/>
  <c r="C33" i="4"/>
  <c r="C2" i="4"/>
  <c r="C30" i="5"/>
  <c r="C31" i="5"/>
  <c r="C32" i="5"/>
  <c r="C33" i="5"/>
  <c r="C34" i="5"/>
  <c r="Y33" i="5"/>
  <c r="K29" i="5"/>
  <c r="K30" i="5"/>
  <c r="K31" i="5"/>
  <c r="K32" i="5"/>
  <c r="K33" i="5"/>
  <c r="H33" i="5"/>
  <c r="I33" i="5"/>
  <c r="J33" i="5"/>
  <c r="L33" i="5"/>
  <c r="Y32" i="5"/>
  <c r="H32" i="5"/>
  <c r="I32" i="5"/>
  <c r="J32" i="5"/>
  <c r="L32" i="5"/>
  <c r="Y31" i="5"/>
  <c r="H31" i="5"/>
  <c r="I31" i="5"/>
  <c r="J31" i="5"/>
  <c r="L31" i="5"/>
  <c r="Y30" i="5"/>
  <c r="H30" i="5"/>
  <c r="I30" i="5"/>
  <c r="J30" i="5"/>
  <c r="L30" i="5"/>
  <c r="Y29" i="5"/>
  <c r="H29" i="5"/>
  <c r="I29" i="5"/>
  <c r="J29" i="5"/>
  <c r="L29" i="5"/>
  <c r="Y28" i="5"/>
  <c r="H28" i="5"/>
  <c r="I28" i="5"/>
  <c r="J28" i="5"/>
  <c r="L28" i="5"/>
  <c r="Y27" i="5"/>
  <c r="H27" i="5"/>
  <c r="I27" i="5"/>
  <c r="J27" i="5"/>
  <c r="L27" i="5"/>
  <c r="Y26" i="5"/>
  <c r="H26" i="5"/>
  <c r="I26" i="5"/>
  <c r="J26" i="5"/>
  <c r="L26" i="5"/>
  <c r="Y25" i="5"/>
  <c r="H25" i="5"/>
  <c r="I25" i="5"/>
  <c r="J25" i="5"/>
  <c r="L25" i="5"/>
  <c r="Y24" i="5"/>
  <c r="H24" i="5"/>
  <c r="I24" i="5"/>
  <c r="J24" i="5"/>
  <c r="L24" i="5"/>
  <c r="Y23" i="5"/>
  <c r="H23" i="5"/>
  <c r="I23" i="5"/>
  <c r="J23" i="5"/>
  <c r="L23" i="5"/>
  <c r="Y22" i="5"/>
  <c r="H22" i="5"/>
  <c r="I22" i="5"/>
  <c r="J22" i="5"/>
  <c r="L22" i="5"/>
  <c r="Y21" i="5"/>
  <c r="H21" i="5"/>
  <c r="I21" i="5"/>
  <c r="J21" i="5"/>
  <c r="L21" i="5"/>
  <c r="Y20" i="5"/>
  <c r="H20" i="5"/>
  <c r="I20" i="5"/>
  <c r="J20" i="5"/>
  <c r="L20" i="5"/>
  <c r="Y19" i="5"/>
  <c r="H19" i="5"/>
  <c r="I19" i="5"/>
  <c r="J19" i="5"/>
  <c r="L19" i="5"/>
  <c r="Y18" i="5"/>
  <c r="H18" i="5"/>
  <c r="I18" i="5"/>
  <c r="J18" i="5"/>
  <c r="L18" i="5"/>
  <c r="Y17" i="5"/>
  <c r="H17" i="5"/>
  <c r="I17" i="5"/>
  <c r="J17" i="5"/>
  <c r="L17" i="5"/>
  <c r="Y16" i="5"/>
  <c r="H16" i="5"/>
  <c r="I16" i="5"/>
  <c r="J16" i="5"/>
  <c r="L16" i="5"/>
  <c r="Y15" i="5"/>
  <c r="H15" i="5"/>
  <c r="I15" i="5"/>
  <c r="J15" i="5"/>
  <c r="L15" i="5"/>
  <c r="Y14" i="5"/>
  <c r="H14" i="5"/>
  <c r="I14" i="5"/>
  <c r="J14" i="5"/>
  <c r="L14" i="5"/>
  <c r="Y13" i="5"/>
  <c r="H13" i="5"/>
  <c r="I13" i="5"/>
  <c r="J13" i="5"/>
  <c r="L13" i="5"/>
  <c r="Y12" i="5"/>
  <c r="H12" i="5"/>
  <c r="I12" i="5"/>
  <c r="J12" i="5"/>
  <c r="L12" i="5"/>
  <c r="Y11" i="5"/>
  <c r="H11" i="5"/>
  <c r="I11" i="5"/>
  <c r="J11" i="5"/>
  <c r="L11" i="5"/>
  <c r="Y10" i="5"/>
  <c r="H10" i="5"/>
  <c r="I10" i="5"/>
  <c r="J10" i="5"/>
  <c r="L10" i="5"/>
  <c r="Y9" i="5"/>
  <c r="H9" i="5"/>
  <c r="I9" i="5"/>
  <c r="J9" i="5"/>
  <c r="L9" i="5"/>
  <c r="Y8" i="5"/>
  <c r="H8" i="5"/>
  <c r="I8" i="5"/>
  <c r="J8" i="5"/>
  <c r="L8" i="5"/>
  <c r="Y7" i="5"/>
  <c r="H7" i="5"/>
  <c r="I7" i="5"/>
  <c r="J7" i="5"/>
  <c r="L7" i="5"/>
  <c r="Y6" i="5"/>
  <c r="H6" i="5"/>
  <c r="I6" i="5"/>
  <c r="J6" i="5"/>
  <c r="L6" i="5"/>
  <c r="Y5" i="5"/>
  <c r="H5" i="5"/>
  <c r="I5" i="5"/>
  <c r="J5" i="5"/>
  <c r="L5" i="5"/>
  <c r="Y4" i="5"/>
  <c r="H4" i="5"/>
  <c r="I4" i="5"/>
  <c r="J4" i="5"/>
  <c r="L4" i="5"/>
  <c r="Y3" i="5"/>
  <c r="H3" i="5"/>
  <c r="I3" i="5"/>
  <c r="J3" i="5"/>
  <c r="L3" i="5"/>
  <c r="Y2" i="5"/>
  <c r="H2" i="5"/>
  <c r="I2" i="5"/>
  <c r="J2" i="5"/>
  <c r="L2" i="5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B110" i="3"/>
  <c r="J101" i="3"/>
  <c r="K101" i="3"/>
  <c r="O101" i="3"/>
  <c r="H101" i="3"/>
  <c r="G101" i="3"/>
  <c r="Q101" i="3"/>
  <c r="N101" i="3"/>
  <c r="J100" i="3"/>
  <c r="K100" i="3"/>
  <c r="O100" i="3"/>
  <c r="H100" i="3"/>
  <c r="G100" i="3"/>
  <c r="Q100" i="3"/>
  <c r="N100" i="3"/>
  <c r="J99" i="3"/>
  <c r="K99" i="3"/>
  <c r="O99" i="3"/>
  <c r="H99" i="3"/>
  <c r="G99" i="3"/>
  <c r="Q99" i="3"/>
  <c r="N99" i="3"/>
  <c r="J98" i="3"/>
  <c r="K98" i="3"/>
  <c r="O98" i="3"/>
  <c r="H98" i="3"/>
  <c r="G98" i="3"/>
  <c r="Q98" i="3"/>
  <c r="N98" i="3"/>
  <c r="J97" i="3"/>
  <c r="K97" i="3"/>
  <c r="O97" i="3"/>
  <c r="H97" i="3"/>
  <c r="G97" i="3"/>
  <c r="Q97" i="3"/>
  <c r="N97" i="3"/>
  <c r="J96" i="3"/>
  <c r="K96" i="3"/>
  <c r="O96" i="3"/>
  <c r="H96" i="3"/>
  <c r="G96" i="3"/>
  <c r="Q96" i="3"/>
  <c r="N96" i="3"/>
  <c r="J95" i="3"/>
  <c r="K95" i="3"/>
  <c r="O95" i="3"/>
  <c r="H95" i="3"/>
  <c r="G95" i="3"/>
  <c r="Q95" i="3"/>
  <c r="N95" i="3"/>
  <c r="J94" i="3"/>
  <c r="K94" i="3"/>
  <c r="O94" i="3"/>
  <c r="H94" i="3"/>
  <c r="G94" i="3"/>
  <c r="Q94" i="3"/>
  <c r="N94" i="3"/>
  <c r="J93" i="3"/>
  <c r="K93" i="3"/>
  <c r="O93" i="3"/>
  <c r="H93" i="3"/>
  <c r="G93" i="3"/>
  <c r="Q93" i="3"/>
  <c r="N93" i="3"/>
  <c r="J92" i="3"/>
  <c r="K92" i="3"/>
  <c r="O92" i="3"/>
  <c r="H92" i="3"/>
  <c r="G92" i="3"/>
  <c r="Q92" i="3"/>
  <c r="N92" i="3"/>
  <c r="J91" i="3"/>
  <c r="K91" i="3"/>
  <c r="O91" i="3"/>
  <c r="H91" i="3"/>
  <c r="G91" i="3"/>
  <c r="Q91" i="3"/>
  <c r="N91" i="3"/>
  <c r="J90" i="3"/>
  <c r="K90" i="3"/>
  <c r="O90" i="3"/>
  <c r="H90" i="3"/>
  <c r="G90" i="3"/>
  <c r="Q90" i="3"/>
  <c r="N90" i="3"/>
  <c r="J89" i="3"/>
  <c r="K89" i="3"/>
  <c r="O89" i="3"/>
  <c r="H89" i="3"/>
  <c r="G89" i="3"/>
  <c r="Q89" i="3"/>
  <c r="N89" i="3"/>
  <c r="J88" i="3"/>
  <c r="K88" i="3"/>
  <c r="O88" i="3"/>
  <c r="H88" i="3"/>
  <c r="G88" i="3"/>
  <c r="Q88" i="3"/>
  <c r="N88" i="3"/>
  <c r="J87" i="3"/>
  <c r="K87" i="3"/>
  <c r="O87" i="3"/>
  <c r="H87" i="3"/>
  <c r="G87" i="3"/>
  <c r="Q87" i="3"/>
  <c r="N87" i="3"/>
  <c r="J86" i="3"/>
  <c r="K86" i="3"/>
  <c r="O86" i="3"/>
  <c r="H86" i="3"/>
  <c r="G86" i="3"/>
  <c r="Q86" i="3"/>
  <c r="N86" i="3"/>
  <c r="J85" i="3"/>
  <c r="K85" i="3"/>
  <c r="O85" i="3"/>
  <c r="H85" i="3"/>
  <c r="G85" i="3"/>
  <c r="Q85" i="3"/>
  <c r="N85" i="3"/>
  <c r="J84" i="3"/>
  <c r="K84" i="3"/>
  <c r="O84" i="3"/>
  <c r="H84" i="3"/>
  <c r="G84" i="3"/>
  <c r="Q84" i="3"/>
  <c r="N84" i="3"/>
  <c r="J83" i="3"/>
  <c r="K83" i="3"/>
  <c r="O83" i="3"/>
  <c r="H83" i="3"/>
  <c r="G83" i="3"/>
  <c r="Q83" i="3"/>
  <c r="N83" i="3"/>
  <c r="J82" i="3"/>
  <c r="K82" i="3"/>
  <c r="O82" i="3"/>
  <c r="H82" i="3"/>
  <c r="G82" i="3"/>
  <c r="Q82" i="3"/>
  <c r="N82" i="3"/>
  <c r="J81" i="3"/>
  <c r="K81" i="3"/>
  <c r="O81" i="3"/>
  <c r="H81" i="3"/>
  <c r="G81" i="3"/>
  <c r="Q81" i="3"/>
  <c r="N81" i="3"/>
  <c r="J80" i="3"/>
  <c r="K80" i="3"/>
  <c r="O80" i="3"/>
  <c r="H80" i="3"/>
  <c r="G80" i="3"/>
  <c r="Q80" i="3"/>
  <c r="N80" i="3"/>
  <c r="J79" i="3"/>
  <c r="K79" i="3"/>
  <c r="O79" i="3"/>
  <c r="H79" i="3"/>
  <c r="G79" i="3"/>
  <c r="Q79" i="3"/>
  <c r="N79" i="3"/>
  <c r="J78" i="3"/>
  <c r="K78" i="3"/>
  <c r="O78" i="3"/>
  <c r="H78" i="3"/>
  <c r="G78" i="3"/>
  <c r="Q78" i="3"/>
  <c r="N78" i="3"/>
  <c r="J77" i="3"/>
  <c r="K77" i="3"/>
  <c r="O77" i="3"/>
  <c r="H77" i="3"/>
  <c r="G77" i="3"/>
  <c r="Q77" i="3"/>
  <c r="N77" i="3"/>
  <c r="J76" i="3"/>
  <c r="K76" i="3"/>
  <c r="O76" i="3"/>
  <c r="H76" i="3"/>
  <c r="G76" i="3"/>
  <c r="Q76" i="3"/>
  <c r="N76" i="3"/>
  <c r="J75" i="3"/>
  <c r="K75" i="3"/>
  <c r="O75" i="3"/>
  <c r="H75" i="3"/>
  <c r="G75" i="3"/>
  <c r="Q75" i="3"/>
  <c r="N75" i="3"/>
  <c r="J74" i="3"/>
  <c r="K74" i="3"/>
  <c r="O74" i="3"/>
  <c r="H74" i="3"/>
  <c r="G74" i="3"/>
  <c r="Q74" i="3"/>
  <c r="N74" i="3"/>
  <c r="J73" i="3"/>
  <c r="K73" i="3"/>
  <c r="O73" i="3"/>
  <c r="H73" i="3"/>
  <c r="G73" i="3"/>
  <c r="Q73" i="3"/>
  <c r="N73" i="3"/>
  <c r="J72" i="3"/>
  <c r="K72" i="3"/>
  <c r="O72" i="3"/>
  <c r="H72" i="3"/>
  <c r="G72" i="3"/>
  <c r="Q72" i="3"/>
  <c r="N72" i="3"/>
  <c r="J71" i="3"/>
  <c r="K71" i="3"/>
  <c r="O71" i="3"/>
  <c r="H71" i="3"/>
  <c r="G71" i="3"/>
  <c r="Q71" i="3"/>
  <c r="N71" i="3"/>
  <c r="J70" i="3"/>
  <c r="K70" i="3"/>
  <c r="O70" i="3"/>
  <c r="H70" i="3"/>
  <c r="G70" i="3"/>
  <c r="Q70" i="3"/>
  <c r="N70" i="3"/>
  <c r="J69" i="3"/>
  <c r="K69" i="3"/>
  <c r="O69" i="3"/>
  <c r="H69" i="3"/>
  <c r="G69" i="3"/>
  <c r="Q69" i="3"/>
  <c r="N69" i="3"/>
  <c r="J68" i="3"/>
  <c r="K68" i="3"/>
  <c r="O68" i="3"/>
  <c r="H68" i="3"/>
  <c r="G68" i="3"/>
  <c r="Q68" i="3"/>
  <c r="N68" i="3"/>
  <c r="J67" i="3"/>
  <c r="K67" i="3"/>
  <c r="O67" i="3"/>
  <c r="H67" i="3"/>
  <c r="G67" i="3"/>
  <c r="Q67" i="3"/>
  <c r="N67" i="3"/>
  <c r="J66" i="3"/>
  <c r="K66" i="3"/>
  <c r="O66" i="3"/>
  <c r="H66" i="3"/>
  <c r="G66" i="3"/>
  <c r="Q66" i="3"/>
  <c r="N66" i="3"/>
  <c r="J65" i="3"/>
  <c r="K65" i="3"/>
  <c r="O65" i="3"/>
  <c r="H65" i="3"/>
  <c r="G65" i="3"/>
  <c r="Q65" i="3"/>
  <c r="N65" i="3"/>
  <c r="J64" i="3"/>
  <c r="K64" i="3"/>
  <c r="O64" i="3"/>
  <c r="H64" i="3"/>
  <c r="G64" i="3"/>
  <c r="Q64" i="3"/>
  <c r="N64" i="3"/>
  <c r="J63" i="3"/>
  <c r="K63" i="3"/>
  <c r="O63" i="3"/>
  <c r="H63" i="3"/>
  <c r="G63" i="3"/>
  <c r="Q63" i="3"/>
  <c r="N63" i="3"/>
  <c r="J62" i="3"/>
  <c r="K62" i="3"/>
  <c r="O62" i="3"/>
  <c r="H62" i="3"/>
  <c r="G62" i="3"/>
  <c r="Q62" i="3"/>
  <c r="N62" i="3"/>
  <c r="J61" i="3"/>
  <c r="K61" i="3"/>
  <c r="O61" i="3"/>
  <c r="H61" i="3"/>
  <c r="G61" i="3"/>
  <c r="Q61" i="3"/>
  <c r="N61" i="3"/>
  <c r="J60" i="3"/>
  <c r="K60" i="3"/>
  <c r="O60" i="3"/>
  <c r="H60" i="3"/>
  <c r="G60" i="3"/>
  <c r="Q60" i="3"/>
  <c r="N60" i="3"/>
  <c r="J59" i="3"/>
  <c r="K59" i="3"/>
  <c r="O59" i="3"/>
  <c r="H59" i="3"/>
  <c r="G59" i="3"/>
  <c r="Q59" i="3"/>
  <c r="N59" i="3"/>
  <c r="J58" i="3"/>
  <c r="K58" i="3"/>
  <c r="O58" i="3"/>
  <c r="H58" i="3"/>
  <c r="G58" i="3"/>
  <c r="Q58" i="3"/>
  <c r="N58" i="3"/>
  <c r="J57" i="3"/>
  <c r="K57" i="3"/>
  <c r="O57" i="3"/>
  <c r="H57" i="3"/>
  <c r="G57" i="3"/>
  <c r="Q57" i="3"/>
  <c r="N57" i="3"/>
  <c r="J56" i="3"/>
  <c r="K56" i="3"/>
  <c r="O56" i="3"/>
  <c r="H56" i="3"/>
  <c r="G56" i="3"/>
  <c r="Q56" i="3"/>
  <c r="N56" i="3"/>
  <c r="J55" i="3"/>
  <c r="K55" i="3"/>
  <c r="O55" i="3"/>
  <c r="H55" i="3"/>
  <c r="G55" i="3"/>
  <c r="Q55" i="3"/>
  <c r="N55" i="3"/>
  <c r="J54" i="3"/>
  <c r="K54" i="3"/>
  <c r="O54" i="3"/>
  <c r="H54" i="3"/>
  <c r="G54" i="3"/>
  <c r="Q54" i="3"/>
  <c r="N54" i="3"/>
  <c r="J53" i="3"/>
  <c r="K53" i="3"/>
  <c r="O53" i="3"/>
  <c r="H53" i="3"/>
  <c r="G53" i="3"/>
  <c r="Q53" i="3"/>
  <c r="N53" i="3"/>
  <c r="J52" i="3"/>
  <c r="K52" i="3"/>
  <c r="O52" i="3"/>
  <c r="H52" i="3"/>
  <c r="G52" i="3"/>
  <c r="Q52" i="3"/>
  <c r="N52" i="3"/>
  <c r="J51" i="3"/>
  <c r="K51" i="3"/>
  <c r="O51" i="3"/>
  <c r="H51" i="3"/>
  <c r="G51" i="3"/>
  <c r="Q51" i="3"/>
  <c r="N51" i="3"/>
  <c r="J50" i="3"/>
  <c r="K50" i="3"/>
  <c r="O50" i="3"/>
  <c r="H50" i="3"/>
  <c r="G50" i="3"/>
  <c r="Q50" i="3"/>
  <c r="N50" i="3"/>
  <c r="J49" i="3"/>
  <c r="K49" i="3"/>
  <c r="O49" i="3"/>
  <c r="H49" i="3"/>
  <c r="G49" i="3"/>
  <c r="Q49" i="3"/>
  <c r="N49" i="3"/>
  <c r="J48" i="3"/>
  <c r="K48" i="3"/>
  <c r="O48" i="3"/>
  <c r="H48" i="3"/>
  <c r="G48" i="3"/>
  <c r="Q48" i="3"/>
  <c r="N48" i="3"/>
  <c r="J47" i="3"/>
  <c r="K47" i="3"/>
  <c r="O47" i="3"/>
  <c r="H47" i="3"/>
  <c r="G47" i="3"/>
  <c r="Q47" i="3"/>
  <c r="N47" i="3"/>
  <c r="J46" i="3"/>
  <c r="K46" i="3"/>
  <c r="O46" i="3"/>
  <c r="H46" i="3"/>
  <c r="G46" i="3"/>
  <c r="Q46" i="3"/>
  <c r="N46" i="3"/>
  <c r="J45" i="3"/>
  <c r="K45" i="3"/>
  <c r="O45" i="3"/>
  <c r="H45" i="3"/>
  <c r="G45" i="3"/>
  <c r="Q45" i="3"/>
  <c r="N45" i="3"/>
  <c r="J44" i="3"/>
  <c r="K44" i="3"/>
  <c r="O44" i="3"/>
  <c r="H44" i="3"/>
  <c r="G44" i="3"/>
  <c r="Q44" i="3"/>
  <c r="N44" i="3"/>
  <c r="J43" i="3"/>
  <c r="K43" i="3"/>
  <c r="O43" i="3"/>
  <c r="H43" i="3"/>
  <c r="G43" i="3"/>
  <c r="Q43" i="3"/>
  <c r="N43" i="3"/>
  <c r="J42" i="3"/>
  <c r="K42" i="3"/>
  <c r="O42" i="3"/>
  <c r="H42" i="3"/>
  <c r="G42" i="3"/>
  <c r="Q42" i="3"/>
  <c r="N42" i="3"/>
  <c r="J41" i="3"/>
  <c r="K41" i="3"/>
  <c r="O41" i="3"/>
  <c r="H41" i="3"/>
  <c r="G41" i="3"/>
  <c r="Q41" i="3"/>
  <c r="N41" i="3"/>
  <c r="J40" i="3"/>
  <c r="K40" i="3"/>
  <c r="O40" i="3"/>
  <c r="H40" i="3"/>
  <c r="G40" i="3"/>
  <c r="Q40" i="3"/>
  <c r="N40" i="3"/>
  <c r="J39" i="3"/>
  <c r="K39" i="3"/>
  <c r="O39" i="3"/>
  <c r="H39" i="3"/>
  <c r="G39" i="3"/>
  <c r="Q39" i="3"/>
  <c r="N39" i="3"/>
  <c r="J38" i="3"/>
  <c r="K38" i="3"/>
  <c r="O38" i="3"/>
  <c r="H38" i="3"/>
  <c r="G38" i="3"/>
  <c r="Q38" i="3"/>
  <c r="N38" i="3"/>
  <c r="J37" i="3"/>
  <c r="K37" i="3"/>
  <c r="O37" i="3"/>
  <c r="H37" i="3"/>
  <c r="G37" i="3"/>
  <c r="Q37" i="3"/>
  <c r="N37" i="3"/>
  <c r="J36" i="3"/>
  <c r="K36" i="3"/>
  <c r="O36" i="3"/>
  <c r="H36" i="3"/>
  <c r="G36" i="3"/>
  <c r="Q36" i="3"/>
  <c r="N36" i="3"/>
  <c r="J35" i="3"/>
  <c r="K35" i="3"/>
  <c r="O35" i="3"/>
  <c r="H35" i="3"/>
  <c r="G35" i="3"/>
  <c r="Q35" i="3"/>
  <c r="N35" i="3"/>
  <c r="J34" i="3"/>
  <c r="K34" i="3"/>
  <c r="O34" i="3"/>
  <c r="H34" i="3"/>
  <c r="G34" i="3"/>
  <c r="Q34" i="3"/>
  <c r="N34" i="3"/>
  <c r="J33" i="3"/>
  <c r="K33" i="3"/>
  <c r="O33" i="3"/>
  <c r="H33" i="3"/>
  <c r="G33" i="3"/>
  <c r="Q33" i="3"/>
  <c r="N33" i="3"/>
  <c r="J32" i="3"/>
  <c r="K32" i="3"/>
  <c r="O32" i="3"/>
  <c r="H32" i="3"/>
  <c r="G32" i="3"/>
  <c r="Q32" i="3"/>
  <c r="N32" i="3"/>
  <c r="J31" i="3"/>
  <c r="K31" i="3"/>
  <c r="O31" i="3"/>
  <c r="H31" i="3"/>
  <c r="G31" i="3"/>
  <c r="Q31" i="3"/>
  <c r="N31" i="3"/>
  <c r="J30" i="3"/>
  <c r="K30" i="3"/>
  <c r="O30" i="3"/>
  <c r="H30" i="3"/>
  <c r="G30" i="3"/>
  <c r="Q30" i="3"/>
  <c r="N30" i="3"/>
  <c r="J29" i="3"/>
  <c r="K29" i="3"/>
  <c r="O29" i="3"/>
  <c r="H29" i="3"/>
  <c r="G29" i="3"/>
  <c r="Q29" i="3"/>
  <c r="N29" i="3"/>
  <c r="J28" i="3"/>
  <c r="K28" i="3"/>
  <c r="O28" i="3"/>
  <c r="H28" i="3"/>
  <c r="G28" i="3"/>
  <c r="Q28" i="3"/>
  <c r="N28" i="3"/>
  <c r="J27" i="3"/>
  <c r="K27" i="3"/>
  <c r="O27" i="3"/>
  <c r="H27" i="3"/>
  <c r="G27" i="3"/>
  <c r="Q27" i="3"/>
  <c r="N27" i="3"/>
  <c r="J26" i="3"/>
  <c r="K26" i="3"/>
  <c r="O26" i="3"/>
  <c r="H26" i="3"/>
  <c r="G26" i="3"/>
  <c r="Q26" i="3"/>
  <c r="N26" i="3"/>
  <c r="J25" i="3"/>
  <c r="K25" i="3"/>
  <c r="O25" i="3"/>
  <c r="H25" i="3"/>
  <c r="G25" i="3"/>
  <c r="Q25" i="3"/>
  <c r="N25" i="3"/>
  <c r="J24" i="3"/>
  <c r="K24" i="3"/>
  <c r="O24" i="3"/>
  <c r="H24" i="3"/>
  <c r="G24" i="3"/>
  <c r="Q24" i="3"/>
  <c r="N24" i="3"/>
  <c r="J23" i="3"/>
  <c r="K23" i="3"/>
  <c r="O23" i="3"/>
  <c r="H23" i="3"/>
  <c r="G23" i="3"/>
  <c r="Q23" i="3"/>
  <c r="N23" i="3"/>
  <c r="J22" i="3"/>
  <c r="K22" i="3"/>
  <c r="O22" i="3"/>
  <c r="H22" i="3"/>
  <c r="G22" i="3"/>
  <c r="Q22" i="3"/>
  <c r="N22" i="3"/>
  <c r="J21" i="3"/>
  <c r="K21" i="3"/>
  <c r="O21" i="3"/>
  <c r="H21" i="3"/>
  <c r="G21" i="3"/>
  <c r="Q21" i="3"/>
  <c r="N21" i="3"/>
  <c r="J20" i="3"/>
  <c r="K20" i="3"/>
  <c r="O20" i="3"/>
  <c r="H20" i="3"/>
  <c r="G20" i="3"/>
  <c r="Q20" i="3"/>
  <c r="N20" i="3"/>
  <c r="J19" i="3"/>
  <c r="K19" i="3"/>
  <c r="O19" i="3"/>
  <c r="H19" i="3"/>
  <c r="G19" i="3"/>
  <c r="Q19" i="3"/>
  <c r="N19" i="3"/>
  <c r="J18" i="3"/>
  <c r="K18" i="3"/>
  <c r="O18" i="3"/>
  <c r="H18" i="3"/>
  <c r="G18" i="3"/>
  <c r="Q18" i="3"/>
  <c r="N18" i="3"/>
  <c r="J17" i="3"/>
  <c r="K17" i="3"/>
  <c r="O17" i="3"/>
  <c r="H17" i="3"/>
  <c r="G17" i="3"/>
  <c r="Q17" i="3"/>
  <c r="N17" i="3"/>
  <c r="J16" i="3"/>
  <c r="K16" i="3"/>
  <c r="O16" i="3"/>
  <c r="H16" i="3"/>
  <c r="G16" i="3"/>
  <c r="Q16" i="3"/>
  <c r="N16" i="3"/>
  <c r="J15" i="3"/>
  <c r="K15" i="3"/>
  <c r="O15" i="3"/>
  <c r="H15" i="3"/>
  <c r="G15" i="3"/>
  <c r="Q15" i="3"/>
  <c r="N15" i="3"/>
  <c r="J14" i="3"/>
  <c r="K14" i="3"/>
  <c r="O14" i="3"/>
  <c r="H14" i="3"/>
  <c r="G14" i="3"/>
  <c r="Q14" i="3"/>
  <c r="N14" i="3"/>
  <c r="J13" i="3"/>
  <c r="K13" i="3"/>
  <c r="O13" i="3"/>
  <c r="H13" i="3"/>
  <c r="G13" i="3"/>
  <c r="Q13" i="3"/>
  <c r="N13" i="3"/>
  <c r="J12" i="3"/>
  <c r="K12" i="3"/>
  <c r="O12" i="3"/>
  <c r="H12" i="3"/>
  <c r="G12" i="3"/>
  <c r="Q12" i="3"/>
  <c r="N12" i="3"/>
  <c r="J11" i="3"/>
  <c r="K11" i="3"/>
  <c r="O11" i="3"/>
  <c r="H11" i="3"/>
  <c r="G11" i="3"/>
  <c r="Q11" i="3"/>
  <c r="N11" i="3"/>
  <c r="J10" i="3"/>
  <c r="K10" i="3"/>
  <c r="O10" i="3"/>
  <c r="H10" i="3"/>
  <c r="G10" i="3"/>
  <c r="Q10" i="3"/>
  <c r="N10" i="3"/>
  <c r="J9" i="3"/>
  <c r="K9" i="3"/>
  <c r="O9" i="3"/>
  <c r="H9" i="3"/>
  <c r="G9" i="3"/>
  <c r="Q9" i="3"/>
  <c r="N9" i="3"/>
  <c r="J8" i="3"/>
  <c r="K8" i="3"/>
  <c r="O8" i="3"/>
  <c r="H8" i="3"/>
  <c r="G8" i="3"/>
  <c r="Q8" i="3"/>
  <c r="N8" i="3"/>
  <c r="J7" i="3"/>
  <c r="K7" i="3"/>
  <c r="O7" i="3"/>
  <c r="H7" i="3"/>
  <c r="G7" i="3"/>
  <c r="Q7" i="3"/>
  <c r="N7" i="3"/>
  <c r="J6" i="3"/>
  <c r="K6" i="3"/>
  <c r="O6" i="3"/>
  <c r="H6" i="3"/>
  <c r="G6" i="3"/>
  <c r="Q6" i="3"/>
  <c r="N6" i="3"/>
  <c r="J5" i="3"/>
  <c r="K5" i="3"/>
  <c r="O5" i="3"/>
  <c r="H5" i="3"/>
  <c r="G5" i="3"/>
  <c r="Q5" i="3"/>
  <c r="N5" i="3"/>
  <c r="J4" i="3"/>
  <c r="K4" i="3"/>
  <c r="O4" i="3"/>
  <c r="H4" i="3"/>
  <c r="G4" i="3"/>
  <c r="Q4" i="3"/>
  <c r="N4" i="3"/>
  <c r="J3" i="3"/>
  <c r="K3" i="3"/>
  <c r="O3" i="3"/>
  <c r="H3" i="3"/>
  <c r="G3" i="3"/>
  <c r="Q3" i="3"/>
  <c r="N3" i="3"/>
  <c r="J2" i="3"/>
  <c r="K2" i="3"/>
  <c r="O2" i="3"/>
  <c r="H2" i="3"/>
  <c r="G2" i="3"/>
  <c r="Q2" i="3"/>
  <c r="N2" i="3"/>
  <c r="B29" i="1"/>
  <c r="C29" i="1"/>
  <c r="D29" i="1"/>
  <c r="E29" i="1"/>
  <c r="F29" i="1"/>
  <c r="A30" i="1"/>
  <c r="B30" i="1"/>
  <c r="C30" i="1"/>
  <c r="D30" i="1"/>
  <c r="E30" i="1"/>
  <c r="F30" i="1"/>
  <c r="G2" i="4"/>
</calcChain>
</file>

<file path=xl/comments1.xml><?xml version="1.0" encoding="utf-8"?>
<comments xmlns="http://schemas.openxmlformats.org/spreadsheetml/2006/main">
  <authors>
    <author>IST</author>
    <author>CSD</author>
  </authors>
  <commentList>
    <comment ref="A3" authorId="0">
      <text>
        <r>
          <rPr>
            <b/>
            <sz val="10"/>
            <color indexed="81"/>
            <rFont val="Tahoma"/>
          </rPr>
          <t>IST:</t>
        </r>
        <r>
          <rPr>
            <sz val="10"/>
            <color indexed="81"/>
            <rFont val="Tahoma"/>
          </rPr>
          <t xml:space="preserve">
Probability of transmission during a single unprotected set act between an infected male and uninfected female when the male is past the primary infection but his CD4 count is greater than 350 cells/microL</t>
        </r>
      </text>
    </comment>
    <comment ref="J3" authorId="0">
      <text>
        <r>
          <rPr>
            <b/>
            <sz val="10"/>
            <color indexed="81"/>
            <rFont val="Tahoma"/>
          </rPr>
          <t>IST:</t>
        </r>
        <r>
          <rPr>
            <sz val="10"/>
            <color indexed="81"/>
            <rFont val="Tahoma"/>
          </rPr>
          <t xml:space="preserve">
See: Science DOI: 10.1126/science.1180556 
Evolutionary Dynamics of Complex Networks of HIV Drug-Resistant Strains: The Case of San Francisco
http://www.sciencemag.org/content/suppl/2010/01/14/science.1180556.DC1/Smith.SOM.pdf
Table S2: Viral load and transmission probabilities for individuals infected with wild-type strains. Viral load is high during primary infection, low after primary infection (when the CD4 count is greater than 350 cells/microL) and high once the CD4 count drops below 350 cells/microL.  Viral load ranges were estimated from empirical studies (S27, S32, S45-S50).</t>
        </r>
      </text>
    </comment>
    <comment ref="A6" authorId="1">
      <text>
        <r>
          <rPr>
            <b/>
            <sz val="8"/>
            <color indexed="81"/>
            <rFont val="Tahoma"/>
          </rPr>
          <t>multiplicative factor of the base transmissibility that yields the overall transmissibility if the male is in a later stage of infection whereby his has less than 350 cells/microL</t>
        </r>
      </text>
    </comment>
    <comment ref="J6" authorId="0">
      <text>
        <r>
          <rPr>
            <b/>
            <sz val="10"/>
            <color indexed="81"/>
            <rFont val="Tahoma"/>
          </rPr>
          <t>IST:</t>
        </r>
        <r>
          <rPr>
            <sz val="10"/>
            <color indexed="81"/>
            <rFont val="Tahoma"/>
          </rPr>
          <t xml:space="preserve">
See: Science DOI: 10.1126/science.1180556 
Evolutionary Dynamics of Complex Networks of HIV Drug-Resistant Strains: The Case of San Francisco
http://www.sciencemag.org/content/suppl/2010/01/14/science.1180556.DC1/Smith.SOM.pdf
Table S2: Take the min and max of the ratio between treatment and primary infection.  Range is 1.29 to 2.35, mean is 1.82</t>
        </r>
      </text>
    </comment>
    <comment ref="A7" authorId="1">
      <text>
        <r>
          <rPr>
            <b/>
            <sz val="8"/>
            <color indexed="81"/>
            <rFont val="Tahoma"/>
          </rPr>
          <t>multiplicative factor of the base transmissibility that yields the overall transmissibility if the male is on ART and is compliant.</t>
        </r>
      </text>
    </comment>
    <comment ref="J7" authorId="0">
      <text>
        <r>
          <rPr>
            <b/>
            <sz val="10"/>
            <color indexed="81"/>
            <rFont val="Tahoma"/>
          </rPr>
          <t>IST:</t>
        </r>
        <r>
          <rPr>
            <sz val="10"/>
            <color indexed="81"/>
            <rFont val="Tahoma"/>
          </rPr>
          <t xml:space="preserve">
</t>
        </r>
        <r>
          <rPr>
            <b/>
            <sz val="10"/>
            <color indexed="81"/>
            <rFont val="Tahoma"/>
          </rPr>
          <t xml:space="preserve">See: Cohen et al. (2011) </t>
        </r>
        <r>
          <rPr>
            <sz val="10"/>
            <color indexed="81"/>
            <rFont val="Tahoma"/>
          </rPr>
          <t xml:space="preserve">Prevention of HIV-1 Infection with Early Antiretroviral Therapy.  Table 2, Hazard for total linked transmission.  
</t>
        </r>
        <r>
          <rPr>
            <b/>
            <sz val="10"/>
            <color indexed="81"/>
            <rFont val="Tahoma"/>
          </rPr>
          <t>reduction factor is thus 0.01-0.27 with peak at 0.04.</t>
        </r>
        <r>
          <rPr>
            <sz val="10"/>
            <color indexed="81"/>
            <rFont val="Tahoma"/>
          </rPr>
          <t xml:space="preserve">
</t>
        </r>
        <r>
          <rPr>
            <b/>
            <sz val="10"/>
            <color indexed="81"/>
            <rFont val="Tahoma"/>
          </rPr>
          <t>From Previous NY Times Article:</t>
        </r>
        <r>
          <rPr>
            <sz val="10"/>
            <color indexed="81"/>
            <rFont val="Tahoma"/>
          </rPr>
          <t xml:space="preserve"> ART (Treatment As Prevention) (HPN 052) 96%
(HR  0.037) 95% CIs for HR, 0.005-0.272; exact log-rank test statistic, 13, p&lt;1.15 10-7
*Total of 39 cases of HIV infection among the previously uninfected partners. Of those, 28 were linked through genetic analysis to the HIV-infected partner. Of the 28 linked infections, 27 infections occurred among the 877 couples in which the HIV-infected partner was off ART. Only one case of HIV infection occurred among those couples where the HIV-infected partner was on ART
Ref-HPTN 052, unpublished abstract
</t>
        </r>
      </text>
    </comment>
    <comment ref="A8" authorId="0">
      <text>
        <r>
          <rPr>
            <b/>
            <sz val="10"/>
            <color indexed="81"/>
            <rFont val="Tahoma"/>
          </rPr>
          <t>multiplicative factor of the base transmissibility that yields the overall transmissibility if either the male or the female has other STDs.</t>
        </r>
      </text>
    </comment>
    <comment ref="J8" authorId="0">
      <text>
        <r>
          <rPr>
            <b/>
            <sz val="10"/>
            <color indexed="81"/>
            <rFont val="Tahoma"/>
          </rPr>
          <t>IST:</t>
        </r>
        <r>
          <rPr>
            <sz val="10"/>
            <color indexed="81"/>
            <rFont val="Tahoma"/>
          </rPr>
          <t xml:space="preserve">
see Sex Transm Inf 1999;75:3–17
range is 2 to 23
Table 4 gives the peak for HSV2 at 4.1. </t>
        </r>
      </text>
    </comment>
    <comment ref="A9" authorId="1">
      <text>
        <r>
          <rPr>
            <b/>
            <sz val="8"/>
            <color indexed="81"/>
            <rFont val="Tahoma"/>
          </rPr>
          <t>multiplicative factor of the base transmissibility that yields the overall transmissibility if the female is on PrEP.</t>
        </r>
      </text>
    </comment>
    <comment ref="J9" authorId="0">
      <text>
        <r>
          <rPr>
            <b/>
            <sz val="10"/>
            <color indexed="81"/>
            <rFont val="Tahoma"/>
          </rPr>
          <t xml:space="preserve">IST:
Factor = 1- efficacy.
The PrEP IPREX study shows that efficacy ranges from 15.4% to 87.5%
with peak at 43.8%:
Myers and Mayer (2011) http://dx.doi.org/10.1089/apc.2010.0222
</t>
        </r>
        <r>
          <rPr>
            <sz val="10"/>
            <color indexed="81"/>
            <rFont val="Tahoma"/>
          </rPr>
          <t xml:space="preserve">
PreP (IPREX)-
OVERALL RESULT 43.8% 95% CI 
15.4 to 62.6%; p=.005
PreP (IPREX)-
50% or more adherence 50.2% 95% CI 17.9-69.7%; P=0.006
PreP (IPREX)-
90% or more adherence 72.8% 95% CI 40.7-87.5%; P=0.001
</t>
        </r>
        <r>
          <rPr>
            <i/>
            <u/>
            <sz val="10"/>
            <color indexed="81"/>
            <rFont val="Tahoma"/>
            <family val="2"/>
          </rPr>
          <t>Thus 1-0.438 = 0.562 for a peak 
1-0.154 =  0.8460 for a maximum
1-0.875 = 0.1250 for a minimum</t>
        </r>
        <r>
          <rPr>
            <sz val="10"/>
            <color indexed="81"/>
            <rFont val="Tahoma"/>
          </rPr>
          <t xml:space="preserve">
</t>
        </r>
        <r>
          <rPr>
            <b/>
            <sz val="10"/>
            <color indexed="81"/>
            <rFont val="Tahoma"/>
          </rPr>
          <t>Tenofovir Gel 39% overall
Quarraisha et al. (2010) http://dx.doi.org/10.1126/science.1193748</t>
        </r>
        <r>
          <rPr>
            <sz val="10"/>
            <color indexed="81"/>
            <rFont val="Tahoma"/>
          </rPr>
          <t xml:space="preserve">
54% (adherence &gt;80%)
38% (intermediate 50-80%)
28% (low &lt; 50%) 5.6 per 100 women-years (person time of
study observation) (38 out of 680.6 women-years) compared with 9.1 per 100 women-years (60 out of
660.7 women-years) in the placebo gel arm (incidence rate ratio = 0.61; P = 0.017 Ref: Effectiveness and Safety of Tenofovir Gel, an Antiretroviral Microbicide, for the Prevention of HIV Infection in WomenScience 3 September 2010: 
Vol. 329 no. 5996 pp. 1168-1174
(see Figure 2 and Table 2)
</t>
        </r>
        <r>
          <rPr>
            <i/>
            <u/>
            <sz val="10"/>
            <color indexed="81"/>
            <rFont val="Tahoma"/>
            <family val="2"/>
          </rPr>
          <t>1-0.39 = 0. 61 which is included in the range above (0.125 to 0.846)</t>
        </r>
      </text>
    </comment>
    <comment ref="A16" authorId="0">
      <text>
        <r>
          <rPr>
            <b/>
            <sz val="10"/>
            <color indexed="81"/>
            <rFont val="Tahoma"/>
          </rPr>
          <t xml:space="preserve">Probability that a pregnant  HIV+ve woman will infect her baby during pregnancy. </t>
        </r>
      </text>
    </comment>
    <comment ref="J16" authorId="0">
      <text>
        <r>
          <rPr>
            <b/>
            <sz val="10"/>
            <color indexed="81"/>
            <rFont val="Tahoma"/>
          </rPr>
          <t xml:space="preserve">IST:
see:  Cock et al. (2000) Prevention of Mother-to-Child HIV Transmission in Resource-Poor Countries
http://jama.ama-assn.org/content/283/9/1175.long
</t>
        </r>
        <r>
          <rPr>
            <sz val="10"/>
            <color indexed="81"/>
            <rFont val="Tahoma"/>
          </rPr>
          <t xml:space="preserve">10 to 20%
</t>
        </r>
        <r>
          <rPr>
            <b/>
            <sz val="10"/>
            <color indexed="81"/>
            <rFont val="Tahoma"/>
          </rPr>
          <t>However we now use: mode of 0.255 and range 0.184 to  0.325</t>
        </r>
        <r>
          <rPr>
            <sz val="10"/>
            <color indexed="81"/>
            <rFont val="Tahoma"/>
          </rPr>
          <t xml:space="preserve">
see:
E. M. Connor, R. S. Sperling, R. Gelber, P. Kiselev, G. Scott, M. J. O’Sullivan, R. VanDyke, M. Bey,
W. Shearer, and R. L. Jacobson. Reduction of maternal-infant transmission of human immunodeficiency
virus type 1 with zidovudine treatment. pediatric aids clinical trials group protocol 076 study group. N Engl J
Med, 331(18):1173–1180, Nov 1994. doi: 10.1056/NEJM199411033311801. URL http://dx.doi.org/10.
1056/NEJM199411033311801.
</t>
        </r>
      </text>
    </comment>
    <comment ref="A17" authorId="1">
      <text>
        <r>
          <rPr>
            <b/>
            <sz val="8"/>
            <color indexed="81"/>
            <rFont val="Tahoma"/>
          </rPr>
          <t>Multaplicative factor that lowers the mother to child probability of transmission  during pregnancy due to the mother being on ART.</t>
        </r>
      </text>
    </comment>
    <comment ref="J17" authorId="0">
      <text>
        <r>
          <rPr>
            <b/>
            <sz val="10"/>
            <color indexed="81"/>
            <rFont val="Tahoma"/>
          </rPr>
          <t>IST:</t>
        </r>
        <r>
          <rPr>
            <sz val="10"/>
            <color indexed="81"/>
            <rFont val="Tahoma"/>
          </rPr>
          <t xml:space="preserve">
</t>
        </r>
        <r>
          <rPr>
            <b/>
            <sz val="10"/>
            <color indexed="81"/>
            <rFont val="Tahoma"/>
          </rPr>
          <t>see:</t>
        </r>
        <r>
          <rPr>
            <sz val="10"/>
            <color indexed="81"/>
            <rFont val="Tahoma"/>
          </rPr>
          <t xml:space="preserve"> </t>
        </r>
        <r>
          <rPr>
            <b/>
            <sz val="10"/>
            <color indexed="81"/>
            <rFont val="Tahoma"/>
          </rPr>
          <t>Zutlevics, T. (2006). "Should ART be offered to HIV-serodiscordant and HIV-seroconcordant couples: an ethical discussion?" Hum Reprod 21(8): 1956-1960.</t>
        </r>
        <r>
          <rPr>
            <sz val="10"/>
            <color indexed="81"/>
            <rFont val="Tahoma"/>
          </rPr>
          <t xml:space="preserve">
This paper states that with treatment - risks fall to 1 to 2% thus the multiplicative reduction factor that multiplies the MTCT prob is between 0.05 and 0.2. Thus, a factor of 1/5 to 1/10
</t>
        </r>
        <r>
          <rPr>
            <b/>
            <sz val="10"/>
            <color indexed="81"/>
            <rFont val="Tahoma"/>
          </rPr>
          <t>However now we use mode of 0.325 and range 0.179 to 0.593</t>
        </r>
        <r>
          <rPr>
            <sz val="10"/>
            <color indexed="81"/>
            <rFont val="Tahoma"/>
          </rPr>
          <t xml:space="preserve">
see:
E. M. Connor, R. S. Sperling, R. Gelber, P. Kiselev, G. Scott, M. J. O’Sullivan, R. VanDyke, M. Bey,
W. Shearer, and R. L. Jacobson. Reduction of maternal-infant transmission of human immunodeficiency
virus type 1 with zidovudine treatment. pediatric aids clinical trials group protocol 076 study group. N Engl J
Med, 331(18):1173–1180, Nov 1994. doi: 10.1056/NEJM199411033311801. URL http://dx.doi.org/10.
1056/NEJM199411033311801.</t>
        </r>
      </text>
    </comment>
    <comment ref="A24" authorId="0">
      <text>
        <r>
          <rPr>
            <b/>
            <sz val="10"/>
            <color indexed="81"/>
            <rFont val="Tahoma"/>
          </rPr>
          <t>Number of unprotected sex acts between an infected male and an uninfected female - prior to the woman being tested for either pregancy and HIV infection.</t>
        </r>
      </text>
    </comment>
  </commentList>
</comments>
</file>

<file path=xl/comments2.xml><?xml version="1.0" encoding="utf-8"?>
<comments xmlns="http://schemas.openxmlformats.org/spreadsheetml/2006/main">
  <authors>
    <author>The RAND Corporation</author>
  </authors>
  <commentList>
    <comment ref="D10" authorId="0">
      <text>
        <r>
          <rPr>
            <b/>
            <sz val="9"/>
            <color indexed="81"/>
            <rFont val="Arial"/>
          </rPr>
          <t>The RAND Corporation:</t>
        </r>
        <r>
          <rPr>
            <sz val="9"/>
            <color indexed="81"/>
            <rFont val="Arial"/>
          </rPr>
          <t xml:space="preserve">
Transmission scroller
</t>
        </r>
      </text>
    </comment>
    <comment ref="C11" authorId="0">
      <text>
        <r>
          <rPr>
            <b/>
            <sz val="9"/>
            <color indexed="81"/>
            <rFont val="Arial"/>
          </rPr>
          <t>The RAND Corporation:</t>
        </r>
        <r>
          <rPr>
            <sz val="9"/>
            <color indexed="81"/>
            <rFont val="Arial"/>
          </rPr>
          <t xml:space="preserve">
Late infection?</t>
        </r>
      </text>
    </comment>
    <comment ref="D11" authorId="0">
      <text>
        <r>
          <rPr>
            <b/>
            <sz val="9"/>
            <color indexed="81"/>
            <rFont val="Arial"/>
          </rPr>
          <t>The RAND Corporation:</t>
        </r>
        <r>
          <rPr>
            <sz val="9"/>
            <color indexed="81"/>
            <rFont val="Arial"/>
          </rPr>
          <t xml:space="preserve">
Lae Infection Scrller
</t>
        </r>
      </text>
    </comment>
    <comment ref="C12" authorId="0">
      <text>
        <r>
          <rPr>
            <b/>
            <sz val="9"/>
            <color indexed="81"/>
            <rFont val="Arial"/>
          </rPr>
          <t>The RAND Corporation:</t>
        </r>
        <r>
          <rPr>
            <sz val="9"/>
            <color indexed="81"/>
            <rFont val="Arial"/>
          </rPr>
          <t xml:space="preserve">
Treatment?</t>
        </r>
      </text>
    </comment>
    <comment ref="D12" authorId="0">
      <text>
        <r>
          <rPr>
            <b/>
            <sz val="9"/>
            <color indexed="81"/>
            <rFont val="Arial"/>
          </rPr>
          <t>The RAND Corporation:</t>
        </r>
        <r>
          <rPr>
            <sz val="9"/>
            <color indexed="81"/>
            <rFont val="Arial"/>
          </rPr>
          <t xml:space="preserve">
Treatment scroller</t>
        </r>
      </text>
    </comment>
    <comment ref="C13" authorId="0">
      <text>
        <r>
          <rPr>
            <b/>
            <sz val="9"/>
            <color indexed="81"/>
            <rFont val="Arial"/>
          </rPr>
          <t>The RAND Corporation:</t>
        </r>
        <r>
          <rPr>
            <sz val="9"/>
            <color indexed="81"/>
            <rFont val="Arial"/>
          </rPr>
          <t xml:space="preserve">
other STD?</t>
        </r>
      </text>
    </comment>
    <comment ref="D13" authorId="0">
      <text>
        <r>
          <rPr>
            <b/>
            <sz val="9"/>
            <color indexed="81"/>
            <rFont val="Arial"/>
          </rPr>
          <t>The RAND Corporation:</t>
        </r>
        <r>
          <rPr>
            <sz val="9"/>
            <color indexed="81"/>
            <rFont val="Arial"/>
          </rPr>
          <t xml:space="preserve">
other STD scroller
</t>
        </r>
      </text>
    </comment>
    <comment ref="C14" authorId="0">
      <text>
        <r>
          <rPr>
            <b/>
            <sz val="9"/>
            <color indexed="81"/>
            <rFont val="Arial"/>
          </rPr>
          <t>The RAND Corporation:</t>
        </r>
        <r>
          <rPr>
            <sz val="9"/>
            <color indexed="81"/>
            <rFont val="Arial"/>
          </rPr>
          <t xml:space="preserve">
Prep?</t>
        </r>
      </text>
    </comment>
    <comment ref="D14" authorId="0">
      <text>
        <r>
          <rPr>
            <b/>
            <sz val="9"/>
            <color indexed="81"/>
            <rFont val="Arial"/>
          </rPr>
          <t>The RAND Corporation:</t>
        </r>
        <r>
          <rPr>
            <sz val="9"/>
            <color indexed="81"/>
            <rFont val="Arial"/>
          </rPr>
          <t xml:space="preserve">
Prep eff scroller
</t>
        </r>
      </text>
    </comment>
    <comment ref="C15" authorId="0">
      <text>
        <r>
          <rPr>
            <b/>
            <sz val="9"/>
            <color indexed="81"/>
            <rFont val="Arial"/>
          </rPr>
          <t>The RAND Corporation:</t>
        </r>
        <r>
          <rPr>
            <sz val="9"/>
            <color indexed="81"/>
            <rFont val="Arial"/>
          </rPr>
          <t xml:space="preserve">
Prob of conception
</t>
        </r>
      </text>
    </comment>
    <comment ref="D15" authorId="0">
      <text>
        <r>
          <rPr>
            <b/>
            <sz val="9"/>
            <color indexed="81"/>
            <rFont val="Arial"/>
          </rPr>
          <t>The RAND Corporation:</t>
        </r>
        <r>
          <rPr>
            <sz val="9"/>
            <color indexed="81"/>
            <rFont val="Arial"/>
          </rPr>
          <t xml:space="preserve">
Age</t>
        </r>
      </text>
    </comment>
    <comment ref="C16" authorId="0">
      <text>
        <r>
          <rPr>
            <b/>
            <sz val="9"/>
            <color indexed="81"/>
            <rFont val="Arial"/>
          </rPr>
          <t>The RAND Corporation:</t>
        </r>
        <r>
          <rPr>
            <sz val="9"/>
            <color indexed="81"/>
            <rFont val="Arial"/>
          </rPr>
          <t xml:space="preserve">
Prob of delivery
</t>
        </r>
      </text>
    </comment>
  </commentList>
</comments>
</file>

<file path=xl/comments3.xml><?xml version="1.0" encoding="utf-8"?>
<comments xmlns="http://schemas.openxmlformats.org/spreadsheetml/2006/main">
  <authors>
    <author>IST</author>
    <author>The RAND Corporation</author>
  </authors>
  <commentList>
    <comment ref="B1" authorId="0">
      <text>
        <r>
          <rPr>
            <b/>
            <sz val="10"/>
            <color indexed="81"/>
            <rFont val="Tahoma"/>
          </rPr>
          <t>IST:
NOTE - here we are assuming that the probability of conception per sex act = probability of conception during the 3 days of a females fertility in a cycle.
THIS is a bad assumption!! Need to change.</t>
        </r>
      </text>
    </comment>
    <comment ref="C1" authorId="0">
      <text>
        <r>
          <rPr>
            <b/>
            <sz val="10"/>
            <color indexed="81"/>
            <rFont val="Tahoma"/>
          </rPr>
          <t>IST:</t>
        </r>
        <r>
          <rPr>
            <sz val="10"/>
            <color indexed="81"/>
            <rFont val="Tahoma"/>
          </rPr>
          <t xml:space="preserve">
Probabilitity that a preganant woman will successfully deliver a baby.
Van Noord-Zaadstra et al., 1991</t>
        </r>
      </text>
    </comment>
    <comment ref="D1" authorId="1">
      <text>
        <r>
          <rPr>
            <b/>
            <sz val="9"/>
            <color indexed="81"/>
            <rFont val="Arial"/>
          </rPr>
          <t>The RAND Corporation:</t>
        </r>
        <r>
          <rPr>
            <sz val="9"/>
            <color indexed="81"/>
            <rFont val="Arial"/>
          </rPr>
          <t xml:space="preserve">
p = prob of conception per sex act (column B) during one cycle. Here we need the number of sex acts per cycle.
T = threshold probability of conception. That is the minimum probability desired of conceiving. This is defined in Model sheet - cell B20
T=1-(1-p)^N
thus N= log(1-T)/log(1-p)
We then add 0.5 and round.</t>
        </r>
      </text>
    </comment>
  </commentList>
</comments>
</file>

<file path=xl/comments4.xml><?xml version="1.0" encoding="utf-8"?>
<comments xmlns="http://schemas.openxmlformats.org/spreadsheetml/2006/main">
  <authors>
    <author>The RAND Corporation</author>
    <author>IST</author>
  </authors>
  <commentList>
    <comment ref="W1" authorId="0">
      <text>
        <r>
          <rPr>
            <b/>
            <sz val="9"/>
            <color indexed="81"/>
            <rFont val="Arial"/>
          </rPr>
          <t>The RAND Corporation:</t>
        </r>
        <r>
          <rPr>
            <sz val="9"/>
            <color indexed="81"/>
            <rFont val="Arial"/>
          </rPr>
          <t xml:space="preserve">
Assumes six sex acts over the three day window.  This is a best guess based upon Subject Matter Expert (SME)
</t>
        </r>
      </text>
    </comment>
    <comment ref="B2" authorId="1">
      <text>
        <r>
          <rPr>
            <b/>
            <sz val="10"/>
            <color indexed="81"/>
            <rFont val="Tahoma"/>
          </rPr>
          <t>IST:</t>
        </r>
        <r>
          <rPr>
            <sz val="10"/>
            <color indexed="81"/>
            <rFont val="Tahoma"/>
          </rPr>
          <t xml:space="preserve">
probability per sexual act that the woman becomes preganant.
See Van Noord-Zaadstra et al., 1991</t>
        </r>
      </text>
    </comment>
    <comment ref="C2" authorId="1">
      <text>
        <r>
          <rPr>
            <b/>
            <sz val="10"/>
            <color indexed="81"/>
            <rFont val="Tahoma"/>
          </rPr>
          <t>IST:</t>
        </r>
        <r>
          <rPr>
            <sz val="10"/>
            <color indexed="81"/>
            <rFont val="Tahoma"/>
          </rPr>
          <t xml:space="preserve">
Probabilitity that a preganant woman will successfully deliver a baby.
Van Noord-Zaadstra et al., 1991</t>
        </r>
      </text>
    </comment>
  </commentList>
</comments>
</file>

<file path=xl/sharedStrings.xml><?xml version="1.0" encoding="utf-8"?>
<sst xmlns="http://schemas.openxmlformats.org/spreadsheetml/2006/main" count="100" uniqueCount="89">
  <si>
    <t>delta</t>
  </si>
  <si>
    <t>TT</t>
  </si>
  <si>
    <t>start.year</t>
  </si>
  <si>
    <t>duration</t>
  </si>
  <si>
    <t>pay.period</t>
  </si>
  <si>
    <t>cur.elast</t>
  </si>
  <si>
    <t>cost</t>
  </si>
  <si>
    <t>MC</t>
  </si>
  <si>
    <t>VA</t>
  </si>
  <si>
    <t>Transmissibility per Act Parameters (alpha)</t>
  </si>
  <si>
    <t>Factors impacting transmission</t>
  </si>
  <si>
    <t>Pregnancy Parameters</t>
  </si>
  <si>
    <t>Mother to Child Transmission during Pregnency</t>
  </si>
  <si>
    <t>MTCT prob.</t>
  </si>
  <si>
    <t>Number of Sexual acts before tests</t>
  </si>
  <si>
    <t>N</t>
  </si>
  <si>
    <t>other STDs</t>
  </si>
  <si>
    <t xml:space="preserve">Treatment  </t>
  </si>
  <si>
    <t>PrEP</t>
  </si>
  <si>
    <t>Base Transmissibility</t>
  </si>
  <si>
    <t xml:space="preserve">Late Stage Infection  </t>
  </si>
  <si>
    <t xml:space="preserve"> overall transmissibility </t>
  </si>
  <si>
    <t xml:space="preserve"> overall prob. to concieve</t>
  </si>
  <si>
    <t>acts</t>
  </si>
  <si>
    <t>SANITY CHECK</t>
  </si>
  <si>
    <t>SCENARIO 4A</t>
  </si>
  <si>
    <t>SCENARIO 4B</t>
  </si>
  <si>
    <t>SCENARIO 5A</t>
  </si>
  <si>
    <t>SCENARIO 5B</t>
  </si>
  <si>
    <t>HIV-ve &amp; baby</t>
  </si>
  <si>
    <t>HIV+ve &amp; -ve baby</t>
  </si>
  <si>
    <t>HIV+ve &amp; +ve baby</t>
  </si>
  <si>
    <t>HIV-ve</t>
  </si>
  <si>
    <t>HIV+ve</t>
  </si>
  <si>
    <t>age</t>
  </si>
  <si>
    <t>Prob of conception</t>
  </si>
  <si>
    <t>Prob of delivery</t>
  </si>
  <si>
    <t>Age</t>
  </si>
  <si>
    <t>Treatment factor</t>
  </si>
  <si>
    <t>0.56 to 0.61</t>
  </si>
  <si>
    <t>0.0017 to 0.0031</t>
  </si>
  <si>
    <t>N conception</t>
  </si>
  <si>
    <t xml:space="preserve">N HIV </t>
  </si>
  <si>
    <t>Total HIV-ve</t>
  </si>
  <si>
    <t>Total HIV+ve</t>
  </si>
  <si>
    <t>HIV+ below threshold</t>
  </si>
  <si>
    <t>reference row</t>
  </si>
  <si>
    <t>N Conception both constraints</t>
  </si>
  <si>
    <t>PREVIOUS CONCEPTION NUMBERS (ANNUAL)</t>
  </si>
  <si>
    <t>Annual P(Conception), Risa Pregnancy Calculator</t>
  </si>
  <si>
    <t>P(conceive), Annual</t>
  </si>
  <si>
    <t>P(not conceive), Annual</t>
  </si>
  <si>
    <t>p(not conceive), monthly</t>
  </si>
  <si>
    <t>p(conceive), monthly</t>
  </si>
  <si>
    <t>p(delivery)</t>
  </si>
  <si>
    <t>p(conceive_monthly)*p(delivery)</t>
  </si>
  <si>
    <t>AGE</t>
  </si>
  <si>
    <t>P(CONCEPTION)_ANNUAL</t>
  </si>
  <si>
    <t>odds of pregnancy at age18-25 is 88% in one year
26-30 years, 80%
31-35 is 65%
36-40 is 55%
41-45 is 38%</t>
  </si>
  <si>
    <t>We use one minus these values to get the probability of not conceiving in a year</t>
  </si>
  <si>
    <t>To get the monthly probability of not conceiving in a year: let P = probability of not conceiving in a year and p = probability of not conceiving in a month then P = p^12.  Solve for p = P^(1/12).</t>
  </si>
  <si>
    <t>The monthly probability of conceiving is then 1-p(not conceive) = 1-P^(1/12)</t>
  </si>
  <si>
    <t>&gt; AGE = c(21.5,28,33,38,43)</t>
  </si>
  <si>
    <t>&gt; P.CONCEIVE = c(.88,.8,.65,.55,.38)</t>
  </si>
  <si>
    <t>&gt; lm.mod = lm(P.CONCEIVE~AGE)</t>
  </si>
  <si>
    <t>&gt; summary(lm.mod)</t>
  </si>
  <si>
    <t>Call:</t>
  </si>
  <si>
    <t>lm(formula = P.CONCEIVE ~ AGE)</t>
  </si>
  <si>
    <t>Residuals:</t>
  </si>
  <si>
    <t xml:space="preserve">        1         2         3         4         5 </t>
  </si>
  <si>
    <t xml:space="preserve">-0.033996  0.038055  0.005018  0.021980 -0.031057 </t>
  </si>
  <si>
    <t>Coefficients:</t>
  </si>
  <si>
    <t xml:space="preserve">             Estimate Std. Error t value Pr(&gt;|t|)    </t>
  </si>
  <si>
    <t>(Intercept)  1.416934   0.073677   19.23 0.000307 ***</t>
  </si>
  <si>
    <t xml:space="preserve">AGE         -0.023392   0.002196  -10.65 0.001768 ** </t>
  </si>
  <si>
    <t>---</t>
  </si>
  <si>
    <t xml:space="preserve">Signif. codes:  0 ‘***’ 0.001 ‘**’ 0.01 ‘*’ 0.05 ‘.’ 0.1 ‘ ’ 1 </t>
  </si>
  <si>
    <t>Residual standard error: 0.03686 on 3 degrees of freedom</t>
  </si>
  <si>
    <t>Multiple R-squared: 0.9742,</t>
  </si>
  <si>
    <t xml:space="preserve">Adjusted R-squared: 0.9657 </t>
  </si>
  <si>
    <t xml:space="preserve">F-statistic: 113.5 on 1 and 3 DF,  p-value: 0.001768 </t>
  </si>
  <si>
    <t xml:space="preserve">Desired Probability of Conception </t>
  </si>
  <si>
    <t xml:space="preserve">Desired Maximum Tolerance of HIV infection </t>
  </si>
  <si>
    <t>Controls</t>
  </si>
  <si>
    <t>Slider bar values</t>
  </si>
  <si>
    <t>1.29 to 2.35</t>
  </si>
  <si>
    <t xml:space="preserve">Median Reference Value </t>
  </si>
  <si>
    <t>p(conceive), per sex act</t>
  </si>
  <si>
    <t>p(conceive_per sex act)*p(delivery)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</si>
</sst>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"/>
    <numFmt numFmtId="166" formatCode="0.000"/>
  </numFmts>
  <fonts count="25" x14ac:knownFonts="1"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b/>
      <sz val="11"/>
      <color indexed="10"/>
      <name val="Times New Roman"/>
      <family val="1"/>
    </font>
    <font>
      <b/>
      <sz val="11"/>
      <color indexed="57"/>
      <name val="Times New Roman"/>
      <family val="1"/>
    </font>
    <font>
      <b/>
      <sz val="11"/>
      <color indexed="48"/>
      <name val="Times New Roman"/>
      <family val="1"/>
    </font>
    <font>
      <b/>
      <sz val="11"/>
      <color indexed="61"/>
      <name val="Times New Roman"/>
      <family val="1"/>
    </font>
    <font>
      <b/>
      <sz val="11"/>
      <color indexed="14"/>
      <name val="Times New Roman"/>
      <family val="1"/>
    </font>
    <font>
      <b/>
      <sz val="8"/>
      <color indexed="81"/>
      <name val="Tahoma"/>
    </font>
    <font>
      <b/>
      <sz val="11"/>
      <color indexed="10"/>
      <name val="Arial"/>
      <family val="2"/>
    </font>
    <font>
      <sz val="8"/>
      <name val="Arial"/>
    </font>
    <font>
      <b/>
      <sz val="12"/>
      <name val="Arial"/>
      <family val="2"/>
    </font>
    <font>
      <sz val="10"/>
      <color indexed="81"/>
      <name val="Tahoma"/>
    </font>
    <font>
      <b/>
      <sz val="10"/>
      <color indexed="81"/>
      <name val="Tahoma"/>
    </font>
    <font>
      <sz val="10"/>
      <color indexed="8"/>
      <name val="Arial"/>
    </font>
    <font>
      <b/>
      <sz val="12"/>
      <color indexed="8"/>
      <name val="Arial"/>
      <family val="2"/>
    </font>
    <font>
      <i/>
      <u/>
      <sz val="10"/>
      <color indexed="81"/>
      <name val="Tahoma"/>
      <family val="2"/>
    </font>
    <font>
      <sz val="10"/>
      <color indexed="53"/>
      <name val="Arial"/>
      <family val="2"/>
    </font>
    <font>
      <b/>
      <sz val="10"/>
      <color indexed="53"/>
      <name val="Arial"/>
      <family val="2"/>
    </font>
    <font>
      <b/>
      <sz val="12"/>
      <color theme="1"/>
      <name val="Calibri"/>
      <family val="2"/>
      <scheme val="minor"/>
    </font>
    <font>
      <sz val="9"/>
      <color indexed="81"/>
      <name val="Arial"/>
    </font>
    <font>
      <b/>
      <sz val="9"/>
      <color indexed="81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1"/>
      <color theme="7" tint="-0.499984740745262"/>
      <name val="Times New Roman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CCFFFF"/>
        <bgColor rgb="FF000000"/>
      </patternFill>
    </fill>
    <fill>
      <patternFill patternType="solid">
        <fgColor rgb="FFCCCCFF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99CC00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rgb="FF000000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1">
    <xf numFmtId="0" fontId="0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01">
    <xf numFmtId="0" fontId="0" fillId="0" borderId="0" xfId="0"/>
    <xf numFmtId="2" fontId="0" fillId="2" borderId="0" xfId="0" applyNumberFormat="1" applyFill="1"/>
    <xf numFmtId="2" fontId="3" fillId="2" borderId="0" xfId="0" applyNumberFormat="1" applyFont="1" applyFill="1"/>
    <xf numFmtId="2" fontId="4" fillId="2" borderId="0" xfId="0" applyNumberFormat="1" applyFont="1" applyFill="1"/>
    <xf numFmtId="2" fontId="5" fillId="2" borderId="0" xfId="0" applyNumberFormat="1" applyFont="1" applyFill="1"/>
    <xf numFmtId="2" fontId="6" fillId="2" borderId="0" xfId="0" applyNumberFormat="1" applyFont="1" applyFill="1"/>
    <xf numFmtId="2" fontId="7" fillId="2" borderId="0" xfId="0" applyNumberFormat="1" applyFont="1" applyFill="1"/>
    <xf numFmtId="3" fontId="7" fillId="2" borderId="0" xfId="0" applyNumberFormat="1" applyFont="1" applyFill="1"/>
    <xf numFmtId="4" fontId="2" fillId="2" borderId="0" xfId="0" applyNumberFormat="1" applyFont="1" applyFill="1"/>
    <xf numFmtId="2" fontId="2" fillId="2" borderId="0" xfId="0" applyNumberFormat="1" applyFont="1" applyFill="1"/>
    <xf numFmtId="2" fontId="1" fillId="2" borderId="0" xfId="0" applyNumberFormat="1" applyFont="1" applyFill="1"/>
    <xf numFmtId="2" fontId="9" fillId="2" borderId="0" xfId="0" applyNumberFormat="1" applyFont="1" applyFill="1"/>
    <xf numFmtId="164" fontId="9" fillId="2" borderId="0" xfId="0" applyNumberFormat="1" applyFont="1" applyFill="1"/>
    <xf numFmtId="4" fontId="6" fillId="2" borderId="0" xfId="0" applyNumberFormat="1" applyFont="1" applyFill="1"/>
    <xf numFmtId="0" fontId="0" fillId="3" borderId="0" xfId="0" applyFill="1"/>
    <xf numFmtId="0" fontId="0" fillId="4" borderId="3" xfId="0" applyFill="1" applyBorder="1"/>
    <xf numFmtId="0" fontId="11" fillId="5" borderId="1" xfId="0" applyFont="1" applyFill="1" applyBorder="1"/>
    <xf numFmtId="11" fontId="11" fillId="6" borderId="1" xfId="0" applyNumberFormat="1" applyFont="1" applyFill="1" applyBorder="1"/>
    <xf numFmtId="10" fontId="0" fillId="5" borderId="3" xfId="0" applyNumberFormat="1" applyFill="1" applyBorder="1"/>
    <xf numFmtId="10" fontId="0" fillId="6" borderId="0" xfId="0" applyNumberFormat="1" applyFill="1"/>
    <xf numFmtId="10" fontId="0" fillId="4" borderId="3" xfId="0" applyNumberFormat="1" applyFill="1" applyBorder="1"/>
    <xf numFmtId="0" fontId="14" fillId="7" borderId="0" xfId="0" applyFont="1" applyFill="1"/>
    <xf numFmtId="2" fontId="14" fillId="7" borderId="0" xfId="0" applyNumberFormat="1" applyFont="1" applyFill="1"/>
    <xf numFmtId="0" fontId="15" fillId="7" borderId="0" xfId="0" applyFont="1" applyFill="1"/>
    <xf numFmtId="0" fontId="14" fillId="7" borderId="3" xfId="0" applyFont="1" applyFill="1" applyBorder="1"/>
    <xf numFmtId="2" fontId="14" fillId="7" borderId="3" xfId="0" applyNumberFormat="1" applyFont="1" applyFill="1" applyBorder="1"/>
    <xf numFmtId="0" fontId="14" fillId="7" borderId="2" xfId="0" applyFont="1" applyFill="1" applyBorder="1"/>
    <xf numFmtId="2" fontId="14" fillId="7" borderId="2" xfId="0" applyNumberFormat="1" applyFont="1" applyFill="1" applyBorder="1"/>
    <xf numFmtId="0" fontId="15" fillId="7" borderId="1" xfId="0" applyFont="1" applyFill="1" applyBorder="1"/>
    <xf numFmtId="2" fontId="15" fillId="7" borderId="1" xfId="0" applyNumberFormat="1" applyFont="1" applyFill="1" applyBorder="1"/>
    <xf numFmtId="1" fontId="5" fillId="2" borderId="0" xfId="0" applyNumberFormat="1" applyFont="1" applyFill="1"/>
    <xf numFmtId="165" fontId="3" fillId="2" borderId="0" xfId="0" applyNumberFormat="1" applyFont="1" applyFill="1"/>
    <xf numFmtId="2" fontId="17" fillId="2" borderId="0" xfId="0" applyNumberFormat="1" applyFont="1" applyFill="1"/>
    <xf numFmtId="2" fontId="18" fillId="2" borderId="0" xfId="0" applyNumberFormat="1" applyFont="1" applyFill="1" applyAlignment="1">
      <alignment horizontal="right"/>
    </xf>
    <xf numFmtId="2" fontId="15" fillId="2" borderId="0" xfId="0" applyNumberFormat="1" applyFont="1" applyFill="1"/>
    <xf numFmtId="0" fontId="14" fillId="7" borderId="5" xfId="0" applyFont="1" applyFill="1" applyBorder="1"/>
    <xf numFmtId="2" fontId="14" fillId="7" borderId="5" xfId="0" applyNumberFormat="1" applyFont="1" applyFill="1" applyBorder="1"/>
    <xf numFmtId="0" fontId="0" fillId="8" borderId="0" xfId="0" applyFill="1"/>
    <xf numFmtId="2" fontId="0" fillId="9" borderId="0" xfId="0" applyNumberFormat="1" applyFill="1"/>
    <xf numFmtId="0" fontId="0" fillId="10" borderId="0" xfId="0" applyFill="1"/>
    <xf numFmtId="0" fontId="11" fillId="10" borderId="0" xfId="0" applyFont="1" applyFill="1"/>
    <xf numFmtId="0" fontId="11" fillId="11" borderId="1" xfId="0" applyFont="1" applyFill="1" applyBorder="1"/>
    <xf numFmtId="10" fontId="11" fillId="9" borderId="7" xfId="0" applyNumberFormat="1" applyFont="1" applyFill="1" applyBorder="1"/>
    <xf numFmtId="10" fontId="11" fillId="11" borderId="7" xfId="0" applyNumberFormat="1" applyFont="1" applyFill="1" applyBorder="1"/>
    <xf numFmtId="10" fontId="11" fillId="12" borderId="7" xfId="0" applyNumberFormat="1" applyFont="1" applyFill="1" applyBorder="1"/>
    <xf numFmtId="0" fontId="11" fillId="13" borderId="6" xfId="0" applyFont="1" applyFill="1" applyBorder="1"/>
    <xf numFmtId="0" fontId="0" fillId="11" borderId="2" xfId="0" applyFill="1" applyBorder="1"/>
    <xf numFmtId="10" fontId="0" fillId="9" borderId="8" xfId="0" applyNumberFormat="1" applyFill="1" applyBorder="1"/>
    <xf numFmtId="10" fontId="0" fillId="11" borderId="8" xfId="0" applyNumberFormat="1" applyFill="1" applyBorder="1"/>
    <xf numFmtId="10" fontId="0" fillId="12" borderId="0" xfId="0" applyNumberFormat="1" applyFill="1"/>
    <xf numFmtId="10" fontId="0" fillId="13" borderId="0" xfId="0" applyNumberFormat="1" applyFill="1"/>
    <xf numFmtId="10" fontId="0" fillId="10" borderId="0" xfId="0" applyNumberFormat="1" applyFill="1"/>
    <xf numFmtId="0" fontId="0" fillId="13" borderId="0" xfId="0" applyFill="1"/>
    <xf numFmtId="0" fontId="11" fillId="11" borderId="9" xfId="0" applyFont="1" applyFill="1" applyBorder="1"/>
    <xf numFmtId="10" fontId="11" fillId="9" borderId="10" xfId="0" applyNumberFormat="1" applyFont="1" applyFill="1" applyBorder="1"/>
    <xf numFmtId="10" fontId="11" fillId="11" borderId="10" xfId="0" applyNumberFormat="1" applyFont="1" applyFill="1" applyBorder="1"/>
    <xf numFmtId="0" fontId="0" fillId="11" borderId="3" xfId="0" applyFill="1" applyBorder="1"/>
    <xf numFmtId="10" fontId="0" fillId="9" borderId="11" xfId="0" applyNumberFormat="1" applyFill="1" applyBorder="1"/>
    <xf numFmtId="10" fontId="0" fillId="11" borderId="11" xfId="0" applyNumberFormat="1" applyFill="1" applyBorder="1"/>
    <xf numFmtId="1" fontId="14" fillId="7" borderId="0" xfId="0" applyNumberFormat="1" applyFont="1" applyFill="1"/>
    <xf numFmtId="0" fontId="19" fillId="15" borderId="0" xfId="0" applyFont="1" applyFill="1"/>
    <xf numFmtId="0" fontId="15" fillId="16" borderId="3" xfId="0" applyFont="1" applyFill="1" applyBorder="1"/>
    <xf numFmtId="0" fontId="19" fillId="16" borderId="3" xfId="0" applyFont="1" applyFill="1" applyBorder="1"/>
    <xf numFmtId="0" fontId="19" fillId="17" borderId="4" xfId="0" applyFont="1" applyFill="1" applyBorder="1"/>
    <xf numFmtId="0" fontId="0" fillId="17" borderId="0" xfId="0" applyFill="1"/>
    <xf numFmtId="0" fontId="15" fillId="18" borderId="3" xfId="0" applyFont="1" applyFill="1" applyBorder="1"/>
    <xf numFmtId="0" fontId="19" fillId="18" borderId="3" xfId="0" applyFont="1" applyFill="1" applyBorder="1"/>
    <xf numFmtId="0" fontId="0" fillId="15" borderId="0" xfId="0" applyFill="1" applyAlignment="1">
      <alignment wrapText="1"/>
    </xf>
    <xf numFmtId="0" fontId="14" fillId="16" borderId="3" xfId="0" applyFont="1" applyFill="1" applyBorder="1"/>
    <xf numFmtId="0" fontId="0" fillId="16" borderId="3" xfId="0" applyFill="1" applyBorder="1"/>
    <xf numFmtId="2" fontId="14" fillId="16" borderId="3" xfId="0" applyNumberFormat="1" applyFont="1" applyFill="1" applyBorder="1"/>
    <xf numFmtId="0" fontId="14" fillId="18" borderId="3" xfId="0" applyFont="1" applyFill="1" applyBorder="1"/>
    <xf numFmtId="0" fontId="0" fillId="18" borderId="3" xfId="0" applyFill="1" applyBorder="1"/>
    <xf numFmtId="2" fontId="14" fillId="18" borderId="3" xfId="0" applyNumberFormat="1" applyFont="1" applyFill="1" applyBorder="1"/>
    <xf numFmtId="0" fontId="0" fillId="15" borderId="0" xfId="0" applyFill="1"/>
    <xf numFmtId="2" fontId="15" fillId="14" borderId="1" xfId="0" applyNumberFormat="1" applyFont="1" applyFill="1" applyBorder="1"/>
    <xf numFmtId="2" fontId="14" fillId="14" borderId="2" xfId="0" applyNumberFormat="1" applyFont="1" applyFill="1" applyBorder="1"/>
    <xf numFmtId="0" fontId="15" fillId="18" borderId="1" xfId="0" applyFont="1" applyFill="1" applyBorder="1"/>
    <xf numFmtId="0" fontId="14" fillId="18" borderId="2" xfId="0" applyFont="1" applyFill="1" applyBorder="1"/>
    <xf numFmtId="0" fontId="15" fillId="20" borderId="1" xfId="0" applyFont="1" applyFill="1" applyBorder="1"/>
    <xf numFmtId="1" fontId="14" fillId="20" borderId="2" xfId="0" applyNumberFormat="1" applyFont="1" applyFill="1" applyBorder="1"/>
    <xf numFmtId="1" fontId="14" fillId="20" borderId="3" xfId="0" applyNumberFormat="1" applyFont="1" applyFill="1" applyBorder="1"/>
    <xf numFmtId="0" fontId="15" fillId="21" borderId="1" xfId="0" applyFont="1" applyFill="1" applyBorder="1"/>
    <xf numFmtId="0" fontId="14" fillId="21" borderId="3" xfId="0" applyFont="1" applyFill="1" applyBorder="1"/>
    <xf numFmtId="1" fontId="15" fillId="22" borderId="1" xfId="0" applyNumberFormat="1" applyFont="1" applyFill="1" applyBorder="1"/>
    <xf numFmtId="1" fontId="14" fillId="22" borderId="2" xfId="0" applyNumberFormat="1" applyFont="1" applyFill="1" applyBorder="1"/>
    <xf numFmtId="1" fontId="14" fillId="22" borderId="3" xfId="0" applyNumberFormat="1" applyFont="1" applyFill="1" applyBorder="1"/>
    <xf numFmtId="2" fontId="24" fillId="2" borderId="0" xfId="0" applyNumberFormat="1" applyFont="1" applyFill="1"/>
    <xf numFmtId="9" fontId="24" fillId="2" borderId="0" xfId="0" applyNumberFormat="1" applyFont="1" applyFill="1"/>
    <xf numFmtId="0" fontId="0" fillId="23" borderId="0" xfId="0" applyFill="1"/>
    <xf numFmtId="0" fontId="11" fillId="23" borderId="0" xfId="0" applyFont="1" applyFill="1"/>
    <xf numFmtId="1" fontId="0" fillId="23" borderId="0" xfId="0" applyNumberFormat="1" applyFill="1"/>
    <xf numFmtId="0" fontId="0" fillId="20" borderId="0" xfId="0" applyFill="1"/>
    <xf numFmtId="166" fontId="19" fillId="18" borderId="3" xfId="0" applyNumberFormat="1" applyFont="1" applyFill="1" applyBorder="1"/>
    <xf numFmtId="166" fontId="0" fillId="18" borderId="3" xfId="0" applyNumberFormat="1" applyFill="1" applyBorder="1"/>
    <xf numFmtId="166" fontId="0" fillId="0" borderId="0" xfId="0" applyNumberFormat="1"/>
    <xf numFmtId="0" fontId="19" fillId="14" borderId="12" xfId="0" applyFont="1" applyFill="1" applyBorder="1" applyAlignment="1">
      <alignment horizontal="center"/>
    </xf>
    <xf numFmtId="166" fontId="15" fillId="19" borderId="1" xfId="0" applyNumberFormat="1" applyFont="1" applyFill="1" applyBorder="1"/>
    <xf numFmtId="166" fontId="14" fillId="19" borderId="2" xfId="0" applyNumberFormat="1" applyFont="1" applyFill="1" applyBorder="1"/>
    <xf numFmtId="166" fontId="14" fillId="7" borderId="5" xfId="0" applyNumberFormat="1" applyFont="1" applyFill="1" applyBorder="1"/>
    <xf numFmtId="166" fontId="14" fillId="7" borderId="0" xfId="0" applyNumberFormat="1" applyFont="1" applyFill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Probability of Successful Pregnancy</a:t>
            </a:r>
          </a:p>
        </c:rich>
      </c:tx>
      <c:layout>
        <c:manualLayout>
          <c:xMode val="edge"/>
          <c:yMode val="edge"/>
          <c:x val="0.223463540521122"/>
          <c:y val="0.032679750852039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113460274219"/>
          <c:y val="0.176470729031615"/>
          <c:w val="0.832401477754126"/>
          <c:h val="0.614379575147103"/>
        </c:manualLayout>
      </c:layout>
      <c:lineChart>
        <c:grouping val="standard"/>
        <c:varyColors val="0"/>
        <c:ser>
          <c:idx val="1"/>
          <c:order val="0"/>
          <c:tx>
            <c:strRef>
              <c:f>Model!$G$1</c:f>
              <c:strCache>
                <c:ptCount val="1"/>
                <c:pt idx="0">
                  <c:v>HIV-ve &amp; baby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Model!$F$2:$F$101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Model!$G$2:$G$101</c:f>
              <c:numCache>
                <c:formatCode>0.00%</c:formatCode>
                <c:ptCount val="100"/>
                <c:pt idx="0">
                  <c:v>0.0156468013128339</c:v>
                </c:pt>
                <c:pt idx="1">
                  <c:v>0.0309324638798817</c:v>
                </c:pt>
                <c:pt idx="2">
                  <c:v>0.0458644482247772</c:v>
                </c:pt>
                <c:pt idx="3">
                  <c:v>0.0604500628682636</c:v>
                </c:pt>
                <c:pt idx="4">
                  <c:v>0.0746964674194097</c:v>
                </c:pt>
                <c:pt idx="5">
                  <c:v>0.0886106756039776</c:v>
                </c:pt>
                <c:pt idx="6">
                  <c:v>0.102199558231218</c:v>
                </c:pt>
                <c:pt idx="7">
                  <c:v>0.115469846100349</c:v>
                </c:pt>
                <c:pt idx="8">
                  <c:v>0.128428132847936</c:v>
                </c:pt>
                <c:pt idx="9">
                  <c:v>0.141080877737388</c:v>
                </c:pt>
                <c:pt idx="10">
                  <c:v>0.153434408391732</c:v>
                </c:pt>
                <c:pt idx="11">
                  <c:v>0.165494923470829</c:v>
                </c:pt>
                <c:pt idx="12">
                  <c:v>0.17726849529416</c:v>
                </c:pt>
                <c:pt idx="13">
                  <c:v>0.188761072410279</c:v>
                </c:pt>
                <c:pt idx="14">
                  <c:v>0.199978482114038</c:v>
                </c:pt>
                <c:pt idx="15">
                  <c:v>0.210926432912616</c:v>
                </c:pt>
                <c:pt idx="16">
                  <c:v>0.221610516941427</c:v>
                </c:pt>
                <c:pt idx="17">
                  <c:v>0.232036212330892</c:v>
                </c:pt>
                <c:pt idx="18">
                  <c:v>0.242208885525105</c:v>
                </c:pt>
                <c:pt idx="19">
                  <c:v>0.252133793553346</c:v>
                </c:pt>
                <c:pt idx="20">
                  <c:v>0.261816086255417</c:v>
                </c:pt>
                <c:pt idx="21">
                  <c:v>0.271260808461729</c:v>
                </c:pt>
                <c:pt idx="22">
                  <c:v>0.280472902129065</c:v>
                </c:pt>
                <c:pt idx="23">
                  <c:v>0.289457208432921</c:v>
                </c:pt>
                <c:pt idx="24">
                  <c:v>0.298218469817304</c:v>
                </c:pt>
                <c:pt idx="25">
                  <c:v>0.306761332002855</c:v>
                </c:pt>
                <c:pt idx="26">
                  <c:v>0.315090345954142</c:v>
                </c:pt>
                <c:pt idx="27">
                  <c:v>0.323209969806952</c:v>
                </c:pt>
                <c:pt idx="28">
                  <c:v>0.331124570756408</c:v>
                </c:pt>
                <c:pt idx="29">
                  <c:v>0.338838426906682</c:v>
                </c:pt>
                <c:pt idx="30">
                  <c:v>0.346355729083111</c:v>
                </c:pt>
                <c:pt idx="31">
                  <c:v>0.353680582607465</c:v>
                </c:pt>
                <c:pt idx="32">
                  <c:v>0.36081700903712</c:v>
                </c:pt>
                <c:pt idx="33">
                  <c:v>0.36776894786887</c:v>
                </c:pt>
                <c:pt idx="34">
                  <c:v>0.374540258208102</c:v>
                </c:pt>
                <c:pt idx="35">
                  <c:v>0.381134720404024</c:v>
                </c:pt>
                <c:pt idx="36">
                  <c:v>0.387556037651655</c:v>
                </c:pt>
                <c:pt idx="37">
                  <c:v>0.393807837561234</c:v>
                </c:pt>
                <c:pt idx="38">
                  <c:v>0.399893673695733</c:v>
                </c:pt>
                <c:pt idx="39">
                  <c:v>0.40581702707709</c:v>
                </c:pt>
                <c:pt idx="40">
                  <c:v>0.411581307661835</c:v>
                </c:pt>
                <c:pt idx="41">
                  <c:v>0.417189855786705</c:v>
                </c:pt>
                <c:pt idx="42">
                  <c:v>0.422645943584865</c:v>
                </c:pt>
                <c:pt idx="43">
                  <c:v>0.427952776373336</c:v>
                </c:pt>
                <c:pt idx="44">
                  <c:v>0.43311349401222</c:v>
                </c:pt>
                <c:pt idx="45">
                  <c:v>0.438131172236272</c:v>
                </c:pt>
                <c:pt idx="46">
                  <c:v>0.443008823959422</c:v>
                </c:pt>
                <c:pt idx="47">
                  <c:v>0.447749400552746</c:v>
                </c:pt>
                <c:pt idx="48">
                  <c:v>0.452355793096479</c:v>
                </c:pt>
                <c:pt idx="49">
                  <c:v>0.456830833606549</c:v>
                </c:pt>
                <c:pt idx="50">
                  <c:v>0.46117729623619</c:v>
                </c:pt>
                <c:pt idx="51">
                  <c:v>0.465397898453111</c:v>
                </c:pt>
                <c:pt idx="52">
                  <c:v>0.469495302192738</c:v>
                </c:pt>
                <c:pt idx="53">
                  <c:v>0.473472114988004</c:v>
                </c:pt>
                <c:pt idx="54">
                  <c:v>0.477330891076167</c:v>
                </c:pt>
                <c:pt idx="55">
                  <c:v>0.481074132483127</c:v>
                </c:pt>
                <c:pt idx="56">
                  <c:v>0.48470429008569</c:v>
                </c:pt>
                <c:pt idx="57">
                  <c:v>0.488223764652242</c:v>
                </c:pt>
                <c:pt idx="58">
                  <c:v>0.491634907862253</c:v>
                </c:pt>
                <c:pt idx="59">
                  <c:v>0.494940023305062</c:v>
                </c:pt>
                <c:pt idx="60">
                  <c:v>0.498141367458344</c:v>
                </c:pt>
                <c:pt idx="61">
                  <c:v>0.501241150646691</c:v>
                </c:pt>
                <c:pt idx="62">
                  <c:v>0.504241537980694</c:v>
                </c:pt>
                <c:pt idx="63">
                  <c:v>0.507144650276939</c:v>
                </c:pt>
                <c:pt idx="64">
                  <c:v>0.50995256495929</c:v>
                </c:pt>
                <c:pt idx="65">
                  <c:v>0.512667316941849</c:v>
                </c:pt>
                <c:pt idx="66">
                  <c:v>0.515290899493965</c:v>
                </c:pt>
                <c:pt idx="67">
                  <c:v>0.517825265087649</c:v>
                </c:pt>
                <c:pt idx="68">
                  <c:v>0.520272326227763</c:v>
                </c:pt>
                <c:pt idx="69">
                  <c:v>0.522633956265327</c:v>
                </c:pt>
                <c:pt idx="70">
                  <c:v>0.524911990194291</c:v>
                </c:pt>
                <c:pt idx="71">
                  <c:v>0.527108225432104</c:v>
                </c:pt>
                <c:pt idx="72">
                  <c:v>0.529224422584408</c:v>
                </c:pt>
                <c:pt idx="73">
                  <c:v>0.53126230619419</c:v>
                </c:pt>
                <c:pt idx="74">
                  <c:v>0.5332235654757</c:v>
                </c:pt>
                <c:pt idx="75">
                  <c:v>0.535109855033439</c:v>
                </c:pt>
                <c:pt idx="76">
                  <c:v>0.536922795566536</c:v>
                </c:pt>
                <c:pt idx="77">
                  <c:v>0.5386639745588</c:v>
                </c:pt>
                <c:pt idx="78">
                  <c:v>0.540334946954736</c:v>
                </c:pt>
                <c:pt idx="79">
                  <c:v>0.54193723582182</c:v>
                </c:pt>
                <c:pt idx="80">
                  <c:v>0.543472332999311</c:v>
                </c:pt>
                <c:pt idx="81">
                  <c:v>0.544941699733859</c:v>
                </c:pt>
                <c:pt idx="82">
                  <c:v>0.546346767302199</c:v>
                </c:pt>
                <c:pt idx="83">
                  <c:v>0.547688937621179</c:v>
                </c:pt>
                <c:pt idx="84">
                  <c:v>0.548969583845384</c:v>
                </c:pt>
                <c:pt idx="85">
                  <c:v>0.550190050952608</c:v>
                </c:pt>
                <c:pt idx="86">
                  <c:v>0.551351656317421</c:v>
                </c:pt>
                <c:pt idx="87">
                  <c:v>0.552455690273076</c:v>
                </c:pt>
                <c:pt idx="88">
                  <c:v>0.553503416661983</c:v>
                </c:pt>
                <c:pt idx="89">
                  <c:v>0.554496073374994</c:v>
                </c:pt>
                <c:pt idx="90">
                  <c:v>0.555434872879729</c:v>
                </c:pt>
                <c:pt idx="91">
                  <c:v>0.55632100273814</c:v>
                </c:pt>
                <c:pt idx="92">
                  <c:v>0.557155626113574</c:v>
                </c:pt>
                <c:pt idx="93">
                  <c:v>0.557939882267506</c:v>
                </c:pt>
                <c:pt idx="94">
                  <c:v>0.55867488704618</c:v>
                </c:pt>
                <c:pt idx="95">
                  <c:v>0.559361733357355</c:v>
                </c:pt>
                <c:pt idx="96">
                  <c:v>0.560001491637353</c:v>
                </c:pt>
                <c:pt idx="97">
                  <c:v>0.560595210308611</c:v>
                </c:pt>
                <c:pt idx="98">
                  <c:v>0.561143916227931</c:v>
                </c:pt>
                <c:pt idx="99">
                  <c:v>0.56164861512561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Model!$H$1</c:f>
              <c:strCache>
                <c:ptCount val="1"/>
                <c:pt idx="0">
                  <c:v>HIV+ve &amp; -ve baby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cat>
            <c:numRef>
              <c:f>Model!$F$2:$F$101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Model!$H$2:$H$101</c:f>
              <c:numCache>
                <c:formatCode>0.00%</c:formatCode>
                <c:ptCount val="100"/>
                <c:pt idx="0">
                  <c:v>3.52082448192526E-5</c:v>
                </c:pt>
                <c:pt idx="1">
                  <c:v>0.000139399657565005</c:v>
                </c:pt>
                <c:pt idx="2">
                  <c:v>0.000310465458050922</c:v>
                </c:pt>
                <c:pt idx="3">
                  <c:v>0.000546350753913298</c:v>
                </c:pt>
                <c:pt idx="4">
                  <c:v>0.000845053254802737</c:v>
                </c:pt>
                <c:pt idx="5">
                  <c:v>0.00120462201605999</c:v>
                </c:pt>
                <c:pt idx="6">
                  <c:v>0.00162315621121753</c:v>
                </c:pt>
                <c:pt idx="7">
                  <c:v>0.00209880393268309</c:v>
                </c:pt>
                <c:pt idx="8">
                  <c:v>0.0026297610199752</c:v>
                </c:pt>
                <c:pt idx="9">
                  <c:v>0.00321426991489484</c:v>
                </c:pt>
                <c:pt idx="10">
                  <c:v>0.00385061854303078</c:v>
                </c:pt>
                <c:pt idx="11">
                  <c:v>0.00453713922100911</c:v>
                </c:pt>
                <c:pt idx="12">
                  <c:v>0.00527220758891085</c:v>
                </c:pt>
                <c:pt idx="13">
                  <c:v>0.00605424156729394</c:v>
                </c:pt>
                <c:pt idx="14">
                  <c:v>0.00688170033826809</c:v>
                </c:pt>
                <c:pt idx="15">
                  <c:v>0.00775308335008349</c:v>
                </c:pt>
                <c:pt idx="16">
                  <c:v>0.00866692934470602</c:v>
                </c:pt>
                <c:pt idx="17">
                  <c:v>0.00962181540786302</c:v>
                </c:pt>
                <c:pt idx="18">
                  <c:v>0.0106163560410554</c:v>
                </c:pt>
                <c:pt idx="19">
                  <c:v>0.0116492022550427</c:v>
                </c:pt>
                <c:pt idx="20">
                  <c:v>0.0127190406843183</c:v>
                </c:pt>
                <c:pt idx="21">
                  <c:v>0.013824592722104</c:v>
                </c:pt>
                <c:pt idx="22">
                  <c:v>0.0149646136754004</c:v>
                </c:pt>
                <c:pt idx="23">
                  <c:v>0.0161378919396446</c:v>
                </c:pt>
                <c:pt idx="24">
                  <c:v>0.0173432481925311</c:v>
                </c:pt>
                <c:pt idx="25">
                  <c:v>0.0185795346065662</c:v>
                </c:pt>
                <c:pt idx="26">
                  <c:v>0.0198456340799331</c:v>
                </c:pt>
                <c:pt idx="27">
                  <c:v>0.0211404594852543</c:v>
                </c:pt>
                <c:pt idx="28">
                  <c:v>0.0224629529358486</c:v>
                </c:pt>
                <c:pt idx="29">
                  <c:v>0.0238120850690876</c:v>
                </c:pt>
                <c:pt idx="30">
                  <c:v>0.0251868543464654</c:v>
                </c:pt>
                <c:pt idx="31">
                  <c:v>0.0265862863700037</c:v>
                </c:pt>
                <c:pt idx="32">
                  <c:v>0.0280094332146235</c:v>
                </c:pt>
                <c:pt idx="33">
                  <c:v>0.0294553727761232</c:v>
                </c:pt>
                <c:pt idx="34">
                  <c:v>0.0309232081344076</c:v>
                </c:pt>
                <c:pt idx="35">
                  <c:v>0.0324120669316254</c:v>
                </c:pt>
                <c:pt idx="36">
                  <c:v>0.0339211007648753</c:v>
                </c:pt>
                <c:pt idx="37">
                  <c:v>0.0354494845931522</c:v>
                </c:pt>
                <c:pt idx="38">
                  <c:v>0.0369964161582093</c:v>
                </c:pt>
                <c:pt idx="39">
                  <c:v>0.0385611154190217</c:v>
                </c:pt>
                <c:pt idx="40">
                  <c:v>0.0401428239995417</c:v>
                </c:pt>
                <c:pt idx="41">
                  <c:v>0.0417408046494449</c:v>
                </c:pt>
                <c:pt idx="42">
                  <c:v>0.0433543407175709</c:v>
                </c:pt>
                <c:pt idx="43">
                  <c:v>0.0449827356377707</c:v>
                </c:pt>
                <c:pt idx="44">
                  <c:v>0.0466253124268794</c:v>
                </c:pt>
                <c:pt idx="45">
                  <c:v>0.0482814131945359</c:v>
                </c:pt>
                <c:pt idx="46">
                  <c:v>0.0499503986645821</c:v>
                </c:pt>
                <c:pt idx="47">
                  <c:v>0.0516316477077774</c:v>
                </c:pt>
                <c:pt idx="48">
                  <c:v>0.0533245568855684</c:v>
                </c:pt>
                <c:pt idx="49">
                  <c:v>0.0550285400046652</c:v>
                </c:pt>
                <c:pt idx="50">
                  <c:v>0.0567430276821745</c:v>
                </c:pt>
                <c:pt idx="51">
                  <c:v>0.0584674669210504</c:v>
                </c:pt>
                <c:pt idx="52">
                  <c:v>0.0602013206956256</c:v>
                </c:pt>
                <c:pt idx="53">
                  <c:v>0.0619440675469946</c:v>
                </c:pt>
                <c:pt idx="54">
                  <c:v>0.0636952011880206</c:v>
                </c:pt>
                <c:pt idx="55">
                  <c:v>0.0654542301177491</c:v>
                </c:pt>
                <c:pt idx="56">
                  <c:v>0.06722067724501</c:v>
                </c:pt>
                <c:pt idx="57">
                  <c:v>0.0689940795209994</c:v>
                </c:pt>
                <c:pt idx="58">
                  <c:v>0.0707739875806339</c:v>
                </c:pt>
                <c:pt idx="59">
                  <c:v>0.0725599653924771</c:v>
                </c:pt>
                <c:pt idx="60">
                  <c:v>0.0743515899170412</c:v>
                </c:pt>
                <c:pt idx="61">
                  <c:v>0.0761484507732705</c:v>
                </c:pt>
                <c:pt idx="62">
                  <c:v>0.0779501499130205</c:v>
                </c:pt>
                <c:pt idx="63">
                  <c:v>0.0797563013033458</c:v>
                </c:pt>
                <c:pt idx="64">
                  <c:v>0.0815665306164208</c:v>
                </c:pt>
                <c:pt idx="65">
                  <c:v>0.0833804749269139</c:v>
                </c:pt>
                <c:pt idx="66">
                  <c:v>0.0851977824166453</c:v>
                </c:pt>
                <c:pt idx="67">
                  <c:v>0.0870181120863602</c:v>
                </c:pt>
                <c:pt idx="68">
                  <c:v>0.0888411334744525</c:v>
                </c:pt>
                <c:pt idx="69">
                  <c:v>0.0906665263824796</c:v>
                </c:pt>
                <c:pt idx="70">
                  <c:v>0.0924939806073099</c:v>
                </c:pt>
                <c:pt idx="71">
                  <c:v>0.0943231956797515</c:v>
                </c:pt>
                <c:pt idx="72">
                  <c:v>0.0961538806095097</c:v>
                </c:pt>
                <c:pt idx="73">
                  <c:v>0.0979857536363289</c:v>
                </c:pt>
                <c:pt idx="74">
                  <c:v>0.0998185419871754</c:v>
                </c:pt>
                <c:pt idx="75">
                  <c:v>0.101651981639319</c:v>
                </c:pt>
                <c:pt idx="76">
                  <c:v>0.103485817089177</c:v>
                </c:pt>
                <c:pt idx="77">
                  <c:v>0.105319801126794</c:v>
                </c:pt>
                <c:pt idx="78">
                  <c:v>0.107153694615809</c:v>
                </c:pt>
                <c:pt idx="79">
                  <c:v>0.108987266278805</c:v>
                </c:pt>
                <c:pt idx="80">
                  <c:v>0.110820292487898</c:v>
                </c:pt>
                <c:pt idx="81">
                  <c:v>0.112652557060448</c:v>
                </c:pt>
                <c:pt idx="82">
                  <c:v>0.114483851059781</c:v>
                </c:pt>
                <c:pt idx="83">
                  <c:v>0.11631397260079</c:v>
                </c:pt>
                <c:pt idx="84">
                  <c:v>0.11814272666032</c:v>
                </c:pt>
                <c:pt idx="85">
                  <c:v>0.119969924892201</c:v>
                </c:pt>
                <c:pt idx="86">
                  <c:v>0.121795385446849</c:v>
                </c:pt>
                <c:pt idx="87">
                  <c:v>0.123618932795301</c:v>
                </c:pt>
                <c:pt idx="88">
                  <c:v>0.125440397557599</c:v>
                </c:pt>
                <c:pt idx="89">
                  <c:v>0.127259616335415</c:v>
                </c:pt>
                <c:pt idx="90">
                  <c:v>0.129076431548812</c:v>
                </c:pt>
                <c:pt idx="91">
                  <c:v>0.130890691277051</c:v>
                </c:pt>
                <c:pt idx="92">
                  <c:v>0.132702249103355</c:v>
                </c:pt>
                <c:pt idx="93">
                  <c:v>0.134510963963512</c:v>
                </c:pt>
                <c:pt idx="94">
                  <c:v>0.136316699998263</c:v>
                </c:pt>
                <c:pt idx="95">
                  <c:v>0.138119326409351</c:v>
                </c:pt>
                <c:pt idx="96">
                  <c:v>0.139918717319169</c:v>
                </c:pt>
                <c:pt idx="97">
                  <c:v>0.141714751633911</c:v>
                </c:pt>
                <c:pt idx="98">
                  <c:v>0.143507312910144</c:v>
                </c:pt>
                <c:pt idx="99">
                  <c:v>0.145296289224726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Model!$I$1</c:f>
              <c:strCache>
                <c:ptCount val="1"/>
                <c:pt idx="0">
                  <c:v>HIV+ve &amp; +ve baby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Model!$F$2:$F$101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Model!$I$2:$I$101</c:f>
              <c:numCache>
                <c:formatCode>0.00%</c:formatCode>
                <c:ptCount val="100"/>
                <c:pt idx="0">
                  <c:v>7.93911402787068E-6</c:v>
                </c:pt>
                <c:pt idx="1">
                  <c:v>3.14332561175991E-5</c:v>
                </c:pt>
                <c:pt idx="2">
                  <c:v>7.00069170114824E-5</c:v>
                </c:pt>
                <c:pt idx="3">
                  <c:v>0.000123196738627508</c:v>
                </c:pt>
                <c:pt idx="4">
                  <c:v>0.000190551224122186</c:v>
                </c:pt>
                <c:pt idx="5">
                  <c:v>0.000271630454601763</c:v>
                </c:pt>
                <c:pt idx="6">
                  <c:v>0.000366005812333365</c:v>
                </c:pt>
                <c:pt idx="7">
                  <c:v>0.000473259710310893</c:v>
                </c:pt>
                <c:pt idx="8">
                  <c:v>0.000592985328033623</c:v>
                </c:pt>
                <c:pt idx="9">
                  <c:v>0.000724786353358641</c:v>
                </c:pt>
                <c:pt idx="10">
                  <c:v>0.000868276730291254</c:v>
                </c:pt>
                <c:pt idx="11">
                  <c:v>0.00102308041258049</c:v>
                </c:pt>
                <c:pt idx="12">
                  <c:v>0.0011888311229897</c:v>
                </c:pt>
                <c:pt idx="13">
                  <c:v>0.0013651721181153</c:v>
                </c:pt>
                <c:pt idx="14">
                  <c:v>0.00155175595862908</c:v>
                </c:pt>
                <c:pt idx="15">
                  <c:v>0.00174824428482275</c:v>
                </c:pt>
                <c:pt idx="16">
                  <c:v>0.00195430759733567</c:v>
                </c:pt>
                <c:pt idx="17">
                  <c:v>0.0021696250429495</c:v>
                </c:pt>
                <c:pt idx="18">
                  <c:v>0.00239388420533602</c:v>
                </c:pt>
                <c:pt idx="19">
                  <c:v>0.00262678090064688</c:v>
                </c:pt>
                <c:pt idx="20">
                  <c:v>0.00286801897783648</c:v>
                </c:pt>
                <c:pt idx="21">
                  <c:v>0.00311731012361168</c:v>
                </c:pt>
                <c:pt idx="22">
                  <c:v>0.00337437367190401</c:v>
                </c:pt>
                <c:pt idx="23">
                  <c:v>0.00363893641776299</c:v>
                </c:pt>
                <c:pt idx="24">
                  <c:v>0.00391073243557073</c:v>
                </c:pt>
                <c:pt idx="25">
                  <c:v>0.00418950290148062</c:v>
                </c:pt>
                <c:pt idx="26">
                  <c:v>0.00447499591998492</c:v>
                </c:pt>
                <c:pt idx="27">
                  <c:v>0.00476696635451812</c:v>
                </c:pt>
                <c:pt idx="28">
                  <c:v>0.00506517566200507</c:v>
                </c:pt>
                <c:pt idx="29">
                  <c:v>0.00536939173126485</c:v>
                </c:pt>
                <c:pt idx="30">
                  <c:v>0.00567938872518338</c:v>
                </c:pt>
                <c:pt idx="31">
                  <c:v>0.00599494692656945</c:v>
                </c:pt>
                <c:pt idx="32">
                  <c:v>0.00631585258761119</c:v>
                </c:pt>
                <c:pt idx="33">
                  <c:v>0.00664189778285131</c:v>
                </c:pt>
                <c:pt idx="34">
                  <c:v>0.00697288026560172</c:v>
                </c:pt>
                <c:pt idx="35">
                  <c:v>0.00730860332771946</c:v>
                </c:pt>
                <c:pt idx="36">
                  <c:v>0.00764887566266796</c:v>
                </c:pt>
                <c:pt idx="37">
                  <c:v>0.00799351123178921</c:v>
                </c:pt>
                <c:pt idx="38">
                  <c:v>0.00834232913371385</c:v>
                </c:pt>
                <c:pt idx="39">
                  <c:v>0.00869515347683821</c:v>
                </c:pt>
                <c:pt idx="40">
                  <c:v>0.00905181325479862</c:v>
                </c:pt>
                <c:pt idx="41">
                  <c:v>0.00941214222487483</c:v>
                </c:pt>
                <c:pt idx="42">
                  <c:v>0.00977597878925617</c:v>
                </c:pt>
                <c:pt idx="43">
                  <c:v>0.0101431658791052</c:v>
                </c:pt>
                <c:pt idx="44">
                  <c:v>0.0105135508413552</c:v>
                </c:pt>
                <c:pt idx="45">
                  <c:v>0.0108869853281797</c:v>
                </c:pt>
                <c:pt idx="46">
                  <c:v>0.0112633251890724</c:v>
                </c:pt>
                <c:pt idx="47">
                  <c:v>0.0116424303654792</c:v>
                </c:pt>
                <c:pt idx="48">
                  <c:v>0.0120241647879223</c:v>
                </c:pt>
                <c:pt idx="49">
                  <c:v>0.0124083962755617</c:v>
                </c:pt>
                <c:pt idx="50">
                  <c:v>0.0127949964381374</c:v>
                </c:pt>
                <c:pt idx="51">
                  <c:v>0.0131838405802369</c:v>
                </c:pt>
                <c:pt idx="52">
                  <c:v>0.0135748076078371</c:v>
                </c:pt>
                <c:pt idx="53">
                  <c:v>0.0139677799370674</c:v>
                </c:pt>
                <c:pt idx="54">
                  <c:v>0.0143626434051419</c:v>
                </c:pt>
                <c:pt idx="55">
                  <c:v>0.014759287183414</c:v>
                </c:pt>
                <c:pt idx="56">
                  <c:v>0.0151576036925023</c:v>
                </c:pt>
                <c:pt idx="57">
                  <c:v>0.015557488519441</c:v>
                </c:pt>
                <c:pt idx="58">
                  <c:v>0.0159588403368096</c:v>
                </c:pt>
                <c:pt idx="59">
                  <c:v>0.0163615608237939</c:v>
                </c:pt>
                <c:pt idx="60">
                  <c:v>0.0167655545891367</c:v>
                </c:pt>
                <c:pt idx="61">
                  <c:v>0.0171707290959335</c:v>
                </c:pt>
                <c:pt idx="62">
                  <c:v>0.0175769945882301</c:v>
                </c:pt>
                <c:pt idx="63">
                  <c:v>0.0179842640193819</c:v>
                </c:pt>
                <c:pt idx="64">
                  <c:v>0.0183924529821341</c:v>
                </c:pt>
                <c:pt idx="65">
                  <c:v>0.0188014796403825</c:v>
                </c:pt>
                <c:pt idx="66">
                  <c:v>0.0192112646625769</c:v>
                </c:pt>
                <c:pt idx="67">
                  <c:v>0.0196217311567283</c:v>
                </c:pt>
                <c:pt idx="68">
                  <c:v>0.0200328046069844</c:v>
                </c:pt>
                <c:pt idx="69">
                  <c:v>0.0204444128117356</c:v>
                </c:pt>
                <c:pt idx="70">
                  <c:v>0.0208564858232169</c:v>
                </c:pt>
                <c:pt idx="71">
                  <c:v>0.0212689558885714</c:v>
                </c:pt>
                <c:pt idx="72">
                  <c:v>0.0216817573923404</c:v>
                </c:pt>
                <c:pt idx="73">
                  <c:v>0.0220948268003487</c:v>
                </c:pt>
                <c:pt idx="74">
                  <c:v>0.0225081026049513</c:v>
                </c:pt>
                <c:pt idx="75">
                  <c:v>0.022921525271611</c:v>
                </c:pt>
                <c:pt idx="76">
                  <c:v>0.0233350371867752</c:v>
                </c:pt>
                <c:pt idx="77">
                  <c:v>0.0237485826070221</c:v>
                </c:pt>
                <c:pt idx="78">
                  <c:v>0.0241621076094471</c:v>
                </c:pt>
                <c:pt idx="79">
                  <c:v>0.02457556004326</c:v>
                </c:pt>
                <c:pt idx="80">
                  <c:v>0.0249888894825653</c:v>
                </c:pt>
                <c:pt idx="81">
                  <c:v>0.0254020471802972</c:v>
                </c:pt>
                <c:pt idx="82">
                  <c:v>0.0258149860232839</c:v>
                </c:pt>
                <c:pt idx="83">
                  <c:v>0.0262276604884135</c:v>
                </c:pt>
                <c:pt idx="84">
                  <c:v>0.026640026599876</c:v>
                </c:pt>
                <c:pt idx="85">
                  <c:v>0.0270520418874571</c:v>
                </c:pt>
                <c:pt idx="86">
                  <c:v>0.0274636653458581</c:v>
                </c:pt>
                <c:pt idx="87">
                  <c:v>0.0278748573950188</c:v>
                </c:pt>
                <c:pt idx="88">
                  <c:v>0.0282855798414195</c:v>
                </c:pt>
                <c:pt idx="89">
                  <c:v>0.0286957958403387</c:v>
                </c:pt>
                <c:pt idx="90">
                  <c:v>0.0291054698590457</c:v>
                </c:pt>
                <c:pt idx="91">
                  <c:v>0.0295145676409037</c:v>
                </c:pt>
                <c:pt idx="92">
                  <c:v>0.0299230561703643</c:v>
                </c:pt>
                <c:pt idx="93">
                  <c:v>0.0303309036388311</c:v>
                </c:pt>
                <c:pt idx="94">
                  <c:v>0.030738079411373</c:v>
                </c:pt>
                <c:pt idx="95">
                  <c:v>0.0311445539942654</c:v>
                </c:pt>
                <c:pt idx="96">
                  <c:v>0.031550299003342</c:v>
                </c:pt>
                <c:pt idx="97">
                  <c:v>0.0319552871331367</c:v>
                </c:pt>
                <c:pt idx="98">
                  <c:v>0.0323594921267971</c:v>
                </c:pt>
                <c:pt idx="99">
                  <c:v>0.0327628887467519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331768"/>
        <c:axId val="608340552"/>
      </c:lineChart>
      <c:catAx>
        <c:axId val="608331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Sex Acts</a:t>
                </a:r>
              </a:p>
            </c:rich>
          </c:tx>
          <c:layout>
            <c:manualLayout>
              <c:xMode val="edge"/>
              <c:yMode val="edge"/>
              <c:x val="0.445064737019604"/>
              <c:y val="0.8921574803149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8340552"/>
        <c:crosses val="autoZero"/>
        <c:auto val="1"/>
        <c:lblAlgn val="ctr"/>
        <c:lblOffset val="100"/>
        <c:tickLblSkip val="10"/>
        <c:tickMarkSkip val="1"/>
        <c:noMultiLvlLbl val="0"/>
      </c:catAx>
      <c:valAx>
        <c:axId val="608340552"/>
        <c:scaling>
          <c:orientation val="minMax"/>
          <c:max val="1.0"/>
          <c:min val="0.0"/>
        </c:scaling>
        <c:delete val="0"/>
        <c:axPos val="l"/>
        <c:majorGridlines>
          <c:spPr>
            <a:ln w="3175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5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Probability    </a:t>
                </a:r>
              </a:p>
            </c:rich>
          </c:tx>
          <c:layout>
            <c:manualLayout>
              <c:xMode val="edge"/>
              <c:yMode val="edge"/>
              <c:x val="0.0130353817504655"/>
              <c:y val="0.34313761899165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8331768"/>
        <c:crosses val="autoZero"/>
        <c:crossBetween val="between"/>
        <c:majorUnit val="0.25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FFFFCC" mc:Ignorable="a14" a14:legacySpreadsheetColorIndex="26"/>
            </a:gs>
            <a:gs pos="50000">
              <a:srgbClr xmlns:mc="http://schemas.openxmlformats.org/markup-compatibility/2006" xmlns:a14="http://schemas.microsoft.com/office/drawing/2010/main" val="D2D2A8" mc:Ignorable="a14" a14:legacySpreadsheetColorIndex="26">
                <a:gamma/>
                <a:shade val="82353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FFFFCC" mc:Ignorable="a14" a14:legacySpreadsheetColorIndex="26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7634422792123"/>
          <c:y val="0.212418380538254"/>
          <c:w val="0.240223317057435"/>
          <c:h val="0.14052297567281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8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CCCCFF" mc:Ignorable="a14" a14:legacySpreadsheetColorIndex="31"/>
        </a:gs>
        <a:gs pos="50000">
          <a:srgbClr xmlns:mc="http://schemas.openxmlformats.org/markup-compatibility/2006" xmlns:a14="http://schemas.microsoft.com/office/drawing/2010/main" val="5E5E76" mc:Ignorable="a14" a14:legacySpreadsheetColorIndex="31">
            <a:gamma/>
            <a:shade val="46275"/>
            <a:invGamma/>
          </a:srgbClr>
        </a:gs>
        <a:gs pos="100000">
          <a:srgbClr xmlns:mc="http://schemas.openxmlformats.org/markup-compatibility/2006" xmlns:a14="http://schemas.microsoft.com/office/drawing/2010/main" val="CCCCFF" mc:Ignorable="a14" a14:legacySpreadsheetColorIndex="31"/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 paperSize="138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Probability of Unsuccessful Pregnancy</a:t>
            </a:r>
          </a:p>
        </c:rich>
      </c:tx>
      <c:layout>
        <c:manualLayout>
          <c:xMode val="edge"/>
          <c:yMode val="edge"/>
          <c:x val="0.205936920222635"/>
          <c:y val="0.032786885245901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567717996289"/>
          <c:y val="0.177049180327869"/>
          <c:w val="0.831168831168831"/>
          <c:h val="0.613114754098361"/>
        </c:manualLayout>
      </c:layout>
      <c:lineChart>
        <c:grouping val="standard"/>
        <c:varyColors val="0"/>
        <c:ser>
          <c:idx val="1"/>
          <c:order val="0"/>
          <c:tx>
            <c:strRef>
              <c:f>Model!$O$1</c:f>
              <c:strCache>
                <c:ptCount val="1"/>
                <c:pt idx="0">
                  <c:v>HIV-ve</c:v>
                </c:pt>
              </c:strCache>
            </c:strRef>
          </c:tx>
          <c:spPr>
            <a:ln w="12700">
              <a:solidFill>
                <a:srgbClr val="9999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99FF"/>
              </a:solidFill>
              <a:ln>
                <a:solidFill>
                  <a:srgbClr val="9999FF"/>
                </a:solidFill>
                <a:prstDash val="solid"/>
              </a:ln>
            </c:spPr>
          </c:marker>
          <c:cat>
            <c:numRef>
              <c:f>Model!$F$2:$F$101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Model!$O$2:$O$101</c:f>
              <c:numCache>
                <c:formatCode>0.00%</c:formatCode>
                <c:ptCount val="100"/>
                <c:pt idx="0">
                  <c:v>0.981603198687166</c:v>
                </c:pt>
                <c:pt idx="1">
                  <c:v>0.963575098620118</c:v>
                </c:pt>
                <c:pt idx="2">
                  <c:v>0.945908218478348</c:v>
                </c:pt>
                <c:pt idx="3">
                  <c:v>0.928595229001428</c:v>
                </c:pt>
                <c:pt idx="4">
                  <c:v>0.91162894989764</c:v>
                </c:pt>
                <c:pt idx="5">
                  <c:v>0.89500234681545</c:v>
                </c:pt>
                <c:pt idx="6">
                  <c:v>0.878708528376556</c:v>
                </c:pt>
                <c:pt idx="7">
                  <c:v>0.862740743269254</c:v>
                </c:pt>
                <c:pt idx="8">
                  <c:v>0.8470923774009</c:v>
                </c:pt>
                <c:pt idx="9">
                  <c:v>0.831756951108264</c:v>
                </c:pt>
                <c:pt idx="10">
                  <c:v>0.816728116424594</c:v>
                </c:pt>
                <c:pt idx="11">
                  <c:v>0.801999654402252</c:v>
                </c:pt>
                <c:pt idx="12">
                  <c:v>0.787565472489771</c:v>
                </c:pt>
                <c:pt idx="13">
                  <c:v>0.773419601962245</c:v>
                </c:pt>
                <c:pt idx="14">
                  <c:v>0.759556195403962</c:v>
                </c:pt>
                <c:pt idx="15">
                  <c:v>0.745969524242209</c:v>
                </c:pt>
                <c:pt idx="16">
                  <c:v>0.732653976331223</c:v>
                </c:pt>
                <c:pt idx="17">
                  <c:v>0.719604053585258</c:v>
                </c:pt>
                <c:pt idx="18">
                  <c:v>0.706814369659776</c:v>
                </c:pt>
                <c:pt idx="19">
                  <c:v>0.694279647679776</c:v>
                </c:pt>
                <c:pt idx="20">
                  <c:v>0.681994718014314</c:v>
                </c:pt>
                <c:pt idx="21">
                  <c:v>0.66995451609626</c:v>
                </c:pt>
                <c:pt idx="22">
                  <c:v>0.65815408028639</c:v>
                </c:pt>
                <c:pt idx="23">
                  <c:v>0.646588549780891</c:v>
                </c:pt>
                <c:pt idx="24">
                  <c:v>0.63525316256142</c:v>
                </c:pt>
                <c:pt idx="25">
                  <c:v>0.624143253386827</c:v>
                </c:pt>
                <c:pt idx="26">
                  <c:v>0.613254251825719</c:v>
                </c:pt>
                <c:pt idx="27">
                  <c:v>0.602581680329014</c:v>
                </c:pt>
                <c:pt idx="28">
                  <c:v>0.592121152341684</c:v>
                </c:pt>
                <c:pt idx="29">
                  <c:v>0.581868370452891</c:v>
                </c:pt>
                <c:pt idx="30">
                  <c:v>0.571819124583722</c:v>
                </c:pt>
                <c:pt idx="31">
                  <c:v>0.561969290211785</c:v>
                </c:pt>
                <c:pt idx="32">
                  <c:v>0.552314826631877</c:v>
                </c:pt>
                <c:pt idx="33">
                  <c:v>0.542851775252037</c:v>
                </c:pt>
                <c:pt idx="34">
                  <c:v>0.533576257924222</c:v>
                </c:pt>
                <c:pt idx="35">
                  <c:v>0.524484475308936</c:v>
                </c:pt>
                <c:pt idx="36">
                  <c:v>0.515572705273096</c:v>
                </c:pt>
                <c:pt idx="37">
                  <c:v>0.506837301320472</c:v>
                </c:pt>
                <c:pt idx="38">
                  <c:v>0.498274691054049</c:v>
                </c:pt>
                <c:pt idx="39">
                  <c:v>0.489881374669631</c:v>
                </c:pt>
                <c:pt idx="40">
                  <c:v>0.481653923480081</c:v>
                </c:pt>
                <c:pt idx="41">
                  <c:v>0.473588978469571</c:v>
                </c:pt>
                <c:pt idx="42">
                  <c:v>0.465683248877207</c:v>
                </c:pt>
                <c:pt idx="43">
                  <c:v>0.457933510809465</c:v>
                </c:pt>
                <c:pt idx="44">
                  <c:v>0.450336605880829</c:v>
                </c:pt>
                <c:pt idx="45">
                  <c:v>0.44288943988207</c:v>
                </c:pt>
                <c:pt idx="46">
                  <c:v>0.435588981475595</c:v>
                </c:pt>
                <c:pt idx="47">
                  <c:v>0.428432260917324</c:v>
                </c:pt>
                <c:pt idx="48">
                  <c:v>0.421416368804549</c:v>
                </c:pt>
                <c:pt idx="49">
                  <c:v>0.414538454849251</c:v>
                </c:pt>
                <c:pt idx="50">
                  <c:v>0.407795726676357</c:v>
                </c:pt>
                <c:pt idx="51">
                  <c:v>0.401185448646426</c:v>
                </c:pt>
                <c:pt idx="52">
                  <c:v>0.394704940702275</c:v>
                </c:pt>
                <c:pt idx="53">
                  <c:v>0.388351577239048</c:v>
                </c:pt>
                <c:pt idx="54">
                  <c:v>0.38212278599726</c:v>
                </c:pt>
                <c:pt idx="55">
                  <c:v>0.376016046978349</c:v>
                </c:pt>
                <c:pt idx="56">
                  <c:v>0.370028891382266</c:v>
                </c:pt>
                <c:pt idx="57">
                  <c:v>0.364158900566677</c:v>
                </c:pt>
                <c:pt idx="58">
                  <c:v>0.358403705027314</c:v>
                </c:pt>
                <c:pt idx="59">
                  <c:v>0.352760983399059</c:v>
                </c:pt>
                <c:pt idx="60">
                  <c:v>0.34722846147734</c:v>
                </c:pt>
                <c:pt idx="61">
                  <c:v>0.341803911259421</c:v>
                </c:pt>
                <c:pt idx="62">
                  <c:v>0.336485150005176</c:v>
                </c:pt>
                <c:pt idx="63">
                  <c:v>0.33127003931697</c:v>
                </c:pt>
                <c:pt idx="64">
                  <c:v>0.326156484238235</c:v>
                </c:pt>
                <c:pt idx="65">
                  <c:v>0.321142432370383</c:v>
                </c:pt>
                <c:pt idx="66">
                  <c:v>0.316225873007658</c:v>
                </c:pt>
                <c:pt idx="67">
                  <c:v>0.311404836289595</c:v>
                </c:pt>
                <c:pt idx="68">
                  <c:v>0.306677392370694</c:v>
                </c:pt>
                <c:pt idx="69">
                  <c:v>0.302041650606984</c:v>
                </c:pt>
                <c:pt idx="70">
                  <c:v>0.29749575875912</c:v>
                </c:pt>
                <c:pt idx="71">
                  <c:v>0.293037902211686</c:v>
                </c:pt>
                <c:pt idx="72">
                  <c:v>0.288666303208362</c:v>
                </c:pt>
                <c:pt idx="73">
                  <c:v>0.284379220102649</c:v>
                </c:pt>
                <c:pt idx="74">
                  <c:v>0.280174946623823</c:v>
                </c:pt>
                <c:pt idx="75">
                  <c:v>0.276051811157811</c:v>
                </c:pt>
                <c:pt idx="76">
                  <c:v>0.272008176042687</c:v>
                </c:pt>
                <c:pt idx="77">
                  <c:v>0.268042436878498</c:v>
                </c:pt>
                <c:pt idx="78">
                  <c:v>0.26415302185111</c:v>
                </c:pt>
                <c:pt idx="79">
                  <c:v>0.260338391069809</c:v>
                </c:pt>
                <c:pt idx="80">
                  <c:v>0.256597035918366</c:v>
                </c:pt>
                <c:pt idx="81">
                  <c:v>0.252927478419294</c:v>
                </c:pt>
                <c:pt idx="82">
                  <c:v>0.249328270611033</c:v>
                </c:pt>
                <c:pt idx="83">
                  <c:v>0.245797993937792</c:v>
                </c:pt>
                <c:pt idx="84">
                  <c:v>0.2423352586518</c:v>
                </c:pt>
                <c:pt idx="85">
                  <c:v>0.238938703227709</c:v>
                </c:pt>
                <c:pt idx="86">
                  <c:v>0.235606993788899</c:v>
                </c:pt>
                <c:pt idx="87">
                  <c:v>0.232338823545452</c:v>
                </c:pt>
                <c:pt idx="88">
                  <c:v>0.229132912243544</c:v>
                </c:pt>
                <c:pt idx="89">
                  <c:v>0.225988005626042</c:v>
                </c:pt>
                <c:pt idx="90">
                  <c:v>0.222902874904055</c:v>
                </c:pt>
                <c:pt idx="91">
                  <c:v>0.219876316239238</c:v>
                </c:pt>
                <c:pt idx="92">
                  <c:v>0.216907150236616</c:v>
                </c:pt>
                <c:pt idx="93">
                  <c:v>0.213994221447722</c:v>
                </c:pt>
                <c:pt idx="94">
                  <c:v>0.211136397883831</c:v>
                </c:pt>
                <c:pt idx="95">
                  <c:v>0.208332570539098</c:v>
                </c:pt>
                <c:pt idx="96">
                  <c:v>0.205581652923385</c:v>
                </c:pt>
                <c:pt idx="97">
                  <c:v>0.202882580604585</c:v>
                </c:pt>
                <c:pt idx="98">
                  <c:v>0.200234310760253</c:v>
                </c:pt>
                <c:pt idx="99">
                  <c:v>0.197635821738357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Model!$P$1</c:f>
              <c:strCache>
                <c:ptCount val="1"/>
                <c:pt idx="0">
                  <c:v>HIV+ve</c:v>
                </c:pt>
              </c:strCache>
            </c:strRef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cat>
            <c:numRef>
              <c:f>Model!$F$2:$F$101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Model!$P$2:$P$101</c:f>
              <c:numCache>
                <c:formatCode>0.00%</c:formatCode>
                <c:ptCount val="100"/>
                <c:pt idx="0">
                  <c:v>0.00270685264115291</c:v>
                </c:pt>
                <c:pt idx="1">
                  <c:v>0.00532160458631745</c:v>
                </c:pt>
                <c:pt idx="2">
                  <c:v>0.00784686092181268</c:v>
                </c:pt>
                <c:pt idx="3">
                  <c:v>0.0102851606377679</c:v>
                </c:pt>
                <c:pt idx="4">
                  <c:v>0.0126389782040255</c:v>
                </c:pt>
                <c:pt idx="5">
                  <c:v>0.0149107251099106</c:v>
                </c:pt>
                <c:pt idx="6">
                  <c:v>0.0171027513686749</c:v>
                </c:pt>
                <c:pt idx="7">
                  <c:v>0.0192173469874032</c:v>
                </c:pt>
                <c:pt idx="8">
                  <c:v>0.0212567434031548</c:v>
                </c:pt>
                <c:pt idx="9">
                  <c:v>0.0232231148860944</c:v>
                </c:pt>
                <c:pt idx="10">
                  <c:v>0.0251185799103515</c:v>
                </c:pt>
                <c:pt idx="11">
                  <c:v>0.0269452024933289</c:v>
                </c:pt>
                <c:pt idx="12">
                  <c:v>0.028704993504169</c:v>
                </c:pt>
                <c:pt idx="13">
                  <c:v>0.0303999119420661</c:v>
                </c:pt>
                <c:pt idx="14">
                  <c:v>0.0320318661851027</c:v>
                </c:pt>
                <c:pt idx="15">
                  <c:v>0.0336027152102681</c:v>
                </c:pt>
                <c:pt idx="16">
                  <c:v>0.0351142697853085</c:v>
                </c:pt>
                <c:pt idx="17">
                  <c:v>0.0365682936330374</c:v>
                </c:pt>
                <c:pt idx="18">
                  <c:v>0.037966504568728</c:v>
                </c:pt>
                <c:pt idx="19">
                  <c:v>0.0393105756111883</c:v>
                </c:pt>
                <c:pt idx="20">
                  <c:v>0.0406021360681141</c:v>
                </c:pt>
                <c:pt idx="21">
                  <c:v>0.0418427725962952</c:v>
                </c:pt>
                <c:pt idx="22">
                  <c:v>0.0430340302372409</c:v>
                </c:pt>
                <c:pt idx="23">
                  <c:v>0.0441774134287802</c:v>
                </c:pt>
                <c:pt idx="24">
                  <c:v>0.045274386993174</c:v>
                </c:pt>
                <c:pt idx="25">
                  <c:v>0.0463263771022704</c:v>
                </c:pt>
                <c:pt idx="26">
                  <c:v>0.0473347722202209</c:v>
                </c:pt>
                <c:pt idx="27">
                  <c:v>0.0483009240242613</c:v>
                </c:pt>
                <c:pt idx="28">
                  <c:v>0.049226148304054</c:v>
                </c:pt>
                <c:pt idx="29">
                  <c:v>0.0501117258400749</c:v>
                </c:pt>
                <c:pt idx="30">
                  <c:v>0.0509589032615175</c:v>
                </c:pt>
                <c:pt idx="31">
                  <c:v>0.051768893884177</c:v>
                </c:pt>
                <c:pt idx="32">
                  <c:v>0.0525428785287683</c:v>
                </c:pt>
                <c:pt idx="33">
                  <c:v>0.0532820063201183</c:v>
                </c:pt>
                <c:pt idx="34">
                  <c:v>0.0539873954676659</c:v>
                </c:pt>
                <c:pt idx="35">
                  <c:v>0.0546601340276944</c:v>
                </c:pt>
                <c:pt idx="36">
                  <c:v>0.0553012806477066</c:v>
                </c:pt>
                <c:pt idx="37">
                  <c:v>0.0559118652933516</c:v>
                </c:pt>
                <c:pt idx="38">
                  <c:v>0.0564928899582947</c:v>
                </c:pt>
                <c:pt idx="39">
                  <c:v>0.0570453293574198</c:v>
                </c:pt>
                <c:pt idx="40">
                  <c:v>0.0575701316037428</c:v>
                </c:pt>
                <c:pt idx="41">
                  <c:v>0.0580682188694036</c:v>
                </c:pt>
                <c:pt idx="42">
                  <c:v>0.0585404880311012</c:v>
                </c:pt>
                <c:pt idx="43">
                  <c:v>0.0589878113003232</c:v>
                </c:pt>
                <c:pt idx="44">
                  <c:v>0.0594110368387172</c:v>
                </c:pt>
                <c:pt idx="45">
                  <c:v>0.0598109893589422</c:v>
                </c:pt>
                <c:pt idx="46">
                  <c:v>0.0601884707113285</c:v>
                </c:pt>
                <c:pt idx="47">
                  <c:v>0.0605442604566728</c:v>
                </c:pt>
                <c:pt idx="48">
                  <c:v>0.0608791164254815</c:v>
                </c:pt>
                <c:pt idx="49">
                  <c:v>0.0611937752639731</c:v>
                </c:pt>
                <c:pt idx="50">
                  <c:v>0.0614889529671416</c:v>
                </c:pt>
                <c:pt idx="51">
                  <c:v>0.0617653453991758</c:v>
                </c:pt>
                <c:pt idx="52">
                  <c:v>0.0620236288015239</c:v>
                </c:pt>
                <c:pt idx="53">
                  <c:v>0.0622644602888862</c:v>
                </c:pt>
                <c:pt idx="54">
                  <c:v>0.0624884783334101</c:v>
                </c:pt>
                <c:pt idx="55">
                  <c:v>0.0626963032373614</c:v>
                </c:pt>
                <c:pt idx="56">
                  <c:v>0.0628885375945313</c:v>
                </c:pt>
                <c:pt idx="57">
                  <c:v>0.06306576674064</c:v>
                </c:pt>
                <c:pt idx="58">
                  <c:v>0.063228559192989</c:v>
                </c:pt>
                <c:pt idx="59">
                  <c:v>0.0633774670796079</c:v>
                </c:pt>
                <c:pt idx="60">
                  <c:v>0.0635130265581373</c:v>
                </c:pt>
                <c:pt idx="61">
                  <c:v>0.0636357582246843</c:v>
                </c:pt>
                <c:pt idx="62">
                  <c:v>0.0637461675128797</c:v>
                </c:pt>
                <c:pt idx="63">
                  <c:v>0.0638447450833638</c:v>
                </c:pt>
                <c:pt idx="64">
                  <c:v>0.0639319672039198</c:v>
                </c:pt>
                <c:pt idx="65">
                  <c:v>0.0640082961204715</c:v>
                </c:pt>
                <c:pt idx="66">
                  <c:v>0.0640741804191544</c:v>
                </c:pt>
                <c:pt idx="67">
                  <c:v>0.0641300553796677</c:v>
                </c:pt>
                <c:pt idx="68">
                  <c:v>0.0641763433201067</c:v>
                </c:pt>
                <c:pt idx="69">
                  <c:v>0.0642134539334743</c:v>
                </c:pt>
                <c:pt idx="70">
                  <c:v>0.0642417846160614</c:v>
                </c:pt>
                <c:pt idx="71">
                  <c:v>0.0642617207878872</c:v>
                </c:pt>
                <c:pt idx="72">
                  <c:v>0.0642736362053806</c:v>
                </c:pt>
                <c:pt idx="73">
                  <c:v>0.0642778932664831</c:v>
                </c:pt>
                <c:pt idx="74">
                  <c:v>0.0642748433083503</c:v>
                </c:pt>
                <c:pt idx="75">
                  <c:v>0.0642648268978212</c:v>
                </c:pt>
                <c:pt idx="76">
                  <c:v>0.0642481741148245</c:v>
                </c:pt>
                <c:pt idx="77">
                  <c:v>0.0642252048288865</c:v>
                </c:pt>
                <c:pt idx="78">
                  <c:v>0.0641962289688989</c:v>
                </c:pt>
                <c:pt idx="79">
                  <c:v>0.0641615467863055</c:v>
                </c:pt>
                <c:pt idx="80">
                  <c:v>0.0641214491118595</c:v>
                </c:pt>
                <c:pt idx="81">
                  <c:v>0.0640762176061011</c:v>
                </c:pt>
                <c:pt idx="82">
                  <c:v>0.0640261250037029</c:v>
                </c:pt>
                <c:pt idx="83">
                  <c:v>0.0639714353518252</c:v>
                </c:pt>
                <c:pt idx="84">
                  <c:v>0.0639124042426204</c:v>
                </c:pt>
                <c:pt idx="85">
                  <c:v>0.0638492790400253</c:v>
                </c:pt>
                <c:pt idx="86">
                  <c:v>0.0637822991009724</c:v>
                </c:pt>
                <c:pt idx="87">
                  <c:v>0.0637116959911522</c:v>
                </c:pt>
                <c:pt idx="88">
                  <c:v>0.063637693695454</c:v>
                </c:pt>
                <c:pt idx="89">
                  <c:v>0.063560508823209</c:v>
                </c:pt>
                <c:pt idx="90">
                  <c:v>0.0634803508083586</c:v>
                </c:pt>
                <c:pt idx="91">
                  <c:v>0.0633974221046664</c:v>
                </c:pt>
                <c:pt idx="92">
                  <c:v>0.0633119183760903</c:v>
                </c:pt>
                <c:pt idx="93">
                  <c:v>0.063224028682429</c:v>
                </c:pt>
                <c:pt idx="94">
                  <c:v>0.0631339356603531</c:v>
                </c:pt>
                <c:pt idx="95">
                  <c:v>0.0630418156999304</c:v>
                </c:pt>
                <c:pt idx="96">
                  <c:v>0.0629478391167511</c:v>
                </c:pt>
                <c:pt idx="97">
                  <c:v>0.0628521703197569</c:v>
                </c:pt>
                <c:pt idx="98">
                  <c:v>0.0627549679748747</c:v>
                </c:pt>
                <c:pt idx="99">
                  <c:v>0.0626563851645554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385336"/>
        <c:axId val="608394088"/>
      </c:lineChart>
      <c:catAx>
        <c:axId val="608385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Sex Acts</a:t>
                </a:r>
              </a:p>
            </c:rich>
          </c:tx>
          <c:layout>
            <c:manualLayout>
              <c:xMode val="edge"/>
              <c:yMode val="edge"/>
              <c:x val="0.452690166975881"/>
              <c:y val="0.8918032786885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8394088"/>
        <c:crosses val="autoZero"/>
        <c:auto val="1"/>
        <c:lblAlgn val="ctr"/>
        <c:lblOffset val="100"/>
        <c:tickLblSkip val="10"/>
        <c:tickMarkSkip val="1"/>
        <c:noMultiLvlLbl val="0"/>
      </c:catAx>
      <c:valAx>
        <c:axId val="608394088"/>
        <c:scaling>
          <c:orientation val="minMax"/>
          <c:max val="1.0"/>
          <c:min val="0.0"/>
        </c:scaling>
        <c:delete val="0"/>
        <c:axPos val="l"/>
        <c:majorGridlines>
          <c:spPr>
            <a:ln w="3175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Probability    </a:t>
                </a:r>
              </a:p>
            </c:rich>
          </c:tx>
          <c:layout>
            <c:manualLayout>
              <c:xMode val="edge"/>
              <c:yMode val="edge"/>
              <c:x val="0.012987012987013"/>
              <c:y val="0.34426229508196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8385336"/>
        <c:crosses val="autoZero"/>
        <c:crossBetween val="between"/>
        <c:majorUnit val="0.25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FFFFCC" mc:Ignorable="a14" a14:legacySpreadsheetColorIndex="26"/>
            </a:gs>
            <a:gs pos="50000">
              <a:srgbClr xmlns:mc="http://schemas.openxmlformats.org/markup-compatibility/2006" xmlns:a14="http://schemas.microsoft.com/office/drawing/2010/main" val="C2C29B" mc:Ignorable="a14" a14:legacySpreadsheetColorIndex="26">
                <a:gamma/>
                <a:shade val="76078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FFFFCC" mc:Ignorable="a14" a14:legacySpreadsheetColorIndex="26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1168831168831"/>
          <c:y val="0.216393442622951"/>
          <c:w val="0.128014842300557"/>
          <c:h val="0.095081967213114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8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CCCCFF" mc:Ignorable="a14" a14:legacySpreadsheetColorIndex="31"/>
        </a:gs>
        <a:gs pos="50000">
          <a:srgbClr xmlns:mc="http://schemas.openxmlformats.org/markup-compatibility/2006" xmlns:a14="http://schemas.microsoft.com/office/drawing/2010/main" val="5E5E76" mc:Ignorable="a14" a14:legacySpreadsheetColorIndex="31">
            <a:gamma/>
            <a:shade val="46275"/>
            <a:invGamma/>
          </a:srgbClr>
        </a:gs>
        <a:gs pos="100000">
          <a:srgbClr xmlns:mc="http://schemas.openxmlformats.org/markup-compatibility/2006" xmlns:a14="http://schemas.microsoft.com/office/drawing/2010/main" val="CCCCFF" mc:Ignorable="a14" a14:legacySpreadsheetColorIndex="31"/>
        </a:gs>
      </a:gsLst>
      <a:lin ang="189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Outcome probabilities after N sex acts</a:t>
            </a:r>
          </a:p>
        </c:rich>
      </c:tx>
      <c:layout>
        <c:manualLayout>
          <c:xMode val="edge"/>
          <c:yMode val="edge"/>
          <c:x val="0.248201297229933"/>
          <c:y val="0.1143790849673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4892027099597"/>
          <c:y val="0.320261693427745"/>
          <c:w val="0.571942194902293"/>
          <c:h val="0.411765034407101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8"/>
          <c:dPt>
            <c:idx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3399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Interface!$B$29:$F$29</c:f>
              <c:strCache>
                <c:ptCount val="5"/>
                <c:pt idx="0">
                  <c:v>HIV-ve &amp; baby</c:v>
                </c:pt>
                <c:pt idx="1">
                  <c:v>HIV+ve &amp; -ve baby</c:v>
                </c:pt>
                <c:pt idx="2">
                  <c:v>HIV+ve &amp; +ve baby</c:v>
                </c:pt>
                <c:pt idx="3">
                  <c:v>HIV-ve</c:v>
                </c:pt>
                <c:pt idx="4">
                  <c:v>HIV+ve</c:v>
                </c:pt>
              </c:strCache>
            </c:strRef>
          </c:cat>
          <c:val>
            <c:numRef>
              <c:f>Interface!$B$30:$F$30</c:f>
              <c:numCache>
                <c:formatCode>General</c:formatCode>
                <c:ptCount val="5"/>
                <c:pt idx="0">
                  <c:v>0.491634907862253</c:v>
                </c:pt>
                <c:pt idx="1">
                  <c:v>0.0707739875806339</c:v>
                </c:pt>
                <c:pt idx="2">
                  <c:v>0.0159588403368096</c:v>
                </c:pt>
                <c:pt idx="3">
                  <c:v>0.358403705027314</c:v>
                </c:pt>
                <c:pt idx="4">
                  <c:v>0.063228559192989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21942021186201"/>
          <c:y val="0.297385878235809"/>
          <c:w val="0.172661728884609"/>
          <c:h val="0.4411767279090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FFFFCC" mc:Ignorable="a14" a14:legacySpreadsheetColorIndex="26"/>
        </a:gs>
        <a:gs pos="100000">
          <a:srgbClr xmlns:mc="http://schemas.openxmlformats.org/markup-compatibility/2006" xmlns:a14="http://schemas.microsoft.com/office/drawing/2010/main" val="76765E" mc:Ignorable="a14" a14:legacySpreadsheetColorIndex="26">
            <a:gamma/>
            <a:shade val="46275"/>
            <a:invGamma/>
          </a:srgbClr>
        </a:gs>
      </a:gsLst>
      <a:lin ang="54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P(CONCEPTION)_ANNUAL</c:v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numLit>
              <c:formatCode>General</c:formatCode>
              <c:ptCount val="5"/>
              <c:pt idx="0">
                <c:v>21.5</c:v>
              </c:pt>
              <c:pt idx="1">
                <c:v>28.0</c:v>
              </c:pt>
              <c:pt idx="2">
                <c:v>33.0</c:v>
              </c:pt>
              <c:pt idx="3">
                <c:v>38.0</c:v>
              </c:pt>
              <c:pt idx="4">
                <c:v>43.0</c:v>
              </c:pt>
            </c:numLit>
          </c:cat>
          <c:val>
            <c:numLit>
              <c:formatCode>General</c:formatCode>
              <c:ptCount val="5"/>
              <c:pt idx="0">
                <c:v>0.88</c:v>
              </c:pt>
              <c:pt idx="1">
                <c:v>0.8</c:v>
              </c:pt>
              <c:pt idx="2">
                <c:v>0.65</c:v>
              </c:pt>
              <c:pt idx="3">
                <c:v>0.55</c:v>
              </c:pt>
              <c:pt idx="4">
                <c:v>0.38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598152"/>
        <c:axId val="608600840"/>
      </c:lineChart>
      <c:catAx>
        <c:axId val="608598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8600840"/>
        <c:crosses val="autoZero"/>
        <c:auto val="1"/>
        <c:lblAlgn val="ctr"/>
        <c:lblOffset val="100"/>
        <c:noMultiLvlLbl val="0"/>
      </c:catAx>
      <c:valAx>
        <c:axId val="608600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8598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trlProps/ctrlProp1.xml><?xml version="1.0" encoding="utf-8"?>
<formControlPr xmlns="http://schemas.microsoft.com/office/spreadsheetml/2009/9/main" objectType="CheckBox" fmlaLink="Model!$C$11" lockText="1" noThreeD="1"/>
</file>

<file path=xl/ctrlProps/ctrlProp10.xml><?xml version="1.0" encoding="utf-8"?>
<formControlPr xmlns="http://schemas.microsoft.com/office/spreadsheetml/2009/9/main" objectType="Scroll" dx="16" fmlaLink="Model!$D$12" horiz="1" max="27" min="10" page="10" val="25"/>
</file>

<file path=xl/ctrlProps/ctrlProp11.xml><?xml version="1.0" encoding="utf-8"?>
<formControlPr xmlns="http://schemas.microsoft.com/office/spreadsheetml/2009/9/main" objectType="Scroll" dx="16" fmlaLink="Model!$D$13" horiz="1" max="2300" min="200" page="10" val="210"/>
</file>

<file path=xl/ctrlProps/ctrlProp12.xml><?xml version="1.0" encoding="utf-8"?>
<formControlPr xmlns="http://schemas.microsoft.com/office/spreadsheetml/2009/9/main" objectType="Scroll" dx="16" fmlaLink="Model!$D$14" horiz="1" max="846" min="125" page="10" val="125"/>
</file>

<file path=xl/ctrlProps/ctrlProp13.xml><?xml version="1.0" encoding="utf-8"?>
<formControlPr xmlns="http://schemas.microsoft.com/office/spreadsheetml/2009/9/main" objectType="Scroll" dx="16" fmlaLink="Model!$D$15" horiz="1" max="49" min="18" page="10" val="29"/>
</file>

<file path=xl/ctrlProps/ctrlProp14.xml><?xml version="1.0" encoding="utf-8"?>
<formControlPr xmlns="http://schemas.microsoft.com/office/spreadsheetml/2009/9/main" objectType="Scroll" dx="16" fmlaLink="Model!$D$18" horiz="1" max="325" min="184" page="10" val="184"/>
</file>

<file path=xl/ctrlProps/ctrlProp15.xml><?xml version="1.0" encoding="utf-8"?>
<formControlPr xmlns="http://schemas.microsoft.com/office/spreadsheetml/2009/9/main" objectType="CheckBox" fmlaLink="Model!$C$22" lockText="1" noThreeD="1"/>
</file>

<file path=xl/ctrlProps/ctrlProp16.xml><?xml version="1.0" encoding="utf-8"?>
<formControlPr xmlns="http://schemas.microsoft.com/office/spreadsheetml/2009/9/main" objectType="CheckBox" fmlaLink="Model!$C$23" lockText="1" noThreeD="1"/>
</file>

<file path=xl/ctrlProps/ctrlProp17.xml><?xml version="1.0" encoding="utf-8"?>
<formControlPr xmlns="http://schemas.microsoft.com/office/spreadsheetml/2009/9/main" objectType="Scroll" dx="16" fmlaLink="Model!$C$24" horiz="1" inc="5" max="100" min="50" page="10" val="82"/>
</file>

<file path=xl/ctrlProps/ctrlProp18.xml><?xml version="1.0" encoding="utf-8"?>
<formControlPr xmlns="http://schemas.microsoft.com/office/spreadsheetml/2009/9/main" objectType="Scroll" dx="16" fmlaLink="Model!$C$25" horiz="1" max="20" page="10" val="6"/>
</file>

<file path=xl/ctrlProps/ctrlProp2.xml><?xml version="1.0" encoding="utf-8"?>
<formControlPr xmlns="http://schemas.microsoft.com/office/spreadsheetml/2009/9/main" objectType="CheckBox" fmlaLink="Model!$C$12" lockText="1" noThreeD="1"/>
</file>

<file path=xl/ctrlProps/ctrlProp3.xml><?xml version="1.0" encoding="utf-8"?>
<formControlPr xmlns="http://schemas.microsoft.com/office/spreadsheetml/2009/9/main" objectType="CheckBox" fmlaLink="Model!$C$13" lockText="1" noThreeD="1"/>
</file>

<file path=xl/ctrlProps/ctrlProp4.xml><?xml version="1.0" encoding="utf-8"?>
<formControlPr xmlns="http://schemas.microsoft.com/office/spreadsheetml/2009/9/main" objectType="CheckBox" checked="Checked" fmlaLink="Model!$C$14" lockText="1" noThreeD="1"/>
</file>

<file path=xl/ctrlProps/ctrlProp5.xml><?xml version="1.0" encoding="utf-8"?>
<formControlPr xmlns="http://schemas.microsoft.com/office/spreadsheetml/2009/9/main" objectType="CheckBox" fmlaLink="Model!$C$19" lockText="1" noThreeD="1"/>
</file>

<file path=xl/ctrlProps/ctrlProp6.xml><?xml version="1.0" encoding="utf-8"?>
<formControlPr xmlns="http://schemas.microsoft.com/office/spreadsheetml/2009/9/main" objectType="Scroll" dx="16" fmlaLink="Model!$D$10" horiz="1" max="31" min="17" page="10" val="22"/>
</file>

<file path=xl/ctrlProps/ctrlProp7.xml><?xml version="1.0" encoding="utf-8"?>
<formControlPr xmlns="http://schemas.microsoft.com/office/spreadsheetml/2009/9/main" objectType="Scroll" dx="16" fmlaLink="Model!$D$11" horiz="1" max="235" min="129" page="10" val="162"/>
</file>

<file path=xl/ctrlProps/ctrlProp8.xml><?xml version="1.0" encoding="utf-8"?>
<formControlPr xmlns="http://schemas.microsoft.com/office/spreadsheetml/2009/9/main" objectType="Scroll" dx="16" fmlaLink="Model!$D$19" horiz="1" max="60" min="18" page="10" val="39"/>
</file>

<file path=xl/ctrlProps/ctrlProp9.xml><?xml version="1.0" encoding="utf-8"?>
<formControlPr xmlns="http://schemas.microsoft.com/office/spreadsheetml/2009/9/main" objectType="Scroll" dx="16" fmlaLink="Model!$D$24" horiz="1" max="100" min="1" page="10" val="59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25400</xdr:colOff>
      <xdr:row>0</xdr:row>
      <xdr:rowOff>127000</xdr:rowOff>
    </xdr:from>
    <xdr:to>
      <xdr:col>28</xdr:col>
      <xdr:colOff>330200</xdr:colOff>
      <xdr:row>22</xdr:row>
      <xdr:rowOff>190500</xdr:rowOff>
    </xdr:to>
    <xdr:graphicFrame macro="">
      <xdr:nvGraphicFramePr>
        <xdr:cNvPr id="1138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25</xdr:row>
      <xdr:rowOff>101600</xdr:rowOff>
    </xdr:from>
    <xdr:to>
      <xdr:col>29</xdr:col>
      <xdr:colOff>12700</xdr:colOff>
      <xdr:row>50</xdr:row>
      <xdr:rowOff>76200</xdr:rowOff>
    </xdr:to>
    <xdr:graphicFrame macro="">
      <xdr:nvGraphicFramePr>
        <xdr:cNvPr id="1139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393700</xdr:colOff>
      <xdr:row>25</xdr:row>
      <xdr:rowOff>76200</xdr:rowOff>
    </xdr:from>
    <xdr:to>
      <xdr:col>10</xdr:col>
      <xdr:colOff>203200</xdr:colOff>
      <xdr:row>50</xdr:row>
      <xdr:rowOff>63500</xdr:rowOff>
    </xdr:to>
    <xdr:graphicFrame macro="">
      <xdr:nvGraphicFramePr>
        <xdr:cNvPr id="1140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1282700</xdr:colOff>
          <xdr:row>5</xdr:row>
          <xdr:rowOff>63500</xdr:rowOff>
        </xdr:from>
        <xdr:to>
          <xdr:col>0</xdr:col>
          <xdr:colOff>1676400</xdr:colOff>
          <xdr:row>6</xdr:row>
          <xdr:rowOff>12700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1282700</xdr:colOff>
          <xdr:row>6</xdr:row>
          <xdr:rowOff>38100</xdr:rowOff>
        </xdr:from>
        <xdr:to>
          <xdr:col>0</xdr:col>
          <xdr:colOff>1676400</xdr:colOff>
          <xdr:row>6</xdr:row>
          <xdr:rowOff>254000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1282700</xdr:colOff>
          <xdr:row>7</xdr:row>
          <xdr:rowOff>50800</xdr:rowOff>
        </xdr:from>
        <xdr:to>
          <xdr:col>0</xdr:col>
          <xdr:colOff>1676400</xdr:colOff>
          <xdr:row>8</xdr:row>
          <xdr:rowOff>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1282700</xdr:colOff>
          <xdr:row>8</xdr:row>
          <xdr:rowOff>50800</xdr:rowOff>
        </xdr:from>
        <xdr:to>
          <xdr:col>0</xdr:col>
          <xdr:colOff>1676400</xdr:colOff>
          <xdr:row>9</xdr:row>
          <xdr:rowOff>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1282700</xdr:colOff>
          <xdr:row>15</xdr:row>
          <xdr:rowOff>139700</xdr:rowOff>
        </xdr:from>
        <xdr:to>
          <xdr:col>0</xdr:col>
          <xdr:colOff>1676400</xdr:colOff>
          <xdr:row>16</xdr:row>
          <xdr:rowOff>152400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2</xdr:row>
          <xdr:rowOff>38100</xdr:rowOff>
        </xdr:from>
        <xdr:to>
          <xdr:col>8</xdr:col>
          <xdr:colOff>342900</xdr:colOff>
          <xdr:row>3</xdr:row>
          <xdr:rowOff>63500</xdr:rowOff>
        </xdr:to>
        <xdr:sp macro="" textlink="">
          <xdr:nvSpPr>
            <xdr:cNvPr id="1121" name="Scroll Bar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5</xdr:row>
          <xdr:rowOff>50800</xdr:rowOff>
        </xdr:from>
        <xdr:to>
          <xdr:col>8</xdr:col>
          <xdr:colOff>342900</xdr:colOff>
          <xdr:row>5</xdr:row>
          <xdr:rowOff>241300</xdr:rowOff>
        </xdr:to>
        <xdr:sp macro="" textlink="">
          <xdr:nvSpPr>
            <xdr:cNvPr id="1125" name="Scroll Bar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63500</xdr:rowOff>
        </xdr:from>
        <xdr:to>
          <xdr:col>8</xdr:col>
          <xdr:colOff>381000</xdr:colOff>
          <xdr:row>17</xdr:row>
          <xdr:rowOff>50800</xdr:rowOff>
        </xdr:to>
        <xdr:sp macro="" textlink="">
          <xdr:nvSpPr>
            <xdr:cNvPr id="1135" name="Scroll Bar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50800</xdr:colOff>
          <xdr:row>23</xdr:row>
          <xdr:rowOff>12700</xdr:rowOff>
        </xdr:from>
        <xdr:to>
          <xdr:col>8</xdr:col>
          <xdr:colOff>355600</xdr:colOff>
          <xdr:row>24</xdr:row>
          <xdr:rowOff>12700</xdr:rowOff>
        </xdr:to>
        <xdr:sp macro="" textlink="">
          <xdr:nvSpPr>
            <xdr:cNvPr id="1136" name="Scroll Bar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6</xdr:row>
          <xdr:rowOff>50800</xdr:rowOff>
        </xdr:from>
        <xdr:to>
          <xdr:col>8</xdr:col>
          <xdr:colOff>342900</xdr:colOff>
          <xdr:row>6</xdr:row>
          <xdr:rowOff>241300</xdr:rowOff>
        </xdr:to>
        <xdr:sp macro="" textlink="">
          <xdr:nvSpPr>
            <xdr:cNvPr id="1126" name="Scroll Bar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7</xdr:row>
          <xdr:rowOff>76200</xdr:rowOff>
        </xdr:from>
        <xdr:to>
          <xdr:col>8</xdr:col>
          <xdr:colOff>342900</xdr:colOff>
          <xdr:row>8</xdr:row>
          <xdr:rowOff>0</xdr:rowOff>
        </xdr:to>
        <xdr:sp macro="" textlink="">
          <xdr:nvSpPr>
            <xdr:cNvPr id="1127" name="Scroll Bar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8</xdr:row>
          <xdr:rowOff>88900</xdr:rowOff>
        </xdr:from>
        <xdr:to>
          <xdr:col>8</xdr:col>
          <xdr:colOff>342900</xdr:colOff>
          <xdr:row>9</xdr:row>
          <xdr:rowOff>12700</xdr:rowOff>
        </xdr:to>
        <xdr:sp macro="" textlink="">
          <xdr:nvSpPr>
            <xdr:cNvPr id="1134" name="Scroll Bar 110" hidden="1">
              <a:extLst>
                <a:ext uri="{63B3BB69-23CF-44E3-9099-C40C66FF867C}">
                  <a14:compatExt spid="_x0000_s1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11</xdr:row>
          <xdr:rowOff>12700</xdr:rowOff>
        </xdr:from>
        <xdr:to>
          <xdr:col>8</xdr:col>
          <xdr:colOff>342900</xdr:colOff>
          <xdr:row>12</xdr:row>
          <xdr:rowOff>38100</xdr:rowOff>
        </xdr:to>
        <xdr:sp macro="" textlink="">
          <xdr:nvSpPr>
            <xdr:cNvPr id="1132" name="Scroll Bar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0</xdr:rowOff>
        </xdr:from>
        <xdr:to>
          <xdr:col>8</xdr:col>
          <xdr:colOff>381000</xdr:colOff>
          <xdr:row>15</xdr:row>
          <xdr:rowOff>190500</xdr:rowOff>
        </xdr:to>
        <xdr:sp macro="" textlink="">
          <xdr:nvSpPr>
            <xdr:cNvPr id="1133" name="Scroll Bar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2870200</xdr:colOff>
          <xdr:row>19</xdr:row>
          <xdr:rowOff>12700</xdr:rowOff>
        </xdr:from>
        <xdr:to>
          <xdr:col>1</xdr:col>
          <xdr:colOff>342900</xdr:colOff>
          <xdr:row>20</xdr:row>
          <xdr:rowOff>38100</xdr:rowOff>
        </xdr:to>
        <xdr:sp macro="" textlink="">
          <xdr:nvSpPr>
            <xdr:cNvPr id="2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2870200</xdr:colOff>
          <xdr:row>20</xdr:row>
          <xdr:rowOff>50800</xdr:rowOff>
        </xdr:from>
        <xdr:to>
          <xdr:col>1</xdr:col>
          <xdr:colOff>342900</xdr:colOff>
          <xdr:row>21</xdr:row>
          <xdr:rowOff>88900</xdr:rowOff>
        </xdr:to>
        <xdr:sp macro="" textlink="">
          <xdr:nvSpPr>
            <xdr:cNvPr id="3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19</xdr:row>
          <xdr:rowOff>25400</xdr:rowOff>
        </xdr:from>
        <xdr:to>
          <xdr:col>8</xdr:col>
          <xdr:colOff>381000</xdr:colOff>
          <xdr:row>20</xdr:row>
          <xdr:rowOff>12700</xdr:rowOff>
        </xdr:to>
        <xdr:sp macro="" textlink="">
          <xdr:nvSpPr>
            <xdr:cNvPr id="1141" name="Scroll Bar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20</xdr:row>
          <xdr:rowOff>76200</xdr:rowOff>
        </xdr:from>
        <xdr:to>
          <xdr:col>8</xdr:col>
          <xdr:colOff>381000</xdr:colOff>
          <xdr:row>21</xdr:row>
          <xdr:rowOff>50800</xdr:rowOff>
        </xdr:to>
        <xdr:sp macro="" textlink="">
          <xdr:nvSpPr>
            <xdr:cNvPr id="1142" name="Scroll Bar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787400</xdr:colOff>
      <xdr:row>33</xdr:row>
      <xdr:rowOff>101600</xdr:rowOff>
    </xdr:from>
    <xdr:to>
      <xdr:col>25</xdr:col>
      <xdr:colOff>0</xdr:colOff>
      <xdr:row>56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7.xml"/><Relationship Id="rId20" Type="http://schemas.openxmlformats.org/officeDocument/2006/relationships/ctrlProp" Target="../ctrlProps/ctrlProp18.xml"/><Relationship Id="rId21" Type="http://schemas.openxmlformats.org/officeDocument/2006/relationships/comments" Target="../comments1.xml"/><Relationship Id="rId10" Type="http://schemas.openxmlformats.org/officeDocument/2006/relationships/ctrlProp" Target="../ctrlProps/ctrlProp8.xml"/><Relationship Id="rId11" Type="http://schemas.openxmlformats.org/officeDocument/2006/relationships/ctrlProp" Target="../ctrlProps/ctrlProp9.xml"/><Relationship Id="rId12" Type="http://schemas.openxmlformats.org/officeDocument/2006/relationships/ctrlProp" Target="../ctrlProps/ctrlProp10.xml"/><Relationship Id="rId13" Type="http://schemas.openxmlformats.org/officeDocument/2006/relationships/ctrlProp" Target="../ctrlProps/ctrlProp11.xml"/><Relationship Id="rId14" Type="http://schemas.openxmlformats.org/officeDocument/2006/relationships/ctrlProp" Target="../ctrlProps/ctrlProp12.xml"/><Relationship Id="rId15" Type="http://schemas.openxmlformats.org/officeDocument/2006/relationships/ctrlProp" Target="../ctrlProps/ctrlProp13.xml"/><Relationship Id="rId16" Type="http://schemas.openxmlformats.org/officeDocument/2006/relationships/ctrlProp" Target="../ctrlProps/ctrlProp14.xml"/><Relationship Id="rId17" Type="http://schemas.openxmlformats.org/officeDocument/2006/relationships/ctrlProp" Target="../ctrlProps/ctrlProp15.xml"/><Relationship Id="rId18" Type="http://schemas.openxmlformats.org/officeDocument/2006/relationships/ctrlProp" Target="../ctrlProps/ctrlProp16.xml"/><Relationship Id="rId19" Type="http://schemas.openxmlformats.org/officeDocument/2006/relationships/ctrlProp" Target="../ctrlProps/ctrlProp17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5" Type="http://schemas.openxmlformats.org/officeDocument/2006/relationships/ctrlProp" Target="../ctrlProps/ctrlProp3.xml"/><Relationship Id="rId6" Type="http://schemas.openxmlformats.org/officeDocument/2006/relationships/ctrlProp" Target="../ctrlProps/ctrlProp4.xml"/><Relationship Id="rId7" Type="http://schemas.openxmlformats.org/officeDocument/2006/relationships/ctrlProp" Target="../ctrlProps/ctrlProp5.xml"/><Relationship Id="rId8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>
    <tabColor indexed="27"/>
  </sheetPr>
  <dimension ref="A1:Q39"/>
  <sheetViews>
    <sheetView tabSelected="1" workbookViewId="0">
      <selection activeCell="J7" sqref="J7"/>
    </sheetView>
  </sheetViews>
  <sheetFormatPr baseColWidth="10" defaultColWidth="4.6640625" defaultRowHeight="12" x14ac:dyDescent="0"/>
  <cols>
    <col min="1" max="1" width="38.33203125" style="1" customWidth="1"/>
    <col min="2" max="2" width="9.83203125" style="1" customWidth="1"/>
    <col min="3" max="3" width="5.1640625" style="1" bestFit="1" customWidth="1"/>
    <col min="4" max="7" width="3.83203125" style="1" customWidth="1"/>
    <col min="8" max="8" width="9.5" style="1" hidden="1" customWidth="1"/>
    <col min="9" max="9" width="11.5" style="1" customWidth="1"/>
    <col min="10" max="10" width="20.83203125" style="1" customWidth="1"/>
    <col min="11" max="11" width="9.5" style="1" bestFit="1" customWidth="1"/>
    <col min="12" max="16" width="5" style="1" bestFit="1" customWidth="1"/>
    <col min="17" max="17" width="6.1640625" style="1" bestFit="1" customWidth="1"/>
    <col min="18" max="26" width="5" style="1" bestFit="1" customWidth="1"/>
    <col min="27" max="16384" width="4.6640625" style="1"/>
  </cols>
  <sheetData>
    <row r="1" spans="1:10" ht="23.25" customHeight="1">
      <c r="J1" s="34" t="s">
        <v>86</v>
      </c>
    </row>
    <row r="2" spans="1:10" ht="13">
      <c r="B2" s="2" t="s">
        <v>9</v>
      </c>
      <c r="J2" s="32"/>
    </row>
    <row r="3" spans="1:10" ht="13">
      <c r="A3" s="2" t="s">
        <v>19</v>
      </c>
      <c r="B3" s="31">
        <f>Model!D10/10000</f>
        <v>2.2000000000000001E-3</v>
      </c>
      <c r="H3" s="1" t="s">
        <v>1</v>
      </c>
      <c r="J3" s="33" t="s">
        <v>40</v>
      </c>
    </row>
    <row r="4" spans="1:10">
      <c r="J4" s="33"/>
    </row>
    <row r="5" spans="1:10" ht="13">
      <c r="B5" s="3" t="s">
        <v>10</v>
      </c>
      <c r="J5" s="33"/>
    </row>
    <row r="6" spans="1:10" ht="21" customHeight="1">
      <c r="A6" s="3" t="s">
        <v>20</v>
      </c>
      <c r="B6" s="3">
        <f>IF(Model!C11,Model!D11/100,1)</f>
        <v>1</v>
      </c>
      <c r="J6" s="33" t="s">
        <v>85</v>
      </c>
    </row>
    <row r="7" spans="1:10" ht="21" customHeight="1">
      <c r="A7" s="3" t="s">
        <v>17</v>
      </c>
      <c r="B7" s="3">
        <f>IF(Model!C12,Model!D12/1000,1)</f>
        <v>1</v>
      </c>
      <c r="H7" s="1" t="s">
        <v>4</v>
      </c>
      <c r="J7" s="33">
        <v>0.04</v>
      </c>
    </row>
    <row r="8" spans="1:10" ht="21" customHeight="1">
      <c r="A8" s="3" t="s">
        <v>16</v>
      </c>
      <c r="B8" s="3">
        <f>IF(Model!C13,Model!D13/100,1)</f>
        <v>1</v>
      </c>
      <c r="H8" s="1" t="s">
        <v>2</v>
      </c>
      <c r="J8" s="33">
        <v>4.0999999999999996</v>
      </c>
    </row>
    <row r="9" spans="1:10" ht="21" customHeight="1">
      <c r="A9" s="3" t="s">
        <v>18</v>
      </c>
      <c r="B9" s="3">
        <f>IF(Model!C14,Model!D14/100,1)</f>
        <v>1.25</v>
      </c>
      <c r="H9" s="1" t="s">
        <v>3</v>
      </c>
      <c r="J9" s="33" t="s">
        <v>39</v>
      </c>
    </row>
    <row r="10" spans="1:10">
      <c r="J10" s="33"/>
    </row>
    <row r="11" spans="1:10" ht="13">
      <c r="B11" s="4" t="s">
        <v>11</v>
      </c>
      <c r="J11" s="33"/>
    </row>
    <row r="12" spans="1:10" ht="13">
      <c r="A12" s="4" t="s">
        <v>37</v>
      </c>
      <c r="B12" s="30">
        <f>Model!D15</f>
        <v>29</v>
      </c>
      <c r="H12" s="1" t="s">
        <v>5</v>
      </c>
      <c r="J12" s="33"/>
    </row>
    <row r="13" spans="1:10" ht="13">
      <c r="A13" s="4"/>
      <c r="B13" s="4"/>
      <c r="H13" s="1" t="s">
        <v>0</v>
      </c>
      <c r="J13" s="33"/>
    </row>
    <row r="14" spans="1:10">
      <c r="J14" s="33"/>
    </row>
    <row r="15" spans="1:10" ht="13">
      <c r="B15" s="5" t="s">
        <v>12</v>
      </c>
      <c r="J15" s="33"/>
    </row>
    <row r="16" spans="1:10" ht="16" customHeight="1">
      <c r="A16" s="5" t="s">
        <v>13</v>
      </c>
      <c r="B16" s="13">
        <f>Model!D18/1000</f>
        <v>0.184</v>
      </c>
      <c r="H16" s="1" t="s">
        <v>6</v>
      </c>
      <c r="J16" s="33">
        <v>0.255</v>
      </c>
    </row>
    <row r="17" spans="1:10" ht="16" customHeight="1">
      <c r="A17" s="5" t="s">
        <v>38</v>
      </c>
      <c r="B17" s="5">
        <f>IF(Model!C19,Model!D19/100,1)</f>
        <v>1</v>
      </c>
      <c r="H17" s="1" t="s">
        <v>7</v>
      </c>
      <c r="J17" s="33">
        <v>0.32</v>
      </c>
    </row>
    <row r="18" spans="1:10" ht="13">
      <c r="A18" s="5"/>
      <c r="B18" s="5"/>
      <c r="H18" s="1" t="s">
        <v>8</v>
      </c>
      <c r="J18" s="33"/>
    </row>
    <row r="19" spans="1:10" ht="13">
      <c r="A19" s="5"/>
      <c r="B19" s="5"/>
      <c r="J19" s="33"/>
    </row>
    <row r="20" spans="1:10" ht="16" customHeight="1">
      <c r="A20" s="87" t="s">
        <v>81</v>
      </c>
      <c r="B20" s="88">
        <f>Model!C24/100</f>
        <v>0.82</v>
      </c>
      <c r="I20" s="38"/>
      <c r="J20" s="33"/>
    </row>
    <row r="21" spans="1:10" ht="17" customHeight="1">
      <c r="A21" s="87" t="s">
        <v>82</v>
      </c>
      <c r="B21" s="88">
        <f>Model!C25/100</f>
        <v>0.06</v>
      </c>
      <c r="J21" s="33"/>
    </row>
    <row r="22" spans="1:10" ht="21" customHeight="1">
      <c r="J22" s="33"/>
    </row>
    <row r="23" spans="1:10" ht="16" customHeight="1">
      <c r="B23" s="6" t="s">
        <v>14</v>
      </c>
      <c r="J23" s="33"/>
    </row>
    <row r="24" spans="1:10" ht="15" customHeight="1">
      <c r="A24" s="6" t="s">
        <v>15</v>
      </c>
      <c r="B24" s="7">
        <f>Model!D28</f>
        <v>59</v>
      </c>
      <c r="J24" s="33"/>
    </row>
    <row r="25" spans="1:10" ht="13">
      <c r="A25" s="6"/>
      <c r="B25" s="7"/>
    </row>
    <row r="29" spans="1:10" ht="16" thickBot="1">
      <c r="B29" s="16" t="str">
        <f>Model!G1</f>
        <v>HIV-ve &amp; baby</v>
      </c>
      <c r="C29" s="16" t="str">
        <f>Model!H1</f>
        <v>HIV+ve &amp; -ve baby</v>
      </c>
      <c r="D29" s="16" t="str">
        <f>Model!I1</f>
        <v>HIV+ve &amp; +ve baby</v>
      </c>
      <c r="E29" s="17" t="str">
        <f>Model!O1</f>
        <v>HIV-ve</v>
      </c>
      <c r="F29" s="17" t="str">
        <f>Model!P1</f>
        <v>HIV+ve</v>
      </c>
    </row>
    <row r="30" spans="1:10">
      <c r="A30" s="1">
        <f>N</f>
        <v>59</v>
      </c>
      <c r="B30" s="14">
        <f>LOOKUP(N,Model!$F:$F,Model!G:G)</f>
        <v>0.49163490786225345</v>
      </c>
      <c r="C30" s="14">
        <f>LOOKUP(N,Model!$F:$F,Model!H:H)</f>
        <v>7.0773987580633871E-2</v>
      </c>
      <c r="D30" s="14">
        <f>LOOKUP(N,Model!$F:$F,Model!I:I)</f>
        <v>1.5958840336809596E-2</v>
      </c>
      <c r="E30" s="14">
        <f>LOOKUP(N,Model!$F:$F,Model!O:O)</f>
        <v>0.35840370502731406</v>
      </c>
      <c r="F30" s="14">
        <f>LOOKUP(N,Model!$F:$F,Model!P:P)</f>
        <v>6.3228559192989031E-2</v>
      </c>
    </row>
    <row r="31" spans="1:10">
      <c r="B31" s="8"/>
    </row>
    <row r="32" spans="1:10">
      <c r="B32" s="9"/>
    </row>
    <row r="33" spans="2:17">
      <c r="B33" s="10"/>
    </row>
    <row r="37" spans="2:17" ht="13">
      <c r="K37" s="11"/>
      <c r="Q37" s="12"/>
    </row>
    <row r="38" spans="2:17" ht="13">
      <c r="K38" s="11"/>
      <c r="Q38" s="12"/>
    </row>
    <row r="39" spans="2:17" ht="13">
      <c r="K39" s="11"/>
      <c r="Q39" s="12"/>
    </row>
  </sheetData>
  <phoneticPr fontId="0" type="noConversion"/>
  <pageMargins left="0.75" right="0.75" top="1" bottom="1" header="0.5" footer="0.5"/>
  <pageSetup paperSize="138"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08" r:id="rId3" name="Check Box 84">
              <controlPr defaultSize="0" autoFill="0" autoLine="0" autoPict="0">
                <anchor moveWithCells="1">
                  <from>
                    <xdr:col>0</xdr:col>
                    <xdr:colOff>1282700</xdr:colOff>
                    <xdr:row>5</xdr:row>
                    <xdr:rowOff>63500</xdr:rowOff>
                  </from>
                  <to>
                    <xdr:col>0</xdr:col>
                    <xdr:colOff>1676400</xdr:colOff>
                    <xdr:row>6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09" r:id="rId4" name="Check Box 85">
              <controlPr defaultSize="0" autoFill="0" autoLine="0" autoPict="0">
                <anchor moveWithCells="1">
                  <from>
                    <xdr:col>0</xdr:col>
                    <xdr:colOff>1282700</xdr:colOff>
                    <xdr:row>6</xdr:row>
                    <xdr:rowOff>38100</xdr:rowOff>
                  </from>
                  <to>
                    <xdr:col>0</xdr:col>
                    <xdr:colOff>1676400</xdr:colOff>
                    <xdr:row>6</xdr:row>
                    <xdr:rowOff>254000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10" r:id="rId5" name="Check Box 86">
              <controlPr defaultSize="0" autoFill="0" autoLine="0" autoPict="0">
                <anchor moveWithCells="1">
                  <from>
                    <xdr:col>0</xdr:col>
                    <xdr:colOff>1282700</xdr:colOff>
                    <xdr:row>7</xdr:row>
                    <xdr:rowOff>50800</xdr:rowOff>
                  </from>
                  <to>
                    <xdr:col>0</xdr:col>
                    <xdr:colOff>1676400</xdr:colOff>
                    <xdr:row>8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11" r:id="rId6" name="Check Box 87">
              <controlPr defaultSize="0" autoFill="0" autoLine="0" autoPict="0">
                <anchor moveWithCells="1">
                  <from>
                    <xdr:col>0</xdr:col>
                    <xdr:colOff>1282700</xdr:colOff>
                    <xdr:row>8</xdr:row>
                    <xdr:rowOff>50800</xdr:rowOff>
                  </from>
                  <to>
                    <xdr:col>0</xdr:col>
                    <xdr:colOff>1676400</xdr:colOff>
                    <xdr:row>9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12" r:id="rId7" name="Check Box 88">
              <controlPr defaultSize="0" autoFill="0" autoLine="0" autoPict="0">
                <anchor moveWithCells="1">
                  <from>
                    <xdr:col>0</xdr:col>
                    <xdr:colOff>1282700</xdr:colOff>
                    <xdr:row>15</xdr:row>
                    <xdr:rowOff>139700</xdr:rowOff>
                  </from>
                  <to>
                    <xdr:col>0</xdr:col>
                    <xdr:colOff>1676400</xdr:colOff>
                    <xdr:row>16</xdr:row>
                    <xdr:rowOff>152400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21" r:id="rId8" name="Scroll Bar 97">
              <controlPr defaultSize="0" autoPict="0">
                <anchor moveWithCells="1">
                  <from>
                    <xdr:col>3</xdr:col>
                    <xdr:colOff>38100</xdr:colOff>
                    <xdr:row>2</xdr:row>
                    <xdr:rowOff>38100</xdr:rowOff>
                  </from>
                  <to>
                    <xdr:col>8</xdr:col>
                    <xdr:colOff>342900</xdr:colOff>
                    <xdr:row>3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25" r:id="rId9" name="Scroll Bar 101">
              <controlPr defaultSize="0" autoPict="0">
                <anchor moveWithCells="1">
                  <from>
                    <xdr:col>3</xdr:col>
                    <xdr:colOff>38100</xdr:colOff>
                    <xdr:row>5</xdr:row>
                    <xdr:rowOff>50800</xdr:rowOff>
                  </from>
                  <to>
                    <xdr:col>8</xdr:col>
                    <xdr:colOff>342900</xdr:colOff>
                    <xdr:row>5</xdr:row>
                    <xdr:rowOff>241300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35" r:id="rId10" name="Scroll Bar 111">
              <controlPr defaultSize="0" autoPict="0">
                <anchor moveWithCells="1">
                  <from>
                    <xdr:col>3</xdr:col>
                    <xdr:colOff>76200</xdr:colOff>
                    <xdr:row>16</xdr:row>
                    <xdr:rowOff>63500</xdr:rowOff>
                  </from>
                  <to>
                    <xdr:col>8</xdr:col>
                    <xdr:colOff>381000</xdr:colOff>
                    <xdr:row>17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36" r:id="rId11" name="Scroll Bar 112">
              <controlPr defaultSize="0" autoPict="0">
                <anchor moveWithCells="1">
                  <from>
                    <xdr:col>3</xdr:col>
                    <xdr:colOff>50800</xdr:colOff>
                    <xdr:row>23</xdr:row>
                    <xdr:rowOff>12700</xdr:rowOff>
                  </from>
                  <to>
                    <xdr:col>8</xdr:col>
                    <xdr:colOff>355600</xdr:colOff>
                    <xdr:row>24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26" r:id="rId12" name="Scroll Bar 102">
              <controlPr defaultSize="0" autoPict="0">
                <anchor moveWithCells="1">
                  <from>
                    <xdr:col>3</xdr:col>
                    <xdr:colOff>38100</xdr:colOff>
                    <xdr:row>6</xdr:row>
                    <xdr:rowOff>50800</xdr:rowOff>
                  </from>
                  <to>
                    <xdr:col>8</xdr:col>
                    <xdr:colOff>342900</xdr:colOff>
                    <xdr:row>6</xdr:row>
                    <xdr:rowOff>241300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27" r:id="rId13" name="Scroll Bar 103">
              <controlPr defaultSize="0" autoPict="0">
                <anchor moveWithCells="1">
                  <from>
                    <xdr:col>3</xdr:col>
                    <xdr:colOff>38100</xdr:colOff>
                    <xdr:row>7</xdr:row>
                    <xdr:rowOff>76200</xdr:rowOff>
                  </from>
                  <to>
                    <xdr:col>8</xdr:col>
                    <xdr:colOff>342900</xdr:colOff>
                    <xdr:row>8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34" r:id="rId14" name="Scroll Bar 110">
              <controlPr defaultSize="0" autoPict="0">
                <anchor moveWithCells="1">
                  <from>
                    <xdr:col>3</xdr:col>
                    <xdr:colOff>38100</xdr:colOff>
                    <xdr:row>8</xdr:row>
                    <xdr:rowOff>88900</xdr:rowOff>
                  </from>
                  <to>
                    <xdr:col>8</xdr:col>
                    <xdr:colOff>342900</xdr:colOff>
                    <xdr:row>9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32" r:id="rId15" name="Scroll Bar 108">
              <controlPr defaultSize="0" autoPict="0">
                <anchor moveWithCells="1">
                  <from>
                    <xdr:col>3</xdr:col>
                    <xdr:colOff>38100</xdr:colOff>
                    <xdr:row>11</xdr:row>
                    <xdr:rowOff>12700</xdr:rowOff>
                  </from>
                  <to>
                    <xdr:col>8</xdr:col>
                    <xdr:colOff>342900</xdr:colOff>
                    <xdr:row>12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33" r:id="rId16" name="Scroll Bar 109">
              <controlPr defaultSize="0" autoPict="0">
                <anchor moveWithCells="1">
                  <from>
                    <xdr:col>3</xdr:col>
                    <xdr:colOff>76200</xdr:colOff>
                    <xdr:row>15</xdr:row>
                    <xdr:rowOff>0</xdr:rowOff>
                  </from>
                  <to>
                    <xdr:col>8</xdr:col>
                    <xdr:colOff>381000</xdr:colOff>
                    <xdr:row>15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" r:id="rId17" name="Check Box 114">
              <controlPr defaultSize="0" autoFill="0" autoLine="0" autoPict="0">
                <anchor moveWithCells="1">
                  <from>
                    <xdr:col>0</xdr:col>
                    <xdr:colOff>2870200</xdr:colOff>
                    <xdr:row>19</xdr:row>
                    <xdr:rowOff>12700</xdr:rowOff>
                  </from>
                  <to>
                    <xdr:col>1</xdr:col>
                    <xdr:colOff>342900</xdr:colOff>
                    <xdr:row>20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" r:id="rId18" name="Check Box 115">
              <controlPr defaultSize="0" autoFill="0" autoLine="0" autoPict="0">
                <anchor moveWithCells="1">
                  <from>
                    <xdr:col>0</xdr:col>
                    <xdr:colOff>2870200</xdr:colOff>
                    <xdr:row>20</xdr:row>
                    <xdr:rowOff>50800</xdr:rowOff>
                  </from>
                  <to>
                    <xdr:col>1</xdr:col>
                    <xdr:colOff>342900</xdr:colOff>
                    <xdr:row>21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41" r:id="rId19" name="Scroll Bar 117">
              <controlPr defaultSize="0" autoPict="0">
                <anchor moveWithCells="1">
                  <from>
                    <xdr:col>3</xdr:col>
                    <xdr:colOff>76200</xdr:colOff>
                    <xdr:row>19</xdr:row>
                    <xdr:rowOff>25400</xdr:rowOff>
                  </from>
                  <to>
                    <xdr:col>8</xdr:col>
                    <xdr:colOff>381000</xdr:colOff>
                    <xdr:row>20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42" r:id="rId20" name="Scroll Bar 118">
              <controlPr defaultSize="0" autoPict="0">
                <anchor moveWithCells="1">
                  <from>
                    <xdr:col>3</xdr:col>
                    <xdr:colOff>76200</xdr:colOff>
                    <xdr:row>20</xdr:row>
                    <xdr:rowOff>76200</xdr:rowOff>
                  </from>
                  <to>
                    <xdr:col>8</xdr:col>
                    <xdr:colOff>381000</xdr:colOff>
                    <xdr:row>21</xdr:row>
                    <xdr:rowOff>50800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enableFormatConditionsCalculation="0">
    <tabColor indexed="31"/>
  </sheetPr>
  <dimension ref="A1:S111"/>
  <sheetViews>
    <sheetView workbookViewId="0">
      <selection activeCell="G3" sqref="G3"/>
    </sheetView>
  </sheetViews>
  <sheetFormatPr baseColWidth="10" defaultColWidth="9.1640625" defaultRowHeight="12" x14ac:dyDescent="0"/>
  <cols>
    <col min="1" max="1" width="31.5" style="14" customWidth="1"/>
    <col min="2" max="2" width="12.1640625" style="14" bestFit="1" customWidth="1"/>
    <col min="3" max="3" width="9.1640625" style="92" customWidth="1"/>
    <col min="4" max="4" width="17.1640625" style="92" bestFit="1" customWidth="1"/>
    <col min="5" max="5" width="9.1640625" style="14"/>
    <col min="6" max="6" width="18.5" style="15" customWidth="1"/>
    <col min="7" max="13" width="18.5" style="18" customWidth="1"/>
    <col min="14" max="14" width="18.5" style="20" customWidth="1"/>
    <col min="15" max="16" width="15.5" style="19" customWidth="1"/>
    <col min="17" max="18" width="16.33203125" style="37" customWidth="1"/>
    <col min="19" max="16384" width="9.1640625" style="14"/>
  </cols>
  <sheetData>
    <row r="1" spans="1:19" ht="16" thickBot="1">
      <c r="A1" s="40" t="s">
        <v>21</v>
      </c>
      <c r="B1" s="39">
        <f>MIN(1,TT*h.late*h.tx*h.std*h.prep)</f>
        <v>2.7500000000000003E-3</v>
      </c>
      <c r="C1" s="89"/>
      <c r="D1" s="89"/>
      <c r="E1" s="39"/>
      <c r="F1" s="41" t="s">
        <v>23</v>
      </c>
      <c r="G1" s="42" t="s">
        <v>29</v>
      </c>
      <c r="H1" s="42" t="s">
        <v>30</v>
      </c>
      <c r="I1" s="42" t="s">
        <v>31</v>
      </c>
      <c r="J1" s="42" t="s">
        <v>25</v>
      </c>
      <c r="K1" s="42" t="s">
        <v>26</v>
      </c>
      <c r="L1" s="42" t="s">
        <v>27</v>
      </c>
      <c r="M1" s="42" t="s">
        <v>28</v>
      </c>
      <c r="N1" s="43" t="s">
        <v>24</v>
      </c>
      <c r="O1" s="44" t="s">
        <v>32</v>
      </c>
      <c r="P1" s="44" t="s">
        <v>33</v>
      </c>
      <c r="Q1" s="45" t="s">
        <v>43</v>
      </c>
      <c r="R1" s="45" t="s">
        <v>44</v>
      </c>
      <c r="S1" s="40" t="s">
        <v>45</v>
      </c>
    </row>
    <row r="2" spans="1:19" ht="15">
      <c r="A2" s="40" t="s">
        <v>22</v>
      </c>
      <c r="B2" s="39">
        <f>MIN(p.concieve,1)</f>
        <v>1.7629155810877501E-2</v>
      </c>
      <c r="C2" s="89"/>
      <c r="D2" s="89"/>
      <c r="E2" s="39"/>
      <c r="F2" s="46">
        <v>1</v>
      </c>
      <c r="G2" s="47">
        <f t="shared" ref="G2:G33" si="0">p.delivery*(1-(1-p.conception)^F2)*(1-alpha)^F2</f>
        <v>1.5646801312833889E-2</v>
      </c>
      <c r="H2" s="47">
        <f t="shared" ref="H2:H33" si="1" xml:space="preserve"> p.delivery*(1-h.mtctx*p.mtct)*(1-(1-p.conception)^F2)*(1-(1-alpha)^F2)</f>
        <v>3.5208244819252577E-5</v>
      </c>
      <c r="I2" s="47">
        <f t="shared" ref="I2:I33" si="2">p.delivery*(h.mtctx*p.mtct)*(1-(1-p.conception)^F2)*(1-(1-alpha)^F2)</f>
        <v>7.9391140278706771E-6</v>
      </c>
      <c r="J2" s="47">
        <f t="shared" ref="J2:J33" si="3">(1-p.delivery)*(1-(1-p.conception)^F2)*(1-alpha)^F2</f>
        <v>1.9338743195637387E-3</v>
      </c>
      <c r="K2" s="47">
        <f t="shared" ref="K2:K33" si="4">((1-p.conception)^F2)*(1-alpha)^F2</f>
        <v>0.97966932436760235</v>
      </c>
      <c r="L2" s="47">
        <f t="shared" ref="L2:L33" si="5">(1-p.delivery)*(1-(1-p.conception)^F2)*(1-(1-alpha)^F2)</f>
        <v>5.3328196327905139E-6</v>
      </c>
      <c r="M2" s="47">
        <f t="shared" ref="M2:M33" si="6">(1-p.conception)^F2*(1-(1-alpha)^F2)</f>
        <v>2.7015198215201166E-3</v>
      </c>
      <c r="N2" s="48">
        <f>SUM(G2:M2)</f>
        <v>1</v>
      </c>
      <c r="O2" s="49">
        <f>SUM(J2:K2)</f>
        <v>0.98160319868716606</v>
      </c>
      <c r="P2" s="49">
        <f>SUM(L2:M2)</f>
        <v>2.7068526411529073E-3</v>
      </c>
      <c r="Q2" s="50">
        <f>O2+H2+G2</f>
        <v>0.99728520824481925</v>
      </c>
      <c r="R2" s="50">
        <f>P2+I2</f>
        <v>2.714791755180778E-3</v>
      </c>
      <c r="S2" s="51">
        <f>IF(R2&lt;Interface!$B$21,R2,0)</f>
        <v>2.714791755180778E-3</v>
      </c>
    </row>
    <row r="3" spans="1:19">
      <c r="A3" s="39"/>
      <c r="B3" s="39"/>
      <c r="C3" s="89"/>
      <c r="D3" s="89"/>
      <c r="E3" s="39"/>
      <c r="F3" s="46">
        <v>2</v>
      </c>
      <c r="G3" s="47">
        <f t="shared" si="0"/>
        <v>3.0932463879881682E-2</v>
      </c>
      <c r="H3" s="47">
        <f t="shared" si="1"/>
        <v>1.3939965756500493E-4</v>
      </c>
      <c r="I3" s="47">
        <f t="shared" si="2"/>
        <v>3.1433256117599143E-5</v>
      </c>
      <c r="J3" s="47">
        <f t="shared" si="3"/>
        <v>3.8231135132438029E-3</v>
      </c>
      <c r="K3" s="47">
        <f t="shared" si="4"/>
        <v>0.95975198510687443</v>
      </c>
      <c r="L3" s="47">
        <f t="shared" si="5"/>
        <v>2.1114180342793757E-5</v>
      </c>
      <c r="M3" s="47">
        <f t="shared" si="6"/>
        <v>5.3004904059746599E-3</v>
      </c>
      <c r="N3" s="48">
        <f t="shared" ref="N3:N66" si="7">SUM(G3:M3)</f>
        <v>1</v>
      </c>
      <c r="O3" s="49">
        <f t="shared" ref="O3:O66" si="8">SUM(J3:K3)</f>
        <v>0.96357509862011825</v>
      </c>
      <c r="P3" s="49">
        <f t="shared" ref="P3:P66" si="9">SUM(L3:M3)</f>
        <v>5.3216045863174535E-3</v>
      </c>
      <c r="Q3" s="50">
        <f t="shared" ref="Q3:Q66" si="10">O3+H3+G3</f>
        <v>0.99464696215756498</v>
      </c>
      <c r="R3" s="50">
        <f t="shared" ref="R3:R66" si="11">P3+I3</f>
        <v>5.3530378424350529E-3</v>
      </c>
      <c r="S3" s="51">
        <f>IF(R3&lt;Interface!$B$21,R3,0)</f>
        <v>5.3530378424350529E-3</v>
      </c>
    </row>
    <row r="4" spans="1:19">
      <c r="A4" s="39"/>
      <c r="B4" s="39"/>
      <c r="C4" s="89"/>
      <c r="D4" s="89"/>
      <c r="E4" s="39"/>
      <c r="F4" s="46">
        <v>3</v>
      </c>
      <c r="G4" s="47">
        <f t="shared" si="0"/>
        <v>4.5864448224777171E-2</v>
      </c>
      <c r="H4" s="47">
        <f t="shared" si="1"/>
        <v>3.1046545805092223E-4</v>
      </c>
      <c r="I4" s="47">
        <f t="shared" si="2"/>
        <v>7.0006917011482448E-5</v>
      </c>
      <c r="J4" s="47">
        <f t="shared" si="3"/>
        <v>5.668639668230886E-3</v>
      </c>
      <c r="K4" s="47">
        <f t="shared" si="4"/>
        <v>0.94023957881011688</v>
      </c>
      <c r="L4" s="47">
        <f t="shared" si="5"/>
        <v>4.7024675569510675E-5</v>
      </c>
      <c r="M4" s="47">
        <f t="shared" si="6"/>
        <v>7.7998362462431683E-3</v>
      </c>
      <c r="N4" s="48">
        <f t="shared" si="7"/>
        <v>1</v>
      </c>
      <c r="O4" s="49">
        <f t="shared" si="8"/>
        <v>0.94590821847834772</v>
      </c>
      <c r="P4" s="49">
        <f t="shared" si="9"/>
        <v>7.8468609218126789E-3</v>
      </c>
      <c r="Q4" s="50">
        <f t="shared" si="10"/>
        <v>0.99208313216117583</v>
      </c>
      <c r="R4" s="50">
        <f t="shared" si="11"/>
        <v>7.9168678388241622E-3</v>
      </c>
      <c r="S4" s="51">
        <f>IF(R4&lt;Interface!$B$21,R4,0)</f>
        <v>7.9168678388241622E-3</v>
      </c>
    </row>
    <row r="5" spans="1:19">
      <c r="A5" s="39"/>
      <c r="B5" s="39"/>
      <c r="C5" s="89"/>
      <c r="D5" s="89"/>
      <c r="E5" s="39"/>
      <c r="F5" s="46">
        <v>4</v>
      </c>
      <c r="G5" s="47">
        <f t="shared" si="0"/>
        <v>6.0450062868263592E-2</v>
      </c>
      <c r="H5" s="47">
        <f t="shared" si="1"/>
        <v>5.4635075391329814E-4</v>
      </c>
      <c r="I5" s="47">
        <f t="shared" si="2"/>
        <v>1.2319673862750836E-4</v>
      </c>
      <c r="J5" s="47">
        <f t="shared" si="3"/>
        <v>7.4713560848415662E-3</v>
      </c>
      <c r="K5" s="47">
        <f t="shared" si="4"/>
        <v>0.92112387291658615</v>
      </c>
      <c r="L5" s="47">
        <f t="shared" si="5"/>
        <v>8.2753060875829997E-5</v>
      </c>
      <c r="M5" s="47">
        <f t="shared" si="6"/>
        <v>1.0202407576892107E-2</v>
      </c>
      <c r="N5" s="48">
        <f t="shared" si="7"/>
        <v>1</v>
      </c>
      <c r="O5" s="49">
        <f t="shared" si="8"/>
        <v>0.92859522900142777</v>
      </c>
      <c r="P5" s="49">
        <f t="shared" si="9"/>
        <v>1.0285160637767937E-2</v>
      </c>
      <c r="Q5" s="50">
        <f t="shared" si="10"/>
        <v>0.98959164262360466</v>
      </c>
      <c r="R5" s="50">
        <f t="shared" si="11"/>
        <v>1.0408357376395446E-2</v>
      </c>
      <c r="S5" s="51">
        <f>IF(R5&lt;Interface!$B$21,R5,0)</f>
        <v>1.0408357376395446E-2</v>
      </c>
    </row>
    <row r="6" spans="1:19">
      <c r="A6" s="39"/>
      <c r="B6" s="39"/>
      <c r="C6" s="89"/>
      <c r="D6" s="89"/>
      <c r="E6" s="39"/>
      <c r="F6" s="46">
        <v>5</v>
      </c>
      <c r="G6" s="47">
        <f t="shared" si="0"/>
        <v>7.4696467419409732E-2</v>
      </c>
      <c r="H6" s="47">
        <f t="shared" si="1"/>
        <v>8.4505325480273687E-4</v>
      </c>
      <c r="I6" s="47">
        <f t="shared" si="2"/>
        <v>1.9055122412218572E-4</v>
      </c>
      <c r="J6" s="47">
        <f t="shared" si="3"/>
        <v>9.2321476585787293E-3</v>
      </c>
      <c r="K6" s="47">
        <f t="shared" si="4"/>
        <v>0.90239680223906116</v>
      </c>
      <c r="L6" s="47">
        <f t="shared" si="5"/>
        <v>1.2799605919296792E-4</v>
      </c>
      <c r="M6" s="47">
        <f t="shared" si="6"/>
        <v>1.251098214483252E-2</v>
      </c>
      <c r="N6" s="48">
        <f t="shared" si="7"/>
        <v>1</v>
      </c>
      <c r="O6" s="49">
        <f t="shared" si="8"/>
        <v>0.91162894989763987</v>
      </c>
      <c r="P6" s="49">
        <f t="shared" si="9"/>
        <v>1.2638978204025488E-2</v>
      </c>
      <c r="Q6" s="50">
        <f t="shared" si="10"/>
        <v>0.98717047057185237</v>
      </c>
      <c r="R6" s="50">
        <f t="shared" si="11"/>
        <v>1.2829529428147673E-2</v>
      </c>
      <c r="S6" s="51">
        <f>IF(R6&lt;Interface!$B$21,R6,0)</f>
        <v>1.2829529428147673E-2</v>
      </c>
    </row>
    <row r="7" spans="1:19">
      <c r="A7" s="39"/>
      <c r="B7" s="39"/>
      <c r="C7" s="89"/>
      <c r="D7" s="89"/>
      <c r="E7" s="39"/>
      <c r="F7" s="46">
        <v>6</v>
      </c>
      <c r="G7" s="47">
        <f t="shared" si="0"/>
        <v>8.8610675603977632E-2</v>
      </c>
      <c r="H7" s="47">
        <f t="shared" si="1"/>
        <v>1.2046220160599908E-3</v>
      </c>
      <c r="I7" s="47">
        <f t="shared" si="2"/>
        <v>2.7163045460176262E-4</v>
      </c>
      <c r="J7" s="47">
        <f t="shared" si="3"/>
        <v>1.0951881254424201E-2</v>
      </c>
      <c r="K7" s="47">
        <f t="shared" si="4"/>
        <v>0.88405046556102573</v>
      </c>
      <c r="L7" s="47">
        <f t="shared" si="5"/>
        <v>1.8245817053122793E-4</v>
      </c>
      <c r="M7" s="47">
        <f t="shared" si="6"/>
        <v>1.4728266939379411E-2</v>
      </c>
      <c r="N7" s="48">
        <f t="shared" si="7"/>
        <v>1</v>
      </c>
      <c r="O7" s="49">
        <f t="shared" si="8"/>
        <v>0.89500234681544999</v>
      </c>
      <c r="P7" s="49">
        <f t="shared" si="9"/>
        <v>1.4910725109910639E-2</v>
      </c>
      <c r="Q7" s="50">
        <f t="shared" si="10"/>
        <v>0.98481764443548758</v>
      </c>
      <c r="R7" s="50">
        <f t="shared" si="11"/>
        <v>1.5182355564512402E-2</v>
      </c>
      <c r="S7" s="51">
        <f>IF(R7&lt;Interface!$B$21,R7,0)</f>
        <v>1.5182355564512402E-2</v>
      </c>
    </row>
    <row r="8" spans="1:19" ht="15">
      <c r="A8" s="39"/>
      <c r="B8" s="39"/>
      <c r="C8" s="90" t="s">
        <v>83</v>
      </c>
      <c r="D8" s="90" t="s">
        <v>84</v>
      </c>
      <c r="E8" s="39"/>
      <c r="F8" s="46">
        <v>7</v>
      </c>
      <c r="G8" s="47">
        <f t="shared" si="0"/>
        <v>0.10219955823121835</v>
      </c>
      <c r="H8" s="47">
        <f t="shared" si="1"/>
        <v>1.6231562112175336E-3</v>
      </c>
      <c r="I8" s="47">
        <f t="shared" si="2"/>
        <v>3.6600581233336532E-4</v>
      </c>
      <c r="J8" s="47">
        <f t="shared" si="3"/>
        <v>1.2631406073521367E-2</v>
      </c>
      <c r="K8" s="47">
        <f t="shared" si="4"/>
        <v>0.86607712230303446</v>
      </c>
      <c r="L8" s="47">
        <f t="shared" si="5"/>
        <v>2.4585148605685265E-4</v>
      </c>
      <c r="M8" s="47">
        <f t="shared" si="6"/>
        <v>1.685689988261807E-2</v>
      </c>
      <c r="N8" s="48">
        <f t="shared" si="7"/>
        <v>1</v>
      </c>
      <c r="O8" s="49">
        <f t="shared" si="8"/>
        <v>0.87870852837655589</v>
      </c>
      <c r="P8" s="49">
        <f t="shared" si="9"/>
        <v>1.7102751368674923E-2</v>
      </c>
      <c r="Q8" s="50">
        <f t="shared" si="10"/>
        <v>0.98253124281899185</v>
      </c>
      <c r="R8" s="50">
        <f t="shared" si="11"/>
        <v>1.746875718100829E-2</v>
      </c>
      <c r="S8" s="51">
        <f>IF(R8&lt;Interface!$B$21,R8,0)</f>
        <v>1.746875718100829E-2</v>
      </c>
    </row>
    <row r="9" spans="1:19">
      <c r="A9" s="39"/>
      <c r="B9" s="39"/>
      <c r="C9" s="89"/>
      <c r="D9" s="89"/>
      <c r="E9" s="39"/>
      <c r="F9" s="46">
        <v>8</v>
      </c>
      <c r="G9" s="47">
        <f t="shared" si="0"/>
        <v>0.11546984610034904</v>
      </c>
      <c r="H9" s="47">
        <f t="shared" si="1"/>
        <v>2.0988039326830911E-3</v>
      </c>
      <c r="I9" s="47">
        <f t="shared" si="2"/>
        <v>4.7325971031089297E-4</v>
      </c>
      <c r="J9" s="47">
        <f t="shared" si="3"/>
        <v>1.4271554012402689E-2</v>
      </c>
      <c r="K9" s="47">
        <f t="shared" si="4"/>
        <v>0.84846918925685111</v>
      </c>
      <c r="L9" s="47">
        <f t="shared" si="5"/>
        <v>3.1789550643745865E-4</v>
      </c>
      <c r="M9" s="47">
        <f t="shared" si="6"/>
        <v>1.8899451480965744E-2</v>
      </c>
      <c r="N9" s="48">
        <f t="shared" si="7"/>
        <v>1</v>
      </c>
      <c r="O9" s="49">
        <f t="shared" si="8"/>
        <v>0.86274074326925376</v>
      </c>
      <c r="P9" s="49">
        <f t="shared" si="9"/>
        <v>1.9217346987403204E-2</v>
      </c>
      <c r="Q9" s="50">
        <f t="shared" si="10"/>
        <v>0.98030939330228595</v>
      </c>
      <c r="R9" s="50">
        <f t="shared" si="11"/>
        <v>1.9690606697714098E-2</v>
      </c>
      <c r="S9" s="51">
        <f>IF(R9&lt;Interface!$B$21,R9,0)</f>
        <v>1.9690606697714098E-2</v>
      </c>
    </row>
    <row r="10" spans="1:19">
      <c r="A10" s="39"/>
      <c r="B10" s="39"/>
      <c r="C10" s="89"/>
      <c r="D10" s="89">
        <v>22</v>
      </c>
      <c r="E10" s="39"/>
      <c r="F10" s="46">
        <v>9</v>
      </c>
      <c r="G10" s="47">
        <f t="shared" si="0"/>
        <v>0.12842813284793628</v>
      </c>
      <c r="H10" s="47">
        <f t="shared" si="1"/>
        <v>2.6297610199751994E-3</v>
      </c>
      <c r="I10" s="47">
        <f t="shared" si="2"/>
        <v>5.9298532803362324E-4</v>
      </c>
      <c r="J10" s="47">
        <f t="shared" si="3"/>
        <v>1.5873140014913474E-2</v>
      </c>
      <c r="K10" s="47">
        <f t="shared" si="4"/>
        <v>0.83121923738598658</v>
      </c>
      <c r="L10" s="47">
        <f t="shared" si="5"/>
        <v>3.9831696436064094E-4</v>
      </c>
      <c r="M10" s="47">
        <f t="shared" si="6"/>
        <v>2.0858426438794188E-2</v>
      </c>
      <c r="N10" s="48">
        <f t="shared" si="7"/>
        <v>1</v>
      </c>
      <c r="O10" s="49">
        <f t="shared" si="8"/>
        <v>0.84709237740090004</v>
      </c>
      <c r="P10" s="49">
        <f t="shared" si="9"/>
        <v>2.1256743403154831E-2</v>
      </c>
      <c r="Q10" s="50">
        <f t="shared" si="10"/>
        <v>0.9781502712688116</v>
      </c>
      <c r="R10" s="50">
        <f t="shared" si="11"/>
        <v>2.1849728731188452E-2</v>
      </c>
      <c r="S10" s="51">
        <f>IF(R10&lt;Interface!$B$21,R10,0)</f>
        <v>2.1849728731188452E-2</v>
      </c>
    </row>
    <row r="11" spans="1:19">
      <c r="A11" s="39"/>
      <c r="B11" s="39"/>
      <c r="C11" s="89" t="b">
        <v>0</v>
      </c>
      <c r="D11" s="89">
        <v>162</v>
      </c>
      <c r="E11" s="39"/>
      <c r="F11" s="46">
        <v>10</v>
      </c>
      <c r="G11" s="47">
        <f t="shared" si="0"/>
        <v>0.14108087773738831</v>
      </c>
      <c r="H11" s="47">
        <f t="shared" si="1"/>
        <v>3.2142699148948444E-3</v>
      </c>
      <c r="I11" s="47">
        <f t="shared" si="2"/>
        <v>7.2478635335864123E-4</v>
      </c>
      <c r="J11" s="47">
        <f t="shared" si="3"/>
        <v>1.7436962416980575E-2</v>
      </c>
      <c r="K11" s="47">
        <f t="shared" si="4"/>
        <v>0.81431998869128319</v>
      </c>
      <c r="L11" s="47">
        <f t="shared" si="5"/>
        <v>4.8684965113245316E-4</v>
      </c>
      <c r="M11" s="47">
        <f t="shared" si="6"/>
        <v>2.2736265234961996E-2</v>
      </c>
      <c r="N11" s="48">
        <f t="shared" si="7"/>
        <v>1</v>
      </c>
      <c r="O11" s="49">
        <f t="shared" si="8"/>
        <v>0.83175695110826375</v>
      </c>
      <c r="P11" s="49">
        <f t="shared" si="9"/>
        <v>2.3223114886094451E-2</v>
      </c>
      <c r="Q11" s="50">
        <f t="shared" si="10"/>
        <v>0.97605209876054688</v>
      </c>
      <c r="R11" s="50">
        <f t="shared" si="11"/>
        <v>2.3947901239453093E-2</v>
      </c>
      <c r="S11" s="51">
        <f>IF(R11&lt;Interface!$B$21,R11,0)</f>
        <v>2.3947901239453093E-2</v>
      </c>
    </row>
    <row r="12" spans="1:19">
      <c r="A12" s="39"/>
      <c r="B12" s="39"/>
      <c r="C12" s="89" t="b">
        <v>0</v>
      </c>
      <c r="D12" s="89">
        <v>25</v>
      </c>
      <c r="E12" s="39"/>
      <c r="F12" s="46">
        <v>11</v>
      </c>
      <c r="G12" s="47">
        <f t="shared" si="0"/>
        <v>0.15343440839173214</v>
      </c>
      <c r="H12" s="47">
        <f t="shared" si="1"/>
        <v>3.8506185430307823E-3</v>
      </c>
      <c r="I12" s="47">
        <f t="shared" si="2"/>
        <v>8.6827673029125473E-4</v>
      </c>
      <c r="J12" s="47">
        <f t="shared" si="3"/>
        <v>1.8963803284371389E-2</v>
      </c>
      <c r="K12" s="47">
        <f t="shared" si="4"/>
        <v>0.79776431314022289</v>
      </c>
      <c r="L12" s="47">
        <f t="shared" si="5"/>
        <v>5.8323424726452143E-4</v>
      </c>
      <c r="M12" s="47">
        <f t="shared" si="6"/>
        <v>2.4535345663086964E-2</v>
      </c>
      <c r="N12" s="48">
        <f t="shared" si="7"/>
        <v>1</v>
      </c>
      <c r="O12" s="49">
        <f t="shared" si="8"/>
        <v>0.81672811642459431</v>
      </c>
      <c r="P12" s="49">
        <f t="shared" si="9"/>
        <v>2.5118579910351484E-2</v>
      </c>
      <c r="Q12" s="50">
        <f t="shared" si="10"/>
        <v>0.97401314335935729</v>
      </c>
      <c r="R12" s="50">
        <f t="shared" si="11"/>
        <v>2.5986856640642739E-2</v>
      </c>
      <c r="S12" s="51">
        <f>IF(R12&lt;Interface!$B$21,R12,0)</f>
        <v>2.5986856640642739E-2</v>
      </c>
    </row>
    <row r="13" spans="1:19">
      <c r="A13" s="39"/>
      <c r="B13" s="39"/>
      <c r="C13" s="89" t="b">
        <v>0</v>
      </c>
      <c r="D13" s="89">
        <v>210</v>
      </c>
      <c r="E13" s="39"/>
      <c r="F13" s="46">
        <v>12</v>
      </c>
      <c r="G13" s="47">
        <f t="shared" si="0"/>
        <v>0.16549492347082928</v>
      </c>
      <c r="H13" s="47">
        <f t="shared" si="1"/>
        <v>4.5371392210091094E-3</v>
      </c>
      <c r="I13" s="47">
        <f t="shared" si="2"/>
        <v>1.0230804125804854E-3</v>
      </c>
      <c r="J13" s="47">
        <f t="shared" si="3"/>
        <v>2.0454428743585641E-2</v>
      </c>
      <c r="K13" s="47">
        <f t="shared" si="4"/>
        <v>0.78154522565866658</v>
      </c>
      <c r="L13" s="47">
        <f t="shared" si="5"/>
        <v>6.8721815696051161E-4</v>
      </c>
      <c r="M13" s="47">
        <f t="shared" si="6"/>
        <v>2.6257984336368431E-2</v>
      </c>
      <c r="N13" s="48">
        <f t="shared" si="7"/>
        <v>1</v>
      </c>
      <c r="O13" s="49">
        <f t="shared" si="8"/>
        <v>0.80199965440225218</v>
      </c>
      <c r="P13" s="49">
        <f t="shared" si="9"/>
        <v>2.6945202493328942E-2</v>
      </c>
      <c r="Q13" s="50">
        <f t="shared" si="10"/>
        <v>0.97203171709409053</v>
      </c>
      <c r="R13" s="50">
        <f t="shared" si="11"/>
        <v>2.7968282905909428E-2</v>
      </c>
      <c r="S13" s="51">
        <f>IF(R13&lt;Interface!$B$21,R13,0)</f>
        <v>2.7968282905909428E-2</v>
      </c>
    </row>
    <row r="14" spans="1:19">
      <c r="A14" s="39"/>
      <c r="B14" s="39"/>
      <c r="C14" s="89" t="b">
        <v>1</v>
      </c>
      <c r="D14" s="89">
        <v>125</v>
      </c>
      <c r="E14" s="39"/>
      <c r="F14" s="46">
        <v>13</v>
      </c>
      <c r="G14" s="47">
        <f t="shared" si="0"/>
        <v>0.17726849529415967</v>
      </c>
      <c r="H14" s="47">
        <f t="shared" si="1"/>
        <v>5.2722075889108507E-3</v>
      </c>
      <c r="I14" s="47">
        <f t="shared" si="2"/>
        <v>1.1888311229897015E-3</v>
      </c>
      <c r="J14" s="47">
        <f t="shared" si="3"/>
        <v>2.1909589306019731E-2</v>
      </c>
      <c r="K14" s="47">
        <f t="shared" si="4"/>
        <v>0.76565588318375111</v>
      </c>
      <c r="L14" s="47">
        <f t="shared" si="5"/>
        <v>7.9855534641467478E-4</v>
      </c>
      <c r="M14" s="47">
        <f t="shared" si="6"/>
        <v>2.7906438157754284E-2</v>
      </c>
      <c r="N14" s="48">
        <f t="shared" si="7"/>
        <v>1</v>
      </c>
      <c r="O14" s="49">
        <f t="shared" si="8"/>
        <v>0.78756547248977082</v>
      </c>
      <c r="P14" s="49">
        <f t="shared" si="9"/>
        <v>2.8704993504168958E-2</v>
      </c>
      <c r="Q14" s="50">
        <f t="shared" si="10"/>
        <v>0.97010617537284138</v>
      </c>
      <c r="R14" s="50">
        <f t="shared" si="11"/>
        <v>2.9893824627158661E-2</v>
      </c>
      <c r="S14" s="51">
        <f>IF(R14&lt;Interface!$B$21,R14,0)</f>
        <v>2.9893824627158661E-2</v>
      </c>
    </row>
    <row r="15" spans="1:19">
      <c r="A15" s="39"/>
      <c r="B15" s="39"/>
      <c r="C15" s="89">
        <f>LOOKUP(Interface!B12,Pregnancy!A:A,Pregnancy!B:B)</f>
        <v>1.7629155810877501E-2</v>
      </c>
      <c r="D15" s="89">
        <v>29</v>
      </c>
      <c r="E15" s="39"/>
      <c r="F15" s="46">
        <v>14</v>
      </c>
      <c r="G15" s="47">
        <f t="shared" si="0"/>
        <v>0.18876107241027926</v>
      </c>
      <c r="H15" s="47">
        <f t="shared" si="1"/>
        <v>6.0542415672939446E-3</v>
      </c>
      <c r="I15" s="47">
        <f t="shared" si="2"/>
        <v>1.3651721181153012E-3</v>
      </c>
      <c r="J15" s="47">
        <f t="shared" si="3"/>
        <v>2.3330020185540128E-2</v>
      </c>
      <c r="K15" s="47">
        <f t="shared" si="4"/>
        <v>0.75008958177670526</v>
      </c>
      <c r="L15" s="47">
        <f t="shared" si="5"/>
        <v>9.1700618583709771E-4</v>
      </c>
      <c r="M15" s="47">
        <f t="shared" si="6"/>
        <v>2.9482905756229021E-2</v>
      </c>
      <c r="N15" s="48">
        <f t="shared" si="7"/>
        <v>1</v>
      </c>
      <c r="O15" s="49">
        <f t="shared" si="8"/>
        <v>0.77341960196224535</v>
      </c>
      <c r="P15" s="49">
        <f t="shared" si="9"/>
        <v>3.0399911942066118E-2</v>
      </c>
      <c r="Q15" s="50">
        <f t="shared" si="10"/>
        <v>0.96823491593981859</v>
      </c>
      <c r="R15" s="50">
        <f t="shared" si="11"/>
        <v>3.1765084060181421E-2</v>
      </c>
      <c r="S15" s="51">
        <f>IF(R15&lt;Interface!$B$21,R15,0)</f>
        <v>3.1765084060181421E-2</v>
      </c>
    </row>
    <row r="16" spans="1:19">
      <c r="A16" s="39"/>
      <c r="B16" s="39"/>
      <c r="C16" s="89">
        <f>LOOKUP(Interface!B12,Pregnancy!A:A,Pregnancy!C:C)</f>
        <v>0.89</v>
      </c>
      <c r="D16" s="89"/>
      <c r="E16" s="39"/>
      <c r="F16" s="46">
        <v>15</v>
      </c>
      <c r="G16" s="47">
        <f t="shared" si="0"/>
        <v>0.19997848211403774</v>
      </c>
      <c r="H16" s="47">
        <f t="shared" si="1"/>
        <v>6.8817003382680942E-3</v>
      </c>
      <c r="I16" s="47">
        <f t="shared" si="2"/>
        <v>1.5517559586290797E-3</v>
      </c>
      <c r="J16" s="47">
        <f t="shared" si="3"/>
        <v>2.4716441609600168E-2</v>
      </c>
      <c r="K16" s="47">
        <f t="shared" si="4"/>
        <v>0.73483975379436228</v>
      </c>
      <c r="L16" s="47">
        <f t="shared" si="5"/>
        <v>1.0423372951221224E-3</v>
      </c>
      <c r="M16" s="47">
        <f t="shared" si="6"/>
        <v>3.098952888998056E-2</v>
      </c>
      <c r="N16" s="48">
        <f t="shared" si="7"/>
        <v>1</v>
      </c>
      <c r="O16" s="49">
        <f t="shared" si="8"/>
        <v>0.75955619540396246</v>
      </c>
      <c r="P16" s="49">
        <f t="shared" si="9"/>
        <v>3.2031866185102682E-2</v>
      </c>
      <c r="Q16" s="50">
        <f t="shared" si="10"/>
        <v>0.96641637785626822</v>
      </c>
      <c r="R16" s="50">
        <f t="shared" si="11"/>
        <v>3.3583622143731763E-2</v>
      </c>
      <c r="S16" s="51">
        <f>IF(R16&lt;Interface!$B$21,R16,0)</f>
        <v>3.3583622143731763E-2</v>
      </c>
    </row>
    <row r="17" spans="1:19">
      <c r="A17" s="39"/>
      <c r="B17" s="39"/>
      <c r="C17" s="89"/>
      <c r="D17" s="89"/>
      <c r="E17" s="39"/>
      <c r="F17" s="46">
        <v>16</v>
      </c>
      <c r="G17" s="47">
        <f t="shared" si="0"/>
        <v>0.21092643291261626</v>
      </c>
      <c r="H17" s="47">
        <f t="shared" si="1"/>
        <v>7.7530833500834909E-3</v>
      </c>
      <c r="I17" s="47">
        <f t="shared" si="2"/>
        <v>1.7482442848227473E-3</v>
      </c>
      <c r="J17" s="47">
        <f t="shared" si="3"/>
        <v>2.6069559124031222E-2</v>
      </c>
      <c r="K17" s="47">
        <f t="shared" si="4"/>
        <v>0.71989996511817822</v>
      </c>
      <c r="L17" s="47">
        <f t="shared" si="5"/>
        <v>1.1743213930782989E-3</v>
      </c>
      <c r="M17" s="47">
        <f t="shared" si="6"/>
        <v>3.2428393817189795E-2</v>
      </c>
      <c r="N17" s="48">
        <f t="shared" si="7"/>
        <v>1</v>
      </c>
      <c r="O17" s="49">
        <f t="shared" si="8"/>
        <v>0.74596952424220941</v>
      </c>
      <c r="P17" s="49">
        <f t="shared" si="9"/>
        <v>3.3602715210268093E-2</v>
      </c>
      <c r="Q17" s="50">
        <f t="shared" si="10"/>
        <v>0.96464904050490918</v>
      </c>
      <c r="R17" s="50">
        <f t="shared" si="11"/>
        <v>3.5350959495090838E-2</v>
      </c>
      <c r="S17" s="51">
        <f>IF(R17&lt;Interface!$B$21,R17,0)</f>
        <v>3.5350959495090838E-2</v>
      </c>
    </row>
    <row r="18" spans="1:19">
      <c r="A18" s="39"/>
      <c r="B18" s="39"/>
      <c r="C18" s="89" t="b">
        <v>0</v>
      </c>
      <c r="D18" s="89">
        <v>184</v>
      </c>
      <c r="E18" s="39"/>
      <c r="F18" s="46">
        <v>17</v>
      </c>
      <c r="G18" s="47">
        <f t="shared" si="0"/>
        <v>0.22161051694142672</v>
      </c>
      <c r="H18" s="47">
        <f t="shared" si="1"/>
        <v>8.6669293447060262E-3</v>
      </c>
      <c r="I18" s="47">
        <f t="shared" si="2"/>
        <v>1.9543075973356724E-3</v>
      </c>
      <c r="J18" s="47">
        <f t="shared" si="3"/>
        <v>2.7390063891637006E-2</v>
      </c>
      <c r="K18" s="47">
        <f t="shared" si="4"/>
        <v>0.70526391243958608</v>
      </c>
      <c r="L18" s="47">
        <f t="shared" si="5"/>
        <v>1.3127371501399849E-3</v>
      </c>
      <c r="M18" s="47">
        <f t="shared" si="6"/>
        <v>3.3801532635168482E-2</v>
      </c>
      <c r="N18" s="48">
        <f t="shared" si="7"/>
        <v>1</v>
      </c>
      <c r="O18" s="49">
        <f t="shared" si="8"/>
        <v>0.73265397633122309</v>
      </c>
      <c r="P18" s="49">
        <f t="shared" si="9"/>
        <v>3.5114269785308468E-2</v>
      </c>
      <c r="Q18" s="50">
        <f t="shared" si="10"/>
        <v>0.96293142261735587</v>
      </c>
      <c r="R18" s="50">
        <f t="shared" si="11"/>
        <v>3.7068577382644137E-2</v>
      </c>
      <c r="S18" s="51">
        <f>IF(R18&lt;Interface!$B$21,R18,0)</f>
        <v>3.7068577382644137E-2</v>
      </c>
    </row>
    <row r="19" spans="1:19">
      <c r="A19" s="39"/>
      <c r="B19" s="39"/>
      <c r="C19" s="89" t="b">
        <v>0</v>
      </c>
      <c r="D19" s="89">
        <v>39</v>
      </c>
      <c r="E19" s="39"/>
      <c r="F19" s="46">
        <v>18</v>
      </c>
      <c r="G19" s="47">
        <f t="shared" si="0"/>
        <v>0.23203621233089186</v>
      </c>
      <c r="H19" s="47">
        <f t="shared" si="1"/>
        <v>9.6218154078630217E-3</v>
      </c>
      <c r="I19" s="47">
        <f t="shared" si="2"/>
        <v>2.1696250429495043E-3</v>
      </c>
      <c r="J19" s="47">
        <f t="shared" si="3"/>
        <v>2.8678632984716967E-2</v>
      </c>
      <c r="K19" s="47">
        <f t="shared" si="4"/>
        <v>0.69092542060054118</v>
      </c>
      <c r="L19" s="47">
        <f t="shared" si="5"/>
        <v>1.4573690444824466E-3</v>
      </c>
      <c r="M19" s="47">
        <f t="shared" si="6"/>
        <v>3.5110924588554998E-2</v>
      </c>
      <c r="N19" s="48">
        <f t="shared" si="7"/>
        <v>1</v>
      </c>
      <c r="O19" s="49">
        <f t="shared" si="8"/>
        <v>0.71960405358525814</v>
      </c>
      <c r="P19" s="49">
        <f t="shared" si="9"/>
        <v>3.6568293633037444E-2</v>
      </c>
      <c r="Q19" s="50">
        <f t="shared" si="10"/>
        <v>0.96126208132401303</v>
      </c>
      <c r="R19" s="50">
        <f t="shared" si="11"/>
        <v>3.873791867598695E-2</v>
      </c>
      <c r="S19" s="51">
        <f>IF(R19&lt;Interface!$B$21,R19,0)</f>
        <v>3.873791867598695E-2</v>
      </c>
    </row>
    <row r="20" spans="1:19">
      <c r="A20" s="39"/>
      <c r="B20" s="39"/>
      <c r="C20" s="89"/>
      <c r="D20" s="89"/>
      <c r="E20" s="39"/>
      <c r="F20" s="46">
        <v>19</v>
      </c>
      <c r="G20" s="47">
        <f t="shared" si="0"/>
        <v>0.24220888552510483</v>
      </c>
      <c r="H20" s="47">
        <f t="shared" si="1"/>
        <v>1.0616356041055401E-2</v>
      </c>
      <c r="I20" s="47">
        <f t="shared" si="2"/>
        <v>2.3938842053360214E-3</v>
      </c>
      <c r="J20" s="47">
        <f t="shared" si="3"/>
        <v>2.9935929671642162E-2</v>
      </c>
      <c r="K20" s="47">
        <f t="shared" si="4"/>
        <v>0.67687843998813368</v>
      </c>
      <c r="L20" s="47">
        <f t="shared" si="5"/>
        <v>1.608007221464108E-3</v>
      </c>
      <c r="M20" s="47">
        <f t="shared" si="6"/>
        <v>3.6358497347263853E-2</v>
      </c>
      <c r="N20" s="48">
        <f t="shared" si="7"/>
        <v>1.0000000000000002</v>
      </c>
      <c r="O20" s="49">
        <f t="shared" si="8"/>
        <v>0.70681436965977584</v>
      </c>
      <c r="P20" s="49">
        <f t="shared" si="9"/>
        <v>3.7966504568727959E-2</v>
      </c>
      <c r="Q20" s="50">
        <f t="shared" si="10"/>
        <v>0.959639611225936</v>
      </c>
      <c r="R20" s="50">
        <f t="shared" si="11"/>
        <v>4.0360388774063977E-2</v>
      </c>
      <c r="S20" s="51">
        <f>IF(R20&lt;Interface!$B$21,R20,0)</f>
        <v>4.0360388774063977E-2</v>
      </c>
    </row>
    <row r="21" spans="1:19">
      <c r="A21" s="39"/>
      <c r="B21" s="39"/>
      <c r="C21" s="89"/>
      <c r="D21" s="89"/>
      <c r="E21" s="39"/>
      <c r="F21" s="46">
        <v>20</v>
      </c>
      <c r="G21" s="47">
        <f t="shared" si="0"/>
        <v>0.25213379355334603</v>
      </c>
      <c r="H21" s="47">
        <f t="shared" si="1"/>
        <v>1.1649202255042679E-2</v>
      </c>
      <c r="I21" s="47">
        <f t="shared" si="2"/>
        <v>2.6267809006468778E-3</v>
      </c>
      <c r="J21" s="47">
        <f t="shared" si="3"/>
        <v>3.1162603697604565E-2</v>
      </c>
      <c r="K21" s="47">
        <f t="shared" si="4"/>
        <v>0.66311704398217153</v>
      </c>
      <c r="L21" s="47">
        <f t="shared" si="5"/>
        <v>1.7644473563211808E-3</v>
      </c>
      <c r="M21" s="47">
        <f t="shared" si="6"/>
        <v>3.7546128254867167E-2</v>
      </c>
      <c r="N21" s="48">
        <f t="shared" si="7"/>
        <v>1</v>
      </c>
      <c r="O21" s="49">
        <f t="shared" si="8"/>
        <v>0.69427964767977612</v>
      </c>
      <c r="P21" s="49">
        <f t="shared" si="9"/>
        <v>3.931057561118835E-2</v>
      </c>
      <c r="Q21" s="50">
        <f t="shared" si="10"/>
        <v>0.95806264348816494</v>
      </c>
      <c r="R21" s="50">
        <f t="shared" si="11"/>
        <v>4.1937356511835229E-2</v>
      </c>
      <c r="S21" s="51">
        <f>IF(R21&lt;Interface!$B$21,R21,0)</f>
        <v>4.1937356511835229E-2</v>
      </c>
    </row>
    <row r="22" spans="1:19">
      <c r="A22" s="39"/>
      <c r="B22" s="39"/>
      <c r="C22" s="89" t="b">
        <v>0</v>
      </c>
      <c r="D22" s="91">
        <f>LOOKUP(Interface!B12,Pregnancy!A:A,Pregnancy!D:D)</f>
        <v>96.910651460205472</v>
      </c>
      <c r="E22" s="39"/>
      <c r="F22" s="46">
        <v>21</v>
      </c>
      <c r="G22" s="47">
        <f t="shared" si="0"/>
        <v>0.26181608625541708</v>
      </c>
      <c r="H22" s="47">
        <f t="shared" si="1"/>
        <v>1.2719040684318316E-2</v>
      </c>
      <c r="I22" s="47">
        <f t="shared" si="2"/>
        <v>2.8680189778364823E-3</v>
      </c>
      <c r="J22" s="47">
        <f t="shared" si="3"/>
        <v>3.235929155965829E-2</v>
      </c>
      <c r="K22" s="47">
        <f t="shared" si="4"/>
        <v>0.64963542645465566</v>
      </c>
      <c r="L22" s="47">
        <f t="shared" si="5"/>
        <v>1.9264905200416041E-3</v>
      </c>
      <c r="M22" s="47">
        <f t="shared" si="6"/>
        <v>3.8675645548072526E-2</v>
      </c>
      <c r="N22" s="48">
        <f t="shared" si="7"/>
        <v>1</v>
      </c>
      <c r="O22" s="49">
        <f t="shared" si="8"/>
        <v>0.68199471801431399</v>
      </c>
      <c r="P22" s="49">
        <f t="shared" si="9"/>
        <v>4.0602136068114129E-2</v>
      </c>
      <c r="Q22" s="50">
        <f t="shared" si="10"/>
        <v>0.95652984495404936</v>
      </c>
      <c r="R22" s="50">
        <f t="shared" si="11"/>
        <v>4.3470155045950615E-2</v>
      </c>
      <c r="S22" s="51">
        <f>IF(R22&lt;Interface!$B$21,R22,0)</f>
        <v>4.3470155045950615E-2</v>
      </c>
    </row>
    <row r="23" spans="1:19">
      <c r="A23" s="39"/>
      <c r="B23" s="39"/>
      <c r="C23" s="89" t="b">
        <v>0</v>
      </c>
      <c r="D23" s="91">
        <f ca="1">LOOKUP(Interface!B12,Pregnancy!A:A,Pregnancy!E:E)</f>
        <v>35</v>
      </c>
      <c r="E23" s="39"/>
      <c r="F23" s="46">
        <v>22</v>
      </c>
      <c r="G23" s="47">
        <f t="shared" si="0"/>
        <v>0.27126080846172879</v>
      </c>
      <c r="H23" s="47">
        <f t="shared" si="1"/>
        <v>1.3824592722103986E-2</v>
      </c>
      <c r="I23" s="47">
        <f t="shared" si="2"/>
        <v>3.1173101236116824E-3</v>
      </c>
      <c r="J23" s="47">
        <f t="shared" si="3"/>
        <v>3.3526616776168722E-2</v>
      </c>
      <c r="K23" s="47">
        <f t="shared" si="4"/>
        <v>0.63642789932009169</v>
      </c>
      <c r="L23" s="47">
        <f t="shared" si="5"/>
        <v>2.0939430483468799E-3</v>
      </c>
      <c r="M23" s="47">
        <f t="shared" si="6"/>
        <v>3.9748829547948276E-2</v>
      </c>
      <c r="N23" s="48">
        <f t="shared" si="7"/>
        <v>1</v>
      </c>
      <c r="O23" s="49">
        <f t="shared" si="8"/>
        <v>0.66995451609626044</v>
      </c>
      <c r="P23" s="49">
        <f t="shared" si="9"/>
        <v>4.1842772596295159E-2</v>
      </c>
      <c r="Q23" s="50">
        <f t="shared" si="10"/>
        <v>0.95503991728009319</v>
      </c>
      <c r="R23" s="50">
        <f t="shared" si="11"/>
        <v>4.4960082719906841E-2</v>
      </c>
      <c r="S23" s="51">
        <f>IF(R23&lt;Interface!$B$21,R23,0)</f>
        <v>4.4960082719906841E-2</v>
      </c>
    </row>
    <row r="24" spans="1:19">
      <c r="A24" s="39"/>
      <c r="B24" s="39"/>
      <c r="C24" s="89">
        <v>82</v>
      </c>
      <c r="D24" s="89">
        <v>59</v>
      </c>
      <c r="E24" s="39"/>
      <c r="F24" s="46">
        <v>23</v>
      </c>
      <c r="G24" s="47">
        <f t="shared" si="0"/>
        <v>0.28047290212906484</v>
      </c>
      <c r="H24" s="47">
        <f t="shared" si="1"/>
        <v>1.4964613675400399E-2</v>
      </c>
      <c r="I24" s="47">
        <f t="shared" si="2"/>
        <v>3.3743736719040107E-3</v>
      </c>
      <c r="J24" s="47">
        <f t="shared" si="3"/>
        <v>3.4665190150783287E-2</v>
      </c>
      <c r="K24" s="47">
        <f t="shared" si="4"/>
        <v>0.6234888901356066</v>
      </c>
      <c r="L24" s="47">
        <f t="shared" si="5"/>
        <v>2.2666164137117805E-3</v>
      </c>
      <c r="M24" s="47">
        <f t="shared" si="6"/>
        <v>4.0767413823529088E-2</v>
      </c>
      <c r="N24" s="48">
        <f t="shared" si="7"/>
        <v>1</v>
      </c>
      <c r="O24" s="49">
        <f t="shared" si="8"/>
        <v>0.65815408028638989</v>
      </c>
      <c r="P24" s="49">
        <f t="shared" si="9"/>
        <v>4.3034030237240867E-2</v>
      </c>
      <c r="Q24" s="50">
        <f t="shared" si="10"/>
        <v>0.95359159609085509</v>
      </c>
      <c r="R24" s="50">
        <f t="shared" si="11"/>
        <v>4.6408403909144878E-2</v>
      </c>
      <c r="S24" s="51">
        <f>IF(R24&lt;Interface!$B$21,R24,0)</f>
        <v>4.6408403909144878E-2</v>
      </c>
    </row>
    <row r="25" spans="1:19">
      <c r="A25" s="39"/>
      <c r="B25" s="39"/>
      <c r="C25" s="89">
        <v>6</v>
      </c>
      <c r="D25" s="89"/>
      <c r="E25" s="39"/>
      <c r="F25" s="46">
        <v>24</v>
      </c>
      <c r="G25" s="47">
        <f t="shared" si="0"/>
        <v>0.289457208432921</v>
      </c>
      <c r="H25" s="47">
        <f t="shared" si="1"/>
        <v>1.6137891939644579E-2</v>
      </c>
      <c r="I25" s="47">
        <f t="shared" si="2"/>
        <v>3.6389364177629928E-3</v>
      </c>
      <c r="J25" s="47">
        <f t="shared" si="3"/>
        <v>3.5775610031035181E-2</v>
      </c>
      <c r="K25" s="47">
        <f t="shared" si="4"/>
        <v>0.61081293974985595</v>
      </c>
      <c r="L25" s="47">
        <f t="shared" si="5"/>
        <v>2.4443271003537445E-3</v>
      </c>
      <c r="M25" s="47">
        <f t="shared" si="6"/>
        <v>4.173308632842649E-2</v>
      </c>
      <c r="N25" s="48">
        <f t="shared" si="7"/>
        <v>1</v>
      </c>
      <c r="O25" s="49">
        <f t="shared" si="8"/>
        <v>0.64658854978089109</v>
      </c>
      <c r="P25" s="49">
        <f t="shared" si="9"/>
        <v>4.4177413428780232E-2</v>
      </c>
      <c r="Q25" s="50">
        <f t="shared" si="10"/>
        <v>0.95218365015345663</v>
      </c>
      <c r="R25" s="50">
        <f t="shared" si="11"/>
        <v>4.7816349846543225E-2</v>
      </c>
      <c r="S25" s="51">
        <f>IF(R25&lt;Interface!$B$21,R25,0)</f>
        <v>4.7816349846543225E-2</v>
      </c>
    </row>
    <row r="26" spans="1:19">
      <c r="A26" s="39"/>
      <c r="B26" s="39"/>
      <c r="C26" s="89"/>
      <c r="D26" s="89">
        <f>IF(C22,D22,D24)</f>
        <v>59</v>
      </c>
      <c r="E26" s="39"/>
      <c r="F26" s="46">
        <v>25</v>
      </c>
      <c r="G26" s="47">
        <f t="shared" si="0"/>
        <v>0.29821846981730449</v>
      </c>
      <c r="H26" s="47">
        <f t="shared" si="1"/>
        <v>1.734324819253107E-2</v>
      </c>
      <c r="I26" s="47">
        <f t="shared" si="2"/>
        <v>3.9107324355707306E-3</v>
      </c>
      <c r="J26" s="47">
        <f t="shared" si="3"/>
        <v>3.6858462561689308E-2</v>
      </c>
      <c r="K26" s="47">
        <f t="shared" si="4"/>
        <v>0.59839469999973049</v>
      </c>
      <c r="L26" s="47">
        <f t="shared" si="5"/>
        <v>2.6268964821249408E-3</v>
      </c>
      <c r="M26" s="47">
        <f t="shared" si="6"/>
        <v>4.2647490511049047E-2</v>
      </c>
      <c r="N26" s="48">
        <f t="shared" si="7"/>
        <v>1</v>
      </c>
      <c r="O26" s="49">
        <f t="shared" si="8"/>
        <v>0.63525316256141984</v>
      </c>
      <c r="P26" s="49">
        <f t="shared" si="9"/>
        <v>4.5274386993173987E-2</v>
      </c>
      <c r="Q26" s="50">
        <f t="shared" si="10"/>
        <v>0.95081488057125541</v>
      </c>
      <c r="R26" s="50">
        <f t="shared" si="11"/>
        <v>4.918511942874472E-2</v>
      </c>
      <c r="S26" s="51">
        <f>IF(R26&lt;Interface!$B$21,R26,0)</f>
        <v>4.918511942874472E-2</v>
      </c>
    </row>
    <row r="27" spans="1:19">
      <c r="A27" s="39"/>
      <c r="B27" s="39"/>
      <c r="C27" s="89"/>
      <c r="D27" s="89">
        <f>IF(C23,D23,D24)</f>
        <v>59</v>
      </c>
      <c r="E27" s="39"/>
      <c r="F27" s="46">
        <v>26</v>
      </c>
      <c r="G27" s="47">
        <f t="shared" si="0"/>
        <v>0.30676133200285544</v>
      </c>
      <c r="H27" s="47">
        <f t="shared" si="1"/>
        <v>1.8579534606566247E-2</v>
      </c>
      <c r="I27" s="47">
        <f t="shared" si="2"/>
        <v>4.1895029014806231E-3</v>
      </c>
      <c r="J27" s="47">
        <f t="shared" si="3"/>
        <v>3.7914321932937194E-2</v>
      </c>
      <c r="K27" s="47">
        <f t="shared" si="4"/>
        <v>0.58622893145388999</v>
      </c>
      <c r="L27" s="47">
        <f t="shared" si="5"/>
        <v>2.8141507032417475E-3</v>
      </c>
      <c r="M27" s="47">
        <f t="shared" si="6"/>
        <v>4.3512226399028707E-2</v>
      </c>
      <c r="N27" s="48">
        <f t="shared" si="7"/>
        <v>1</v>
      </c>
      <c r="O27" s="49">
        <f t="shared" si="8"/>
        <v>0.62414325338682719</v>
      </c>
      <c r="P27" s="49">
        <f t="shared" si="9"/>
        <v>4.6326377102270458E-2</v>
      </c>
      <c r="Q27" s="50">
        <f t="shared" si="10"/>
        <v>0.94948411999624893</v>
      </c>
      <c r="R27" s="50">
        <f t="shared" si="11"/>
        <v>5.0515880003751082E-2</v>
      </c>
      <c r="S27" s="51">
        <f>IF(R27&lt;Interface!$B$21,R27,0)</f>
        <v>5.0515880003751082E-2</v>
      </c>
    </row>
    <row r="28" spans="1:19">
      <c r="A28" s="39"/>
      <c r="B28" s="39"/>
      <c r="C28" s="89"/>
      <c r="D28" s="89">
        <f>MIN(D26,D27)</f>
        <v>59</v>
      </c>
      <c r="E28" s="39"/>
      <c r="F28" s="46">
        <v>27</v>
      </c>
      <c r="G28" s="47">
        <f t="shared" si="0"/>
        <v>0.31509034595414159</v>
      </c>
      <c r="H28" s="47">
        <f t="shared" si="1"/>
        <v>1.9845634079933148E-2</v>
      </c>
      <c r="I28" s="47">
        <f t="shared" si="2"/>
        <v>4.4749959199849249E-3</v>
      </c>
      <c r="J28" s="47">
        <f t="shared" si="3"/>
        <v>3.8943750623545589E-2</v>
      </c>
      <c r="K28" s="47">
        <f t="shared" si="4"/>
        <v>0.57431050120217386</v>
      </c>
      <c r="L28" s="47">
        <f t="shared" si="5"/>
        <v>3.0059205617876264E-3</v>
      </c>
      <c r="M28" s="47">
        <f t="shared" si="6"/>
        <v>4.4328851658433296E-2</v>
      </c>
      <c r="N28" s="48">
        <f t="shared" si="7"/>
        <v>1</v>
      </c>
      <c r="O28" s="49">
        <f t="shared" si="8"/>
        <v>0.61325425182571947</v>
      </c>
      <c r="P28" s="49">
        <f t="shared" si="9"/>
        <v>4.7334772220220922E-2</v>
      </c>
      <c r="Q28" s="50">
        <f t="shared" si="10"/>
        <v>0.94819023185979412</v>
      </c>
      <c r="R28" s="50">
        <f t="shared" si="11"/>
        <v>5.1809768140205846E-2</v>
      </c>
      <c r="S28" s="51">
        <f>IF(R28&lt;Interface!$B$21,R28,0)</f>
        <v>5.1809768140205846E-2</v>
      </c>
    </row>
    <row r="29" spans="1:19">
      <c r="A29" s="39"/>
      <c r="B29" s="39"/>
      <c r="C29" s="89"/>
      <c r="D29" s="89"/>
      <c r="E29" s="39"/>
      <c r="F29" s="46">
        <v>28</v>
      </c>
      <c r="G29" s="47">
        <f t="shared" si="0"/>
        <v>0.32320996980695205</v>
      </c>
      <c r="H29" s="47">
        <f t="shared" si="1"/>
        <v>2.1140459485254278E-2</v>
      </c>
      <c r="I29" s="47">
        <f t="shared" si="2"/>
        <v>4.7669663545181207E-3</v>
      </c>
      <c r="J29" s="47">
        <f t="shared" si="3"/>
        <v>3.9947299639061483E-2</v>
      </c>
      <c r="K29" s="47">
        <f t="shared" si="4"/>
        <v>0.56263438068995275</v>
      </c>
      <c r="L29" s="47">
        <f t="shared" si="5"/>
        <v>3.202041395926925E-3</v>
      </c>
      <c r="M29" s="47">
        <f t="shared" si="6"/>
        <v>4.5098882628334364E-2</v>
      </c>
      <c r="N29" s="48">
        <f t="shared" si="7"/>
        <v>1</v>
      </c>
      <c r="O29" s="49">
        <f t="shared" si="8"/>
        <v>0.60258168032901427</v>
      </c>
      <c r="P29" s="49">
        <f t="shared" si="9"/>
        <v>4.8300924024261289E-2</v>
      </c>
      <c r="Q29" s="50">
        <f t="shared" si="10"/>
        <v>0.94693210962122054</v>
      </c>
      <c r="R29" s="50">
        <f t="shared" si="11"/>
        <v>5.306789037877941E-2</v>
      </c>
      <c r="S29" s="51">
        <f>IF(R29&lt;Interface!$B$21,R29,0)</f>
        <v>5.306789037877941E-2</v>
      </c>
    </row>
    <row r="30" spans="1:19">
      <c r="A30" s="39"/>
      <c r="B30" s="39"/>
      <c r="C30" s="89"/>
      <c r="D30" s="89"/>
      <c r="E30" s="39"/>
      <c r="F30" s="46">
        <v>29</v>
      </c>
      <c r="G30" s="47">
        <f t="shared" si="0"/>
        <v>0.33112457075640805</v>
      </c>
      <c r="H30" s="47">
        <f t="shared" si="1"/>
        <v>2.246295293584856E-2</v>
      </c>
      <c r="I30" s="47">
        <f t="shared" si="2"/>
        <v>5.065175662005067E-3</v>
      </c>
      <c r="J30" s="47">
        <f t="shared" si="3"/>
        <v>4.0925508745174026E-2</v>
      </c>
      <c r="K30" s="47">
        <f t="shared" si="4"/>
        <v>0.5511956435965103</v>
      </c>
      <c r="L30" s="47">
        <f t="shared" si="5"/>
        <v>3.4023529727684253E-3</v>
      </c>
      <c r="M30" s="47">
        <f t="shared" si="6"/>
        <v>4.5823795331285562E-2</v>
      </c>
      <c r="N30" s="48">
        <f t="shared" si="7"/>
        <v>1.0000000000000002</v>
      </c>
      <c r="O30" s="49">
        <f t="shared" si="8"/>
        <v>0.59212115234168428</v>
      </c>
      <c r="P30" s="49">
        <f t="shared" si="9"/>
        <v>4.9226148304053988E-2</v>
      </c>
      <c r="Q30" s="50">
        <f t="shared" si="10"/>
        <v>0.94570867603394082</v>
      </c>
      <c r="R30" s="50">
        <f t="shared" si="11"/>
        <v>5.4291323966059055E-2</v>
      </c>
      <c r="S30" s="51">
        <f>IF(R30&lt;Interface!$B$21,R30,0)</f>
        <v>5.4291323966059055E-2</v>
      </c>
    </row>
    <row r="31" spans="1:19">
      <c r="A31" s="39"/>
      <c r="B31" s="39"/>
      <c r="C31" s="89"/>
      <c r="D31" s="89"/>
      <c r="E31" s="39"/>
      <c r="F31" s="46">
        <v>30</v>
      </c>
      <c r="G31" s="47">
        <f t="shared" si="0"/>
        <v>0.33883842690668209</v>
      </c>
      <c r="H31" s="47">
        <f t="shared" si="1"/>
        <v>2.3812085069087614E-2</v>
      </c>
      <c r="I31" s="47">
        <f t="shared" si="2"/>
        <v>5.3693917312648536E-3</v>
      </c>
      <c r="J31" s="47">
        <f t="shared" si="3"/>
        <v>4.1878906696331493E-2</v>
      </c>
      <c r="K31" s="47">
        <f t="shared" si="4"/>
        <v>0.53998946375655898</v>
      </c>
      <c r="L31" s="47">
        <f t="shared" si="5"/>
        <v>3.6066993798188436E-3</v>
      </c>
      <c r="M31" s="47">
        <f t="shared" si="6"/>
        <v>4.6505026460256074E-2</v>
      </c>
      <c r="N31" s="48">
        <f t="shared" si="7"/>
        <v>1</v>
      </c>
      <c r="O31" s="49">
        <f t="shared" si="8"/>
        <v>0.58186837045289053</v>
      </c>
      <c r="P31" s="49">
        <f t="shared" si="9"/>
        <v>5.0111725840074915E-2</v>
      </c>
      <c r="Q31" s="50">
        <f t="shared" si="10"/>
        <v>0.94451888242866022</v>
      </c>
      <c r="R31" s="50">
        <f t="shared" si="11"/>
        <v>5.5481117571339771E-2</v>
      </c>
      <c r="S31" s="51">
        <f>IF(R31&lt;Interface!$B$21,R31,0)</f>
        <v>5.5481117571339771E-2</v>
      </c>
    </row>
    <row r="32" spans="1:19">
      <c r="A32" s="39"/>
      <c r="B32" s="39"/>
      <c r="C32" s="89"/>
      <c r="D32" s="89"/>
      <c r="E32" s="39"/>
      <c r="F32" s="46">
        <v>31</v>
      </c>
      <c r="G32" s="47">
        <f t="shared" si="0"/>
        <v>0.34635572908311135</v>
      </c>
      <c r="H32" s="47">
        <f t="shared" si="1"/>
        <v>2.5186854346465445E-2</v>
      </c>
      <c r="I32" s="47">
        <f t="shared" si="2"/>
        <v>5.6793887251833843E-3</v>
      </c>
      <c r="J32" s="47">
        <f t="shared" si="3"/>
        <v>4.2808011459710381E-2</v>
      </c>
      <c r="K32" s="47">
        <f t="shared" si="4"/>
        <v>0.52901111312401206</v>
      </c>
      <c r="L32" s="47">
        <f t="shared" si="5"/>
        <v>3.8149289189678324E-3</v>
      </c>
      <c r="M32" s="47">
        <f t="shared" si="6"/>
        <v>4.7143974342549626E-2</v>
      </c>
      <c r="N32" s="48">
        <f t="shared" si="7"/>
        <v>1</v>
      </c>
      <c r="O32" s="49">
        <f t="shared" si="8"/>
        <v>0.57181912458372242</v>
      </c>
      <c r="P32" s="49">
        <f t="shared" si="9"/>
        <v>5.095890326151746E-2</v>
      </c>
      <c r="Q32" s="50">
        <f t="shared" si="10"/>
        <v>0.94336170801329922</v>
      </c>
      <c r="R32" s="50">
        <f t="shared" si="11"/>
        <v>5.6638291986700846E-2</v>
      </c>
      <c r="S32" s="51">
        <f>IF(R32&lt;Interface!$B$21,R32,0)</f>
        <v>5.6638291986700846E-2</v>
      </c>
    </row>
    <row r="33" spans="1:19">
      <c r="A33" s="39"/>
      <c r="B33" s="39"/>
      <c r="C33" s="89"/>
      <c r="D33" s="89"/>
      <c r="E33" s="39"/>
      <c r="F33" s="46">
        <v>32</v>
      </c>
      <c r="G33" s="47">
        <f t="shared" si="0"/>
        <v>0.35368058260746532</v>
      </c>
      <c r="H33" s="47">
        <f t="shared" si="1"/>
        <v>2.6586286370003664E-2</v>
      </c>
      <c r="I33" s="47">
        <f t="shared" si="2"/>
        <v>5.9949469265694524E-3</v>
      </c>
      <c r="J33" s="47">
        <f t="shared" si="3"/>
        <v>4.3713330434630535E-2</v>
      </c>
      <c r="K33" s="47">
        <f t="shared" si="4"/>
        <v>0.51825595977715411</v>
      </c>
      <c r="L33" s="47">
        <f t="shared" si="5"/>
        <v>4.0268940029472376E-3</v>
      </c>
      <c r="M33" s="47">
        <f t="shared" si="6"/>
        <v>4.7741999881229728E-2</v>
      </c>
      <c r="N33" s="48">
        <f t="shared" si="7"/>
        <v>1</v>
      </c>
      <c r="O33" s="49">
        <f t="shared" si="8"/>
        <v>0.56196929021178466</v>
      </c>
      <c r="P33" s="49">
        <f t="shared" si="9"/>
        <v>5.1768893884176964E-2</v>
      </c>
      <c r="Q33" s="50">
        <f t="shared" si="10"/>
        <v>0.94223615918925363</v>
      </c>
      <c r="R33" s="50">
        <f t="shared" si="11"/>
        <v>5.7763840810746418E-2</v>
      </c>
      <c r="S33" s="51">
        <f>IF(R33&lt;Interface!$B$21,R33,0)</f>
        <v>5.7763840810746418E-2</v>
      </c>
    </row>
    <row r="34" spans="1:19">
      <c r="A34" s="39"/>
      <c r="B34" s="39"/>
      <c r="C34" s="89"/>
      <c r="D34" s="89"/>
      <c r="E34" s="39"/>
      <c r="F34" s="46">
        <v>33</v>
      </c>
      <c r="G34" s="47">
        <f t="shared" ref="G34:G65" si="12">p.delivery*(1-(1-p.conception)^F34)*(1-alpha)^F34</f>
        <v>0.36081700903711988</v>
      </c>
      <c r="H34" s="47">
        <f t="shared" ref="H34:H65" si="13" xml:space="preserve"> p.delivery*(1-h.mtctx*p.mtct)*(1-(1-p.conception)^F34)*(1-(1-alpha)^F34)</f>
        <v>2.8009433214623538E-2</v>
      </c>
      <c r="I34" s="47">
        <f t="shared" ref="I34:I65" si="14">p.delivery*(h.mtctx*p.mtct)*(1-(1-p.conception)^F34)*(1-(1-alpha)^F34)</f>
        <v>6.3158525876111883E-3</v>
      </c>
      <c r="J34" s="47">
        <f t="shared" ref="J34:J65" si="15">(1-p.delivery)*(1-(1-p.conception)^F34)*(1-alpha)^F34</f>
        <v>4.4595360667509194E-2</v>
      </c>
      <c r="K34" s="47">
        <f t="shared" ref="K34:K65" si="16">((1-p.conception)^F34)*(1-alpha)^F34</f>
        <v>0.5077194659643679</v>
      </c>
      <c r="L34" s="47">
        <f t="shared" ref="L34:L65" si="17">(1-p.delivery)*(1-(1-p.conception)^F34)*(1-(1-alpha)^F34)</f>
        <v>4.2424510542087863E-3</v>
      </c>
      <c r="M34" s="47">
        <f t="shared" ref="M34:M65" si="18">(1-p.conception)^F34*(1-(1-alpha)^F34)</f>
        <v>4.8300427474559572E-2</v>
      </c>
      <c r="N34" s="48">
        <f t="shared" si="7"/>
        <v>1.0000000000000002</v>
      </c>
      <c r="O34" s="49">
        <f t="shared" si="8"/>
        <v>0.55231482663187714</v>
      </c>
      <c r="P34" s="49">
        <f t="shared" si="9"/>
        <v>5.2542878528768357E-2</v>
      </c>
      <c r="Q34" s="50">
        <f t="shared" si="10"/>
        <v>0.9411412688836206</v>
      </c>
      <c r="R34" s="50">
        <f t="shared" si="11"/>
        <v>5.8858731116379542E-2</v>
      </c>
      <c r="S34" s="51">
        <f>IF(R34&lt;Interface!$B$21,R34,0)</f>
        <v>5.8858731116379542E-2</v>
      </c>
    </row>
    <row r="35" spans="1:19">
      <c r="A35" s="39"/>
      <c r="B35" s="39"/>
      <c r="C35" s="89"/>
      <c r="D35" s="89"/>
      <c r="E35" s="39"/>
      <c r="F35" s="46">
        <v>34</v>
      </c>
      <c r="G35" s="47">
        <f t="shared" si="12"/>
        <v>0.36776894786887032</v>
      </c>
      <c r="H35" s="47">
        <f t="shared" si="13"/>
        <v>2.9455372776123229E-2</v>
      </c>
      <c r="I35" s="47">
        <f t="shared" si="14"/>
        <v>6.6418977828513158E-3</v>
      </c>
      <c r="J35" s="47">
        <f t="shared" si="15"/>
        <v>4.5454589062444643E-2</v>
      </c>
      <c r="K35" s="47">
        <f t="shared" si="16"/>
        <v>0.49739718618959217</v>
      </c>
      <c r="L35" s="47">
        <f t="shared" si="17"/>
        <v>4.4614604061653925E-3</v>
      </c>
      <c r="M35" s="47">
        <f t="shared" si="18"/>
        <v>4.8820545913952927E-2</v>
      </c>
      <c r="N35" s="48">
        <f t="shared" si="7"/>
        <v>1</v>
      </c>
      <c r="O35" s="49">
        <f t="shared" si="8"/>
        <v>0.54285177525203676</v>
      </c>
      <c r="P35" s="49">
        <f t="shared" si="9"/>
        <v>5.3282006320118321E-2</v>
      </c>
      <c r="Q35" s="50">
        <f t="shared" si="10"/>
        <v>0.94007609589703023</v>
      </c>
      <c r="R35" s="50">
        <f t="shared" si="11"/>
        <v>5.9923904102969633E-2</v>
      </c>
      <c r="S35" s="51">
        <f>IF(R35&lt;Interface!$B$21,R35,0)</f>
        <v>5.9923904102969633E-2</v>
      </c>
    </row>
    <row r="36" spans="1:19">
      <c r="A36" s="39"/>
      <c r="B36" s="39"/>
      <c r="C36" s="89"/>
      <c r="D36" s="89"/>
      <c r="E36" s="39"/>
      <c r="F36" s="46">
        <v>35</v>
      </c>
      <c r="G36" s="47">
        <f t="shared" si="12"/>
        <v>0.37454025820810222</v>
      </c>
      <c r="H36" s="47">
        <f t="shared" si="13"/>
        <v>3.0923208134407645E-2</v>
      </c>
      <c r="I36" s="47">
        <f t="shared" si="14"/>
        <v>6.9728802656017228E-3</v>
      </c>
      <c r="J36" s="47">
        <f t="shared" si="15"/>
        <v>4.6291492587518246E-2</v>
      </c>
      <c r="K36" s="47">
        <f t="shared" si="16"/>
        <v>0.48728476533670423</v>
      </c>
      <c r="L36" s="47">
        <f t="shared" si="17"/>
        <v>4.6837862067427294E-3</v>
      </c>
      <c r="M36" s="47">
        <f t="shared" si="18"/>
        <v>4.9303609260923212E-2</v>
      </c>
      <c r="N36" s="48">
        <f t="shared" si="7"/>
        <v>1</v>
      </c>
      <c r="O36" s="49">
        <f t="shared" si="8"/>
        <v>0.53357625792422247</v>
      </c>
      <c r="P36" s="49">
        <f t="shared" si="9"/>
        <v>5.3987395467665941E-2</v>
      </c>
      <c r="Q36" s="50">
        <f t="shared" si="10"/>
        <v>0.93903972426673232</v>
      </c>
      <c r="R36" s="50">
        <f t="shared" si="11"/>
        <v>6.0960275733267663E-2</v>
      </c>
      <c r="S36" s="51">
        <f>IF(R36&lt;Interface!$B$21,R36,0)</f>
        <v>0</v>
      </c>
    </row>
    <row r="37" spans="1:19">
      <c r="A37" s="39"/>
      <c r="B37" s="39"/>
      <c r="C37" s="89"/>
      <c r="D37" s="89"/>
      <c r="E37" s="39"/>
      <c r="F37" s="46">
        <v>36</v>
      </c>
      <c r="G37" s="47">
        <f t="shared" si="12"/>
        <v>0.38113472040402424</v>
      </c>
      <c r="H37" s="47">
        <f t="shared" si="13"/>
        <v>3.2412066931625454E-2</v>
      </c>
      <c r="I37" s="47">
        <f t="shared" si="14"/>
        <v>7.3086033277194647E-3</v>
      </c>
      <c r="J37" s="47">
        <f t="shared" si="15"/>
        <v>4.7106538476901862E-2</v>
      </c>
      <c r="K37" s="47">
        <f t="shared" si="16"/>
        <v>0.47737793683203461</v>
      </c>
      <c r="L37" s="47">
        <f t="shared" si="17"/>
        <v>4.9092963241886972E-3</v>
      </c>
      <c r="M37" s="47">
        <f t="shared" si="18"/>
        <v>4.9750837703505704E-2</v>
      </c>
      <c r="N37" s="48">
        <f t="shared" si="7"/>
        <v>1</v>
      </c>
      <c r="O37" s="49">
        <f t="shared" si="8"/>
        <v>0.52448447530893649</v>
      </c>
      <c r="P37" s="49">
        <f t="shared" si="9"/>
        <v>5.4660134027694401E-2</v>
      </c>
      <c r="Q37" s="50">
        <f t="shared" si="10"/>
        <v>0.93803126264458614</v>
      </c>
      <c r="R37" s="50">
        <f t="shared" si="11"/>
        <v>6.1968737355413868E-2</v>
      </c>
      <c r="S37" s="51">
        <f>IF(R37&lt;Interface!$B$21,R37,0)</f>
        <v>0</v>
      </c>
    </row>
    <row r="38" spans="1:19">
      <c r="A38" s="39"/>
      <c r="B38" s="39"/>
      <c r="C38" s="89"/>
      <c r="D38" s="89"/>
      <c r="E38" s="39"/>
      <c r="F38" s="46">
        <v>37</v>
      </c>
      <c r="G38" s="47">
        <f t="shared" si="12"/>
        <v>0.38755603765165458</v>
      </c>
      <c r="H38" s="47">
        <f t="shared" si="13"/>
        <v>3.3921100764875325E-2</v>
      </c>
      <c r="I38" s="47">
        <f t="shared" si="14"/>
        <v>7.6488756626679642E-3</v>
      </c>
      <c r="J38" s="47">
        <f t="shared" si="15"/>
        <v>4.7900184428856178E-2</v>
      </c>
      <c r="K38" s="47">
        <f t="shared" si="16"/>
        <v>0.46767252084423933</v>
      </c>
      <c r="L38" s="47">
        <f t="shared" si="17"/>
        <v>5.1378622550896187E-3</v>
      </c>
      <c r="M38" s="47">
        <f t="shared" si="18"/>
        <v>5.0163418392617003E-2</v>
      </c>
      <c r="N38" s="48">
        <f t="shared" si="7"/>
        <v>0.99999999999999989</v>
      </c>
      <c r="O38" s="49">
        <f t="shared" si="8"/>
        <v>0.51557270527309551</v>
      </c>
      <c r="P38" s="49">
        <f t="shared" si="9"/>
        <v>5.5301280647706619E-2</v>
      </c>
      <c r="Q38" s="50">
        <f t="shared" si="10"/>
        <v>0.93704984368962541</v>
      </c>
      <c r="R38" s="50">
        <f t="shared" si="11"/>
        <v>6.295015631037458E-2</v>
      </c>
      <c r="S38" s="51">
        <f>IF(R38&lt;Interface!$B$21,R38,0)</f>
        <v>0</v>
      </c>
    </row>
    <row r="39" spans="1:19">
      <c r="A39" s="39"/>
      <c r="B39" s="39"/>
      <c r="C39" s="89"/>
      <c r="D39" s="89"/>
      <c r="E39" s="39"/>
      <c r="F39" s="46">
        <v>38</v>
      </c>
      <c r="G39" s="47">
        <f t="shared" si="12"/>
        <v>0.3938078375612345</v>
      </c>
      <c r="H39" s="47">
        <f t="shared" si="13"/>
        <v>3.5449484593152183E-2</v>
      </c>
      <c r="I39" s="47">
        <f t="shared" si="14"/>
        <v>7.9935112317892163E-3</v>
      </c>
      <c r="J39" s="47">
        <f t="shared" si="15"/>
        <v>4.8672878799703133E-2</v>
      </c>
      <c r="K39" s="47">
        <f t="shared" si="16"/>
        <v>0.45816442252076933</v>
      </c>
      <c r="L39" s="47">
        <f t="shared" si="17"/>
        <v>5.3693590345433185E-3</v>
      </c>
      <c r="M39" s="47">
        <f t="shared" si="18"/>
        <v>5.0542506258808337E-2</v>
      </c>
      <c r="N39" s="48">
        <f t="shared" si="7"/>
        <v>0.99999999999999989</v>
      </c>
      <c r="O39" s="49">
        <f t="shared" si="8"/>
        <v>0.50683730132047244</v>
      </c>
      <c r="P39" s="49">
        <f t="shared" si="9"/>
        <v>5.5911865293351654E-2</v>
      </c>
      <c r="Q39" s="50">
        <f t="shared" si="10"/>
        <v>0.93609462347485917</v>
      </c>
      <c r="R39" s="50">
        <f t="shared" si="11"/>
        <v>6.3905376525140875E-2</v>
      </c>
      <c r="S39" s="51">
        <f>IF(R39&lt;Interface!$B$21,R39,0)</f>
        <v>0</v>
      </c>
    </row>
    <row r="40" spans="1:19">
      <c r="A40" s="39"/>
      <c r="B40" s="39"/>
      <c r="C40" s="89"/>
      <c r="D40" s="89"/>
      <c r="E40" s="39"/>
      <c r="F40" s="46">
        <v>39</v>
      </c>
      <c r="G40" s="47">
        <f t="shared" si="12"/>
        <v>0.39989367369573281</v>
      </c>
      <c r="H40" s="47">
        <f t="shared" si="13"/>
        <v>3.6996416158209262E-2</v>
      </c>
      <c r="I40" s="47">
        <f t="shared" si="14"/>
        <v>8.3423291337138498E-3</v>
      </c>
      <c r="J40" s="47">
        <f t="shared" si="15"/>
        <v>4.9425060793854607E-2</v>
      </c>
      <c r="K40" s="47">
        <f t="shared" si="16"/>
        <v>0.44884963026019481</v>
      </c>
      <c r="L40" s="47">
        <f t="shared" si="17"/>
        <v>5.6036651484399338E-3</v>
      </c>
      <c r="M40" s="47">
        <f t="shared" si="18"/>
        <v>5.0889224809854729E-2</v>
      </c>
      <c r="N40" s="48">
        <f t="shared" si="7"/>
        <v>1</v>
      </c>
      <c r="O40" s="49">
        <f t="shared" si="8"/>
        <v>0.49827469105404942</v>
      </c>
      <c r="P40" s="49">
        <f t="shared" si="9"/>
        <v>5.6492889958294663E-2</v>
      </c>
      <c r="Q40" s="50">
        <f t="shared" si="10"/>
        <v>0.93516478090799149</v>
      </c>
      <c r="R40" s="50">
        <f t="shared" si="11"/>
        <v>6.4835219092008511E-2</v>
      </c>
      <c r="S40" s="51">
        <f>IF(R40&lt;Interface!$B$21,R40,0)</f>
        <v>0</v>
      </c>
    </row>
    <row r="41" spans="1:19">
      <c r="A41" s="39"/>
      <c r="B41" s="39"/>
      <c r="C41" s="89"/>
      <c r="D41" s="89"/>
      <c r="E41" s="39"/>
      <c r="F41" s="46">
        <v>40</v>
      </c>
      <c r="G41" s="47">
        <f t="shared" si="12"/>
        <v>0.40581702707708983</v>
      </c>
      <c r="H41" s="47">
        <f t="shared" si="13"/>
        <v>3.8561115419021665E-2</v>
      </c>
      <c r="I41" s="47">
        <f t="shared" si="14"/>
        <v>8.6951534768382154E-3</v>
      </c>
      <c r="J41" s="47">
        <f t="shared" si="15"/>
        <v>5.0157160649977391E-2</v>
      </c>
      <c r="K41" s="47">
        <f t="shared" si="16"/>
        <v>0.43972421401965317</v>
      </c>
      <c r="L41" s="47">
        <f t="shared" si="17"/>
        <v>5.8406624478029049E-3</v>
      </c>
      <c r="M41" s="47">
        <f t="shared" si="18"/>
        <v>5.1204666909616899E-2</v>
      </c>
      <c r="N41" s="48">
        <f t="shared" si="7"/>
        <v>1</v>
      </c>
      <c r="O41" s="49">
        <f t="shared" si="8"/>
        <v>0.48988137466963055</v>
      </c>
      <c r="P41" s="49">
        <f t="shared" si="9"/>
        <v>5.7045329357419801E-2</v>
      </c>
      <c r="Q41" s="50">
        <f t="shared" si="10"/>
        <v>0.93425951716574196</v>
      </c>
      <c r="R41" s="50">
        <f t="shared" si="11"/>
        <v>6.5740482834258013E-2</v>
      </c>
      <c r="S41" s="51">
        <f>IF(R41&lt;Interface!$B$21,R41,0)</f>
        <v>0</v>
      </c>
    </row>
    <row r="42" spans="1:19">
      <c r="A42" s="39"/>
      <c r="B42" s="39"/>
      <c r="C42" s="89"/>
      <c r="D42" s="89"/>
      <c r="E42" s="39"/>
      <c r="F42" s="46">
        <v>41</v>
      </c>
      <c r="G42" s="47">
        <f t="shared" si="12"/>
        <v>0.41158130766183532</v>
      </c>
      <c r="H42" s="47">
        <f t="shared" si="13"/>
        <v>4.0142823999541742E-2</v>
      </c>
      <c r="I42" s="47">
        <f t="shared" si="14"/>
        <v>9.0518132547986255E-3</v>
      </c>
      <c r="J42" s="47">
        <f t="shared" si="15"/>
        <v>5.0869599823372899E-2</v>
      </c>
      <c r="K42" s="47">
        <f t="shared" si="16"/>
        <v>0.4307843236567086</v>
      </c>
      <c r="L42" s="47">
        <f t="shared" si="17"/>
        <v>6.0802360651431905E-3</v>
      </c>
      <c r="M42" s="47">
        <f t="shared" si="18"/>
        <v>5.1489895538599617E-2</v>
      </c>
      <c r="N42" s="48">
        <f t="shared" si="7"/>
        <v>1</v>
      </c>
      <c r="O42" s="49">
        <f t="shared" si="8"/>
        <v>0.48165392348008151</v>
      </c>
      <c r="P42" s="49">
        <f t="shared" si="9"/>
        <v>5.7570131603742809E-2</v>
      </c>
      <c r="Q42" s="50">
        <f t="shared" si="10"/>
        <v>0.93337805514145855</v>
      </c>
      <c r="R42" s="50">
        <f t="shared" si="11"/>
        <v>6.6621944858541435E-2</v>
      </c>
      <c r="S42" s="51">
        <f>IF(R42&lt;Interface!$B$21,R42,0)</f>
        <v>0</v>
      </c>
    </row>
    <row r="43" spans="1:19">
      <c r="A43" s="39"/>
      <c r="B43" s="39"/>
      <c r="C43" s="89"/>
      <c r="D43" s="89"/>
      <c r="E43" s="39"/>
      <c r="F43" s="46">
        <v>42</v>
      </c>
      <c r="G43" s="47">
        <f t="shared" si="12"/>
        <v>0.41718985578670531</v>
      </c>
      <c r="H43" s="47">
        <f t="shared" si="13"/>
        <v>4.1740804649444942E-2</v>
      </c>
      <c r="I43" s="47">
        <f t="shared" si="14"/>
        <v>9.4121422248748376E-3</v>
      </c>
      <c r="J43" s="47">
        <f t="shared" si="15"/>
        <v>5.1562791164648958E-2</v>
      </c>
      <c r="K43" s="47">
        <f t="shared" si="16"/>
        <v>0.42202618730492225</v>
      </c>
      <c r="L43" s="47">
        <f t="shared" si="17"/>
        <v>6.3222743327810945E-3</v>
      </c>
      <c r="M43" s="47">
        <f t="shared" si="18"/>
        <v>5.1745944536622554E-2</v>
      </c>
      <c r="N43" s="48">
        <f t="shared" si="7"/>
        <v>0.99999999999999989</v>
      </c>
      <c r="O43" s="49">
        <f t="shared" si="8"/>
        <v>0.47358897846957121</v>
      </c>
      <c r="P43" s="49">
        <f t="shared" si="9"/>
        <v>5.8068218869403651E-2</v>
      </c>
      <c r="Q43" s="50">
        <f t="shared" si="10"/>
        <v>0.93251963890572143</v>
      </c>
      <c r="R43" s="50">
        <f t="shared" si="11"/>
        <v>6.748036109427849E-2</v>
      </c>
      <c r="S43" s="51">
        <f>IF(R43&lt;Interface!$B$21,R43,0)</f>
        <v>0</v>
      </c>
    </row>
    <row r="44" spans="1:19">
      <c r="A44" s="39"/>
      <c r="B44" s="39"/>
      <c r="C44" s="89"/>
      <c r="D44" s="89"/>
      <c r="E44" s="39"/>
      <c r="F44" s="46">
        <v>43</v>
      </c>
      <c r="G44" s="47">
        <f t="shared" si="12"/>
        <v>0.42264594358486485</v>
      </c>
      <c r="H44" s="47">
        <f t="shared" si="13"/>
        <v>4.3354340717570869E-2</v>
      </c>
      <c r="I44" s="47">
        <f t="shared" si="14"/>
        <v>9.7759787892561737E-3</v>
      </c>
      <c r="J44" s="47">
        <f t="shared" si="15"/>
        <v>5.2237139094758571E-2</v>
      </c>
      <c r="K44" s="47">
        <f t="shared" si="16"/>
        <v>0.41344610978244839</v>
      </c>
      <c r="L44" s="47">
        <f t="shared" si="17"/>
        <v>6.5666687030909807E-3</v>
      </c>
      <c r="M44" s="47">
        <f t="shared" si="18"/>
        <v>5.1973819328010228E-2</v>
      </c>
      <c r="N44" s="48">
        <f t="shared" si="7"/>
        <v>1</v>
      </c>
      <c r="O44" s="49">
        <f t="shared" si="8"/>
        <v>0.46568324887720697</v>
      </c>
      <c r="P44" s="49">
        <f t="shared" si="9"/>
        <v>5.8540488031101207E-2</v>
      </c>
      <c r="Q44" s="50">
        <f t="shared" si="10"/>
        <v>0.9316835331796427</v>
      </c>
      <c r="R44" s="50">
        <f t="shared" si="11"/>
        <v>6.8316466820357385E-2</v>
      </c>
      <c r="S44" s="51">
        <f>IF(R44&lt;Interface!$B$21,R44,0)</f>
        <v>0</v>
      </c>
    </row>
    <row r="45" spans="1:19">
      <c r="A45" s="39"/>
      <c r="B45" s="39"/>
      <c r="C45" s="89"/>
      <c r="D45" s="89"/>
      <c r="E45" s="39"/>
      <c r="F45" s="46">
        <v>44</v>
      </c>
      <c r="G45" s="47">
        <f t="shared" si="12"/>
        <v>0.42795277637333645</v>
      </c>
      <c r="H45" s="47">
        <f t="shared" si="13"/>
        <v>4.4982735637770749E-2</v>
      </c>
      <c r="I45" s="47">
        <f t="shared" si="14"/>
        <v>1.0143165879105166E-2</v>
      </c>
      <c r="J45" s="47">
        <f t="shared" si="15"/>
        <v>5.2893039776479779E-2</v>
      </c>
      <c r="K45" s="47">
        <f t="shared" si="16"/>
        <v>0.40504047103298474</v>
      </c>
      <c r="L45" s="47">
        <f t="shared" si="17"/>
        <v>6.8133136706251107E-3</v>
      </c>
      <c r="M45" s="47">
        <f t="shared" si="18"/>
        <v>5.2174497629698058E-2</v>
      </c>
      <c r="N45" s="48">
        <f t="shared" si="7"/>
        <v>1</v>
      </c>
      <c r="O45" s="49">
        <f t="shared" si="8"/>
        <v>0.45793351080946454</v>
      </c>
      <c r="P45" s="49">
        <f t="shared" si="9"/>
        <v>5.898781130032317E-2</v>
      </c>
      <c r="Q45" s="50">
        <f t="shared" si="10"/>
        <v>0.93086902282057182</v>
      </c>
      <c r="R45" s="50">
        <f t="shared" si="11"/>
        <v>6.9130977179428343E-2</v>
      </c>
      <c r="S45" s="51">
        <f>IF(R45&lt;Interface!$B$21,R45,0)</f>
        <v>0</v>
      </c>
    </row>
    <row r="46" spans="1:19">
      <c r="A46" s="39"/>
      <c r="B46" s="39"/>
      <c r="C46" s="89"/>
      <c r="D46" s="89"/>
      <c r="E46" s="39"/>
      <c r="F46" s="46">
        <v>45</v>
      </c>
      <c r="G46" s="47">
        <f t="shared" si="12"/>
        <v>0.4331134940122196</v>
      </c>
      <c r="H46" s="47">
        <f t="shared" si="13"/>
        <v>4.6625312426879409E-2</v>
      </c>
      <c r="I46" s="47">
        <f t="shared" si="14"/>
        <v>1.0513550841355159E-2</v>
      </c>
      <c r="J46" s="47">
        <f t="shared" si="15"/>
        <v>5.3530881282409154E-2</v>
      </c>
      <c r="K46" s="47">
        <f t="shared" si="16"/>
        <v>0.39680572459841951</v>
      </c>
      <c r="L46" s="47">
        <f t="shared" si="17"/>
        <v>7.0621066960739332E-3</v>
      </c>
      <c r="M46" s="47">
        <f t="shared" si="18"/>
        <v>5.2348930142643281E-2</v>
      </c>
      <c r="N46" s="48">
        <f t="shared" si="7"/>
        <v>0.99999999999999989</v>
      </c>
      <c r="O46" s="49">
        <f t="shared" si="8"/>
        <v>0.45033660588082869</v>
      </c>
      <c r="P46" s="49">
        <f t="shared" si="9"/>
        <v>5.9411036838717214E-2</v>
      </c>
      <c r="Q46" s="50">
        <f t="shared" si="10"/>
        <v>0.93007541231992774</v>
      </c>
      <c r="R46" s="50">
        <f t="shared" si="11"/>
        <v>6.992458768007237E-2</v>
      </c>
      <c r="S46" s="51">
        <f>IF(R46&lt;Interface!$B$21,R46,0)</f>
        <v>0</v>
      </c>
    </row>
    <row r="47" spans="1:19">
      <c r="A47" s="39"/>
      <c r="B47" s="39"/>
      <c r="C47" s="89"/>
      <c r="D47" s="89"/>
      <c r="E47" s="39"/>
      <c r="F47" s="46">
        <v>46</v>
      </c>
      <c r="G47" s="47">
        <f t="shared" si="12"/>
        <v>0.4381311722362724</v>
      </c>
      <c r="H47" s="47">
        <f t="shared" si="13"/>
        <v>4.8281413194535883E-2</v>
      </c>
      <c r="I47" s="47">
        <f t="shared" si="14"/>
        <v>1.0886985328179657E-2</v>
      </c>
      <c r="J47" s="47">
        <f t="shared" si="15"/>
        <v>5.4151043759539282E-2</v>
      </c>
      <c r="K47" s="47">
        <f t="shared" si="16"/>
        <v>0.38873839612253047</v>
      </c>
      <c r="L47" s="47">
        <f t="shared" si="17"/>
        <v>7.3129481320210188E-3</v>
      </c>
      <c r="M47" s="47">
        <f t="shared" si="18"/>
        <v>5.2498041226921185E-2</v>
      </c>
      <c r="N47" s="48">
        <f t="shared" si="7"/>
        <v>0.99999999999999989</v>
      </c>
      <c r="O47" s="49">
        <f t="shared" si="8"/>
        <v>0.44288943988206975</v>
      </c>
      <c r="P47" s="49">
        <f t="shared" si="9"/>
        <v>5.9810989358942204E-2</v>
      </c>
      <c r="Q47" s="50">
        <f t="shared" si="10"/>
        <v>0.92930202531287809</v>
      </c>
      <c r="R47" s="50">
        <f t="shared" si="11"/>
        <v>7.0697974687121856E-2</v>
      </c>
      <c r="S47" s="51">
        <f>IF(R47&lt;Interface!$B$21,R47,0)</f>
        <v>0</v>
      </c>
    </row>
    <row r="48" spans="1:19">
      <c r="A48" s="39"/>
      <c r="B48" s="39"/>
      <c r="C48" s="89"/>
      <c r="D48" s="89"/>
      <c r="E48" s="39"/>
      <c r="F48" s="46">
        <v>47</v>
      </c>
      <c r="G48" s="47">
        <f t="shared" si="12"/>
        <v>0.4430088239594217</v>
      </c>
      <c r="H48" s="47">
        <f t="shared" si="13"/>
        <v>4.995039866458216E-2</v>
      </c>
      <c r="I48" s="47">
        <f t="shared" si="14"/>
        <v>1.1263325189072445E-2</v>
      </c>
      <c r="J48" s="47">
        <f t="shared" si="15"/>
        <v>5.4753899590490311E-2</v>
      </c>
      <c r="K48" s="47">
        <f t="shared" si="16"/>
        <v>0.3808350818851049</v>
      </c>
      <c r="L48" s="47">
        <f t="shared" si="17"/>
        <v>7.565741150451691E-3</v>
      </c>
      <c r="M48" s="47">
        <f t="shared" si="18"/>
        <v>5.2622729560876845E-2</v>
      </c>
      <c r="N48" s="48">
        <f t="shared" si="7"/>
        <v>1</v>
      </c>
      <c r="O48" s="49">
        <f t="shared" si="8"/>
        <v>0.43558898147559522</v>
      </c>
      <c r="P48" s="49">
        <f t="shared" si="9"/>
        <v>6.0188470711328539E-2</v>
      </c>
      <c r="Q48" s="50">
        <f t="shared" si="10"/>
        <v>0.92854820409959915</v>
      </c>
      <c r="R48" s="50">
        <f t="shared" si="11"/>
        <v>7.1451795900400988E-2</v>
      </c>
      <c r="S48" s="51">
        <f>IF(R48&lt;Interface!$B$21,R48,0)</f>
        <v>0</v>
      </c>
    </row>
    <row r="49" spans="1:19">
      <c r="A49" s="39"/>
      <c r="B49" s="39"/>
      <c r="C49" s="89"/>
      <c r="D49" s="89"/>
      <c r="E49" s="39"/>
      <c r="F49" s="46">
        <v>48</v>
      </c>
      <c r="G49" s="47">
        <f t="shared" si="12"/>
        <v>0.44774940055274626</v>
      </c>
      <c r="H49" s="47">
        <f t="shared" si="13"/>
        <v>5.1631647707777367E-2</v>
      </c>
      <c r="I49" s="47">
        <f t="shared" si="14"/>
        <v>1.1642430365479208E-2</v>
      </c>
      <c r="J49" s="47">
        <f t="shared" si="15"/>
        <v>5.5339813551463016E-2</v>
      </c>
      <c r="K49" s="47">
        <f t="shared" si="16"/>
        <v>0.37309244736586122</v>
      </c>
      <c r="L49" s="47">
        <f t="shared" si="17"/>
        <v>7.8203916719755285E-3</v>
      </c>
      <c r="M49" s="47">
        <f t="shared" si="18"/>
        <v>5.27238687846973E-2</v>
      </c>
      <c r="N49" s="48">
        <f t="shared" si="7"/>
        <v>0.99999999999999989</v>
      </c>
      <c r="O49" s="49">
        <f t="shared" si="8"/>
        <v>0.42843226091732423</v>
      </c>
      <c r="P49" s="49">
        <f t="shared" si="9"/>
        <v>6.0544260456672827E-2</v>
      </c>
      <c r="Q49" s="50">
        <f t="shared" si="10"/>
        <v>0.92781330917784788</v>
      </c>
      <c r="R49" s="50">
        <f t="shared" si="11"/>
        <v>7.2186690822152039E-2</v>
      </c>
      <c r="S49" s="51">
        <f>IF(R49&lt;Interface!$B$21,R49,0)</f>
        <v>0</v>
      </c>
    </row>
    <row r="50" spans="1:19">
      <c r="A50" s="39"/>
      <c r="B50" s="39"/>
      <c r="C50" s="89"/>
      <c r="D50" s="89"/>
      <c r="E50" s="39"/>
      <c r="F50" s="46">
        <v>49</v>
      </c>
      <c r="G50" s="47">
        <f t="shared" si="12"/>
        <v>0.45235579309647883</v>
      </c>
      <c r="H50" s="47">
        <f t="shared" si="13"/>
        <v>5.3324556885568399E-2</v>
      </c>
      <c r="I50" s="47">
        <f t="shared" si="14"/>
        <v>1.2024164787922282E-2</v>
      </c>
      <c r="J50" s="47">
        <f t="shared" si="15"/>
        <v>5.5909142966980518E-2</v>
      </c>
      <c r="K50" s="47">
        <f t="shared" si="16"/>
        <v>0.36550722583756845</v>
      </c>
      <c r="L50" s="47">
        <f t="shared" si="17"/>
        <v>8.0768082967235654E-3</v>
      </c>
      <c r="M50" s="47">
        <f t="shared" si="18"/>
        <v>5.2802308128757962E-2</v>
      </c>
      <c r="N50" s="48">
        <f t="shared" si="7"/>
        <v>0.99999999999999989</v>
      </c>
      <c r="O50" s="49">
        <f t="shared" si="8"/>
        <v>0.42141636880454897</v>
      </c>
      <c r="P50" s="49">
        <f t="shared" si="9"/>
        <v>6.0879116425481529E-2</v>
      </c>
      <c r="Q50" s="50">
        <f t="shared" si="10"/>
        <v>0.92709671878659616</v>
      </c>
      <c r="R50" s="50">
        <f t="shared" si="11"/>
        <v>7.2903281213403809E-2</v>
      </c>
      <c r="S50" s="51">
        <f>IF(R50&lt;Interface!$B$21,R50,0)</f>
        <v>0</v>
      </c>
    </row>
    <row r="51" spans="1:19">
      <c r="A51" s="39"/>
      <c r="B51" s="39"/>
      <c r="C51" s="89"/>
      <c r="D51" s="89"/>
      <c r="E51" s="39"/>
      <c r="F51" s="46">
        <v>50</v>
      </c>
      <c r="G51" s="47">
        <f t="shared" si="12"/>
        <v>0.45683083360654902</v>
      </c>
      <c r="H51" s="47">
        <f t="shared" si="13"/>
        <v>5.5028540004665172E-2</v>
      </c>
      <c r="I51" s="47">
        <f t="shared" si="14"/>
        <v>1.2408396275561751E-2</v>
      </c>
      <c r="J51" s="47">
        <f t="shared" si="15"/>
        <v>5.6462237861483577E-2</v>
      </c>
      <c r="K51" s="47">
        <f t="shared" si="16"/>
        <v>0.35807621698776737</v>
      </c>
      <c r="L51" s="47">
        <f t="shared" si="17"/>
        <v>8.3349022368819775E-3</v>
      </c>
      <c r="M51" s="47">
        <f t="shared" si="18"/>
        <v>5.2858873027091136E-2</v>
      </c>
      <c r="N51" s="48">
        <f t="shared" si="7"/>
        <v>1</v>
      </c>
      <c r="O51" s="49">
        <f t="shared" si="8"/>
        <v>0.41453845484925095</v>
      </c>
      <c r="P51" s="49">
        <f t="shared" si="9"/>
        <v>6.1193775263973113E-2</v>
      </c>
      <c r="Q51" s="50">
        <f t="shared" si="10"/>
        <v>0.92639782846046514</v>
      </c>
      <c r="R51" s="50">
        <f t="shared" si="11"/>
        <v>7.3602171539534869E-2</v>
      </c>
      <c r="S51" s="51">
        <f>IF(R51&lt;Interface!$B$21,R51,0)</f>
        <v>0</v>
      </c>
    </row>
    <row r="52" spans="1:19">
      <c r="A52" s="39"/>
      <c r="B52" s="39"/>
      <c r="C52" s="89"/>
      <c r="D52" s="89"/>
      <c r="E52" s="39"/>
      <c r="F52" s="46">
        <v>51</v>
      </c>
      <c r="G52" s="47">
        <f t="shared" si="12"/>
        <v>0.4611772962361898</v>
      </c>
      <c r="H52" s="47">
        <f t="shared" si="13"/>
        <v>5.6743027682174506E-2</v>
      </c>
      <c r="I52" s="47">
        <f t="shared" si="14"/>
        <v>1.2794996438137387E-2</v>
      </c>
      <c r="J52" s="47">
        <f t="shared" si="15"/>
        <v>5.6999441107843683E-2</v>
      </c>
      <c r="K52" s="47">
        <f t="shared" si="16"/>
        <v>0.350796285568513</v>
      </c>
      <c r="L52" s="47">
        <f t="shared" si="17"/>
        <v>8.5945872508250629E-3</v>
      </c>
      <c r="M52" s="47">
        <f t="shared" si="18"/>
        <v>5.2894365716316533E-2</v>
      </c>
      <c r="N52" s="48">
        <f t="shared" si="7"/>
        <v>1</v>
      </c>
      <c r="O52" s="49">
        <f t="shared" si="8"/>
        <v>0.40779572667635666</v>
      </c>
      <c r="P52" s="49">
        <f t="shared" si="9"/>
        <v>6.1488952967141595E-2</v>
      </c>
      <c r="Q52" s="50">
        <f t="shared" si="10"/>
        <v>0.92571605059472095</v>
      </c>
      <c r="R52" s="50">
        <f t="shared" si="11"/>
        <v>7.4283949405278979E-2</v>
      </c>
      <c r="S52" s="51">
        <f>IF(R52&lt;Interface!$B$21,R52,0)</f>
        <v>0</v>
      </c>
    </row>
    <row r="53" spans="1:19">
      <c r="A53" s="39"/>
      <c r="B53" s="39"/>
      <c r="C53" s="89"/>
      <c r="D53" s="89"/>
      <c r="E53" s="39"/>
      <c r="F53" s="46">
        <v>52</v>
      </c>
      <c r="G53" s="47">
        <f t="shared" si="12"/>
        <v>0.4653978984531108</v>
      </c>
      <c r="H53" s="47">
        <f t="shared" si="13"/>
        <v>5.8467466921050412E-2</v>
      </c>
      <c r="I53" s="47">
        <f t="shared" si="14"/>
        <v>1.3183840580236856E-2</v>
      </c>
      <c r="J53" s="47">
        <f t="shared" si="15"/>
        <v>5.7521088572856385E-2</v>
      </c>
      <c r="K53" s="47">
        <f t="shared" si="16"/>
        <v>0.3436643600735696</v>
      </c>
      <c r="L53" s="47">
        <f t="shared" si="17"/>
        <v>8.8557795788107834E-3</v>
      </c>
      <c r="M53" s="47">
        <f t="shared" si="18"/>
        <v>5.2909565820365059E-2</v>
      </c>
      <c r="N53" s="48">
        <f t="shared" si="7"/>
        <v>0.99999999999999989</v>
      </c>
      <c r="O53" s="49">
        <f t="shared" si="8"/>
        <v>0.40118544864642597</v>
      </c>
      <c r="P53" s="49">
        <f t="shared" si="9"/>
        <v>6.1765345399175844E-2</v>
      </c>
      <c r="Q53" s="50">
        <f t="shared" si="10"/>
        <v>0.9250508140205872</v>
      </c>
      <c r="R53" s="50">
        <f t="shared" si="11"/>
        <v>7.4949185979412705E-2</v>
      </c>
      <c r="S53" s="51">
        <f>IF(R53&lt;Interface!$B$21,R53,0)</f>
        <v>0</v>
      </c>
    </row>
    <row r="54" spans="1:19">
      <c r="A54" s="39"/>
      <c r="B54" s="39"/>
      <c r="C54" s="89"/>
      <c r="D54" s="89"/>
      <c r="E54" s="39"/>
      <c r="F54" s="46">
        <v>53</v>
      </c>
      <c r="G54" s="47">
        <f t="shared" si="12"/>
        <v>0.46949530219273822</v>
      </c>
      <c r="H54" s="47">
        <f t="shared" si="13"/>
        <v>6.0201320695625622E-2</v>
      </c>
      <c r="I54" s="47">
        <f t="shared" si="14"/>
        <v>1.3574807607837146E-2</v>
      </c>
      <c r="J54" s="47">
        <f t="shared" si="15"/>
        <v>5.8027509259776629E-2</v>
      </c>
      <c r="K54" s="47">
        <f t="shared" si="16"/>
        <v>0.33667743144249845</v>
      </c>
      <c r="L54" s="47">
        <f t="shared" si="17"/>
        <v>9.118397880203263E-3</v>
      </c>
      <c r="M54" s="47">
        <f t="shared" si="18"/>
        <v>5.2905230921320684E-2</v>
      </c>
      <c r="N54" s="48">
        <f t="shared" si="7"/>
        <v>1</v>
      </c>
      <c r="O54" s="49">
        <f t="shared" si="8"/>
        <v>0.39470494070227508</v>
      </c>
      <c r="P54" s="49">
        <f t="shared" si="9"/>
        <v>6.2023628801523949E-2</v>
      </c>
      <c r="Q54" s="50">
        <f t="shared" si="10"/>
        <v>0.92440156359063885</v>
      </c>
      <c r="R54" s="50">
        <f t="shared" si="11"/>
        <v>7.5598436409361092E-2</v>
      </c>
      <c r="S54" s="51">
        <f>IF(R54&lt;Interface!$B$21,R54,0)</f>
        <v>0</v>
      </c>
    </row>
    <row r="55" spans="1:19">
      <c r="A55" s="39"/>
      <c r="B55" s="39"/>
      <c r="C55" s="89"/>
      <c r="D55" s="89"/>
      <c r="E55" s="39"/>
      <c r="F55" s="46">
        <v>54</v>
      </c>
      <c r="G55" s="47">
        <f t="shared" si="12"/>
        <v>0.47347211498800407</v>
      </c>
      <c r="H55" s="47">
        <f t="shared" si="13"/>
        <v>6.1944067546994636E-2</v>
      </c>
      <c r="I55" s="47">
        <f t="shared" si="14"/>
        <v>1.3967779937067413E-2</v>
      </c>
      <c r="J55" s="47">
        <f t="shared" si="15"/>
        <v>5.8519025447955557E-2</v>
      </c>
      <c r="K55" s="47">
        <f t="shared" si="16"/>
        <v>0.32983255179109211</v>
      </c>
      <c r="L55" s="47">
        <f t="shared" si="17"/>
        <v>9.3823631721874426E-3</v>
      </c>
      <c r="M55" s="47">
        <f t="shared" si="18"/>
        <v>5.2882097116698723E-2</v>
      </c>
      <c r="N55" s="48">
        <f t="shared" si="7"/>
        <v>1</v>
      </c>
      <c r="O55" s="49">
        <f t="shared" si="8"/>
        <v>0.38835157723904767</v>
      </c>
      <c r="P55" s="49">
        <f t="shared" si="9"/>
        <v>6.2264460288886166E-2</v>
      </c>
      <c r="Q55" s="50">
        <f t="shared" si="10"/>
        <v>0.92376775977404635</v>
      </c>
      <c r="R55" s="50">
        <f t="shared" si="11"/>
        <v>7.6232240225953582E-2</v>
      </c>
      <c r="S55" s="51">
        <f>IF(R55&lt;Interface!$B$21,R55,0)</f>
        <v>0</v>
      </c>
    </row>
    <row r="56" spans="1:19">
      <c r="A56" s="39"/>
      <c r="B56" s="39"/>
      <c r="C56" s="89"/>
      <c r="D56" s="89"/>
      <c r="E56" s="39"/>
      <c r="F56" s="46">
        <v>55</v>
      </c>
      <c r="G56" s="47">
        <f t="shared" si="12"/>
        <v>0.47733089107616733</v>
      </c>
      <c r="H56" s="47">
        <f t="shared" si="13"/>
        <v>6.3695201188020578E-2</v>
      </c>
      <c r="I56" s="47">
        <f t="shared" si="14"/>
        <v>1.4362643405141892E-2</v>
      </c>
      <c r="J56" s="47">
        <f t="shared" si="15"/>
        <v>5.8995952829638654E-2</v>
      </c>
      <c r="K56" s="47">
        <f t="shared" si="16"/>
        <v>0.32312683316762142</v>
      </c>
      <c r="L56" s="47">
        <f t="shared" si="17"/>
        <v>9.6475987699414269E-3</v>
      </c>
      <c r="M56" s="47">
        <f t="shared" si="18"/>
        <v>5.284087956346864E-2</v>
      </c>
      <c r="N56" s="48">
        <f t="shared" si="7"/>
        <v>1</v>
      </c>
      <c r="O56" s="49">
        <f t="shared" si="8"/>
        <v>0.38212278599726007</v>
      </c>
      <c r="P56" s="49">
        <f t="shared" si="9"/>
        <v>6.2488478333410064E-2</v>
      </c>
      <c r="Q56" s="50">
        <f t="shared" si="10"/>
        <v>0.92314887826144798</v>
      </c>
      <c r="R56" s="50">
        <f t="shared" si="11"/>
        <v>7.685112173855195E-2</v>
      </c>
      <c r="S56" s="51">
        <f>IF(R56&lt;Interface!$B$21,R56,0)</f>
        <v>0</v>
      </c>
    </row>
    <row r="57" spans="1:19">
      <c r="A57" s="39"/>
      <c r="B57" s="39"/>
      <c r="C57" s="89"/>
      <c r="D57" s="89"/>
      <c r="E57" s="39"/>
      <c r="F57" s="46">
        <v>56</v>
      </c>
      <c r="G57" s="47">
        <f t="shared" si="12"/>
        <v>0.48107413248312692</v>
      </c>
      <c r="H57" s="47">
        <f t="shared" si="13"/>
        <v>6.545423011774909E-2</v>
      </c>
      <c r="I57" s="47">
        <f t="shared" si="14"/>
        <v>1.4759287183414006E-2</v>
      </c>
      <c r="J57" s="47">
        <f t="shared" si="15"/>
        <v>5.9458600643981972E-2</v>
      </c>
      <c r="K57" s="47">
        <f t="shared" si="16"/>
        <v>0.31655744633436661</v>
      </c>
      <c r="L57" s="47">
        <f t="shared" si="17"/>
        <v>9.9140302282336393E-3</v>
      </c>
      <c r="M57" s="47">
        <f t="shared" si="18"/>
        <v>5.27822730091278E-2</v>
      </c>
      <c r="N57" s="48">
        <f t="shared" si="7"/>
        <v>1.0000000000000002</v>
      </c>
      <c r="O57" s="49">
        <f t="shared" si="8"/>
        <v>0.37601604697834856</v>
      </c>
      <c r="P57" s="49">
        <f t="shared" si="9"/>
        <v>6.2696303237361445E-2</v>
      </c>
      <c r="Q57" s="50">
        <f t="shared" si="10"/>
        <v>0.92254440957922457</v>
      </c>
      <c r="R57" s="50">
        <f t="shared" si="11"/>
        <v>7.7455590420775447E-2</v>
      </c>
      <c r="S57" s="51">
        <f>IF(R57&lt;Interface!$B$21,R57,0)</f>
        <v>0</v>
      </c>
    </row>
    <row r="58" spans="1:19">
      <c r="A58" s="39"/>
      <c r="B58" s="39"/>
      <c r="C58" s="89"/>
      <c r="D58" s="89"/>
      <c r="E58" s="39"/>
      <c r="F58" s="46">
        <v>57</v>
      </c>
      <c r="G58" s="47">
        <f t="shared" si="12"/>
        <v>0.48470429008569021</v>
      </c>
      <c r="H58" s="47">
        <f t="shared" si="13"/>
        <v>6.7220677245010033E-2</v>
      </c>
      <c r="I58" s="47">
        <f t="shared" si="14"/>
        <v>1.5157603692502259E-2</v>
      </c>
      <c r="J58" s="47">
        <f t="shared" si="15"/>
        <v>5.9907271808343723E-2</v>
      </c>
      <c r="K58" s="47">
        <f t="shared" si="16"/>
        <v>0.31012161957392248</v>
      </c>
      <c r="L58" s="47">
        <f t="shared" si="17"/>
        <v>1.0181585284411628E-2</v>
      </c>
      <c r="M58" s="47">
        <f t="shared" si="18"/>
        <v>5.2706952310119688E-2</v>
      </c>
      <c r="N58" s="48">
        <f t="shared" si="7"/>
        <v>1.0000000000000002</v>
      </c>
      <c r="O58" s="49">
        <f t="shared" si="8"/>
        <v>0.37002889138226619</v>
      </c>
      <c r="P58" s="49">
        <f t="shared" si="9"/>
        <v>6.2888537594531321E-2</v>
      </c>
      <c r="Q58" s="50">
        <f t="shared" si="10"/>
        <v>0.92195385871296642</v>
      </c>
      <c r="R58" s="50">
        <f t="shared" si="11"/>
        <v>7.8046141287033577E-2</v>
      </c>
      <c r="S58" s="51">
        <f>IF(R58&lt;Interface!$B$21,R58,0)</f>
        <v>0</v>
      </c>
    </row>
    <row r="59" spans="1:19">
      <c r="A59" s="39"/>
      <c r="B59" s="39"/>
      <c r="C59" s="89"/>
      <c r="D59" s="89"/>
      <c r="E59" s="39"/>
      <c r="F59" s="46">
        <v>58</v>
      </c>
      <c r="G59" s="47">
        <f t="shared" si="12"/>
        <v>0.48822376465224188</v>
      </c>
      <c r="H59" s="47">
        <f t="shared" si="13"/>
        <v>6.8994079520999438E-2</v>
      </c>
      <c r="I59" s="47">
        <f t="shared" si="14"/>
        <v>1.5557488519441044E-2</v>
      </c>
      <c r="J59" s="47">
        <f t="shared" si="15"/>
        <v>6.0342263046906292E-2</v>
      </c>
      <c r="K59" s="47">
        <f t="shared" si="16"/>
        <v>0.30381663751977123</v>
      </c>
      <c r="L59" s="47">
        <f t="shared" si="17"/>
        <v>1.0450193802751067E-2</v>
      </c>
      <c r="M59" s="47">
        <f t="shared" si="18"/>
        <v>5.2615572937888981E-2</v>
      </c>
      <c r="N59" s="48">
        <f t="shared" si="7"/>
        <v>0.99999999999999978</v>
      </c>
      <c r="O59" s="49">
        <f t="shared" si="8"/>
        <v>0.36415890056667755</v>
      </c>
      <c r="P59" s="49">
        <f t="shared" si="9"/>
        <v>6.3065766740640045E-2</v>
      </c>
      <c r="Q59" s="50">
        <f t="shared" si="10"/>
        <v>0.92137674473991882</v>
      </c>
      <c r="R59" s="50">
        <f t="shared" si="11"/>
        <v>7.8623255260081085E-2</v>
      </c>
      <c r="S59" s="51">
        <f>IF(R59&lt;Interface!$B$21,R59,0)</f>
        <v>0</v>
      </c>
    </row>
    <row r="60" spans="1:19">
      <c r="A60" s="39"/>
      <c r="B60" s="39"/>
      <c r="C60" s="89"/>
      <c r="D60" s="89"/>
      <c r="E60" s="39"/>
      <c r="F60" s="46">
        <v>59</v>
      </c>
      <c r="G60" s="47">
        <f t="shared" si="12"/>
        <v>0.49163490786225345</v>
      </c>
      <c r="H60" s="47">
        <f t="shared" si="13"/>
        <v>7.0773987580633871E-2</v>
      </c>
      <c r="I60" s="47">
        <f t="shared" si="14"/>
        <v>1.5958840336809596E-2</v>
      </c>
      <c r="J60" s="47">
        <f t="shared" si="15"/>
        <v>6.0763865016683002E-2</v>
      </c>
      <c r="K60" s="47">
        <f t="shared" si="16"/>
        <v>0.29763984001063104</v>
      </c>
      <c r="L60" s="47">
        <f t="shared" si="17"/>
        <v>1.0719787720133461E-2</v>
      </c>
      <c r="M60" s="47">
        <f t="shared" si="18"/>
        <v>5.2508771472855563E-2</v>
      </c>
      <c r="N60" s="48">
        <f t="shared" si="7"/>
        <v>1</v>
      </c>
      <c r="O60" s="49">
        <f t="shared" si="8"/>
        <v>0.35840370502731406</v>
      </c>
      <c r="P60" s="49">
        <f t="shared" si="9"/>
        <v>6.3228559192989031E-2</v>
      </c>
      <c r="Q60" s="50">
        <f t="shared" si="10"/>
        <v>0.9208126004702013</v>
      </c>
      <c r="R60" s="50">
        <f t="shared" si="11"/>
        <v>7.9187399529798627E-2</v>
      </c>
      <c r="S60" s="51">
        <f>IF(R60&lt;Interface!$B$21,R60,0)</f>
        <v>0</v>
      </c>
    </row>
    <row r="61" spans="1:19">
      <c r="A61" s="39"/>
      <c r="B61" s="39"/>
      <c r="C61" s="89"/>
      <c r="D61" s="89"/>
      <c r="E61" s="39"/>
      <c r="F61" s="46">
        <v>60</v>
      </c>
      <c r="G61" s="47">
        <f t="shared" si="12"/>
        <v>0.49494002330506215</v>
      </c>
      <c r="H61" s="47">
        <f t="shared" si="13"/>
        <v>7.2559965392477152E-2</v>
      </c>
      <c r="I61" s="47">
        <f t="shared" si="14"/>
        <v>1.6361560823793864E-2</v>
      </c>
      <c r="J61" s="47">
        <f t="shared" si="15"/>
        <v>6.1172362430962732E-2</v>
      </c>
      <c r="K61" s="47">
        <f t="shared" si="16"/>
        <v>0.29158862096809618</v>
      </c>
      <c r="L61" s="47">
        <f t="shared" si="17"/>
        <v>1.0990300993022258E-2</v>
      </c>
      <c r="M61" s="47">
        <f t="shared" si="18"/>
        <v>5.2387166086585668E-2</v>
      </c>
      <c r="N61" s="48">
        <f t="shared" si="7"/>
        <v>0.99999999999999978</v>
      </c>
      <c r="O61" s="49">
        <f t="shared" si="8"/>
        <v>0.35276098339905892</v>
      </c>
      <c r="P61" s="49">
        <f t="shared" si="9"/>
        <v>6.3377467079607924E-2</v>
      </c>
      <c r="Q61" s="50">
        <f t="shared" si="10"/>
        <v>0.92026097209659818</v>
      </c>
      <c r="R61" s="50">
        <f t="shared" si="11"/>
        <v>7.9739027903401788E-2</v>
      </c>
      <c r="S61" s="51">
        <f>IF(R61&lt;Interface!$B$21,R61,0)</f>
        <v>0</v>
      </c>
    </row>
    <row r="62" spans="1:19">
      <c r="A62" s="39"/>
      <c r="B62" s="39"/>
      <c r="C62" s="89"/>
      <c r="D62" s="89"/>
      <c r="E62" s="39"/>
      <c r="F62" s="46">
        <v>61</v>
      </c>
      <c r="G62" s="47">
        <f t="shared" si="12"/>
        <v>0.4981413674583442</v>
      </c>
      <c r="H62" s="47">
        <f t="shared" si="13"/>
        <v>7.435158991704123E-2</v>
      </c>
      <c r="I62" s="47">
        <f t="shared" si="14"/>
        <v>1.6765554589136741E-2</v>
      </c>
      <c r="J62" s="47">
        <f t="shared" si="15"/>
        <v>6.1568034180244785E-2</v>
      </c>
      <c r="K62" s="47">
        <f t="shared" si="16"/>
        <v>0.28566042729709562</v>
      </c>
      <c r="L62" s="47">
        <f t="shared" si="17"/>
        <v>1.1261669545707386E-2</v>
      </c>
      <c r="M62" s="47">
        <f t="shared" si="18"/>
        <v>5.2251357012429958E-2</v>
      </c>
      <c r="N62" s="48">
        <f t="shared" si="7"/>
        <v>1</v>
      </c>
      <c r="O62" s="49">
        <f t="shared" si="8"/>
        <v>0.34722846147734043</v>
      </c>
      <c r="P62" s="49">
        <f t="shared" si="9"/>
        <v>6.3513026558137342E-2</v>
      </c>
      <c r="Q62" s="50">
        <f t="shared" si="10"/>
        <v>0.91972141885272585</v>
      </c>
      <c r="R62" s="50">
        <f t="shared" si="11"/>
        <v>8.0278581147274083E-2</v>
      </c>
      <c r="S62" s="51">
        <f>IF(R62&lt;Interface!$B$21,R62,0)</f>
        <v>0</v>
      </c>
    </row>
    <row r="63" spans="1:19">
      <c r="A63" s="39"/>
      <c r="B63" s="39"/>
      <c r="C63" s="89"/>
      <c r="D63" s="89"/>
      <c r="E63" s="39"/>
      <c r="F63" s="46">
        <v>62</v>
      </c>
      <c r="G63" s="47">
        <f t="shared" si="12"/>
        <v>0.50124115064669073</v>
      </c>
      <c r="H63" s="47">
        <f t="shared" si="13"/>
        <v>7.6148450773270551E-2</v>
      </c>
      <c r="I63" s="47">
        <f t="shared" si="14"/>
        <v>1.7170729095933552E-2</v>
      </c>
      <c r="J63" s="47">
        <f t="shared" si="15"/>
        <v>6.1951153450714579E-2</v>
      </c>
      <c r="K63" s="47">
        <f t="shared" si="16"/>
        <v>0.27985275780870628</v>
      </c>
      <c r="L63" s="47">
        <f t="shared" si="17"/>
        <v>1.1533831219789268E-2</v>
      </c>
      <c r="M63" s="47">
        <f t="shared" si="18"/>
        <v>5.2101927004895021E-2</v>
      </c>
      <c r="N63" s="48">
        <f t="shared" si="7"/>
        <v>1</v>
      </c>
      <c r="O63" s="49">
        <f t="shared" si="8"/>
        <v>0.34180391125942083</v>
      </c>
      <c r="P63" s="49">
        <f t="shared" si="9"/>
        <v>6.3635758224684286E-2</v>
      </c>
      <c r="Q63" s="50">
        <f t="shared" si="10"/>
        <v>0.9191935126793821</v>
      </c>
      <c r="R63" s="50">
        <f t="shared" si="11"/>
        <v>8.0806487320617834E-2</v>
      </c>
      <c r="S63" s="51">
        <f>IF(R63&lt;Interface!$B$21,R63,0)</f>
        <v>0</v>
      </c>
    </row>
    <row r="64" spans="1:19">
      <c r="A64" s="39"/>
      <c r="B64" s="39"/>
      <c r="C64" s="89"/>
      <c r="D64" s="89"/>
      <c r="E64" s="39"/>
      <c r="F64" s="46">
        <v>63</v>
      </c>
      <c r="G64" s="47">
        <f t="shared" si="12"/>
        <v>0.50424153798069371</v>
      </c>
      <c r="H64" s="47">
        <f t="shared" si="13"/>
        <v>7.7950149913020475E-2</v>
      </c>
      <c r="I64" s="47">
        <f t="shared" si="14"/>
        <v>1.7576994588230102E-2</v>
      </c>
      <c r="J64" s="47">
        <f t="shared" si="15"/>
        <v>6.2321987840310455E-2</v>
      </c>
      <c r="K64" s="47">
        <f t="shared" si="16"/>
        <v>0.27416316216486547</v>
      </c>
      <c r="L64" s="47">
        <f t="shared" si="17"/>
        <v>1.1806725724873665E-2</v>
      </c>
      <c r="M64" s="47">
        <f t="shared" si="18"/>
        <v>5.1939441788006073E-2</v>
      </c>
      <c r="N64" s="48">
        <f t="shared" si="7"/>
        <v>1</v>
      </c>
      <c r="O64" s="49">
        <f t="shared" si="8"/>
        <v>0.33648515000517593</v>
      </c>
      <c r="P64" s="49">
        <f t="shared" si="9"/>
        <v>6.3746167512879731E-2</v>
      </c>
      <c r="Q64" s="50">
        <f t="shared" si="10"/>
        <v>0.9186768378988901</v>
      </c>
      <c r="R64" s="50">
        <f t="shared" si="11"/>
        <v>8.1323162101109833E-2</v>
      </c>
      <c r="S64" s="51">
        <f>IF(R64&lt;Interface!$B$21,R64,0)</f>
        <v>0</v>
      </c>
    </row>
    <row r="65" spans="1:19">
      <c r="A65" s="39"/>
      <c r="B65" s="39"/>
      <c r="C65" s="89"/>
      <c r="D65" s="89"/>
      <c r="E65" s="39"/>
      <c r="F65" s="46">
        <v>64</v>
      </c>
      <c r="G65" s="47">
        <f t="shared" si="12"/>
        <v>0.50714465027693867</v>
      </c>
      <c r="H65" s="47">
        <f t="shared" si="13"/>
        <v>7.9756301303345781E-2</v>
      </c>
      <c r="I65" s="47">
        <f t="shared" si="14"/>
        <v>1.7984264019381888E-2</v>
      </c>
      <c r="J65" s="47">
        <f t="shared" si="15"/>
        <v>6.2680799472430618E-2</v>
      </c>
      <c r="K65" s="47">
        <f t="shared" si="16"/>
        <v>0.26858923984453914</v>
      </c>
      <c r="L65" s="47">
        <f t="shared" si="17"/>
        <v>1.2080294590449485E-2</v>
      </c>
      <c r="M65" s="47">
        <f t="shared" si="18"/>
        <v>5.1764450492914331E-2</v>
      </c>
      <c r="N65" s="48">
        <f t="shared" si="7"/>
        <v>0.99999999999999989</v>
      </c>
      <c r="O65" s="49">
        <f t="shared" si="8"/>
        <v>0.33127003931696974</v>
      </c>
      <c r="P65" s="49">
        <f t="shared" si="9"/>
        <v>6.384474508336381E-2</v>
      </c>
      <c r="Q65" s="50">
        <f t="shared" si="10"/>
        <v>0.91817099089725418</v>
      </c>
      <c r="R65" s="50">
        <f t="shared" si="11"/>
        <v>8.1829009102745695E-2</v>
      </c>
      <c r="S65" s="51">
        <f>IF(R65&lt;Interface!$B$21,R65,0)</f>
        <v>0</v>
      </c>
    </row>
    <row r="66" spans="1:19">
      <c r="A66" s="39"/>
      <c r="B66" s="39"/>
      <c r="C66" s="89"/>
      <c r="D66" s="89"/>
      <c r="E66" s="39"/>
      <c r="F66" s="46">
        <v>65</v>
      </c>
      <c r="G66" s="47">
        <f t="shared" ref="G66:G97" si="19">p.delivery*(1-(1-p.conception)^F66)*(1-alpha)^F66</f>
        <v>0.50995256495928976</v>
      </c>
      <c r="H66" s="47">
        <f t="shared" ref="H66:H101" si="20" xml:space="preserve"> p.delivery*(1-h.mtctx*p.mtct)*(1-(1-p.conception)^F66)*(1-(1-alpha)^F66)</f>
        <v>8.1566530616420801E-2</v>
      </c>
      <c r="I66" s="47">
        <f t="shared" ref="I66:I101" si="21">p.delivery*(h.mtctx*p.mtct)*(1-(1-p.conception)^F66)*(1-(1-alpha)^F66)</f>
        <v>1.83924529821341E-2</v>
      </c>
      <c r="J66" s="47">
        <f t="shared" ref="J66:J101" si="22">(1-p.delivery)*(1-(1-p.conception)^F66)*(1-alpha)^F66</f>
        <v>6.3027845107327937E-2</v>
      </c>
      <c r="K66" s="47">
        <f t="shared" ref="K66:K101" si="23">((1-p.conception)^F66)*(1-alpha)^F66</f>
        <v>0.26312863913090756</v>
      </c>
      <c r="L66" s="47">
        <f t="shared" ref="L66:L101" si="24">(1-p.delivery)*(1-(1-p.conception)^F66)*(1-(1-alpha)^F66)</f>
        <v>1.2354481118922513E-2</v>
      </c>
      <c r="M66" s="47">
        <f t="shared" ref="M66:M101" si="25">(1-p.conception)^F66*(1-(1-alpha)^F66)</f>
        <v>5.1577486084997327E-2</v>
      </c>
      <c r="N66" s="48">
        <f t="shared" si="7"/>
        <v>1</v>
      </c>
      <c r="O66" s="49">
        <f t="shared" si="8"/>
        <v>0.32615648423823551</v>
      </c>
      <c r="P66" s="49">
        <f t="shared" si="9"/>
        <v>6.3931967203919846E-2</v>
      </c>
      <c r="Q66" s="50">
        <f t="shared" si="10"/>
        <v>0.9176755798139461</v>
      </c>
      <c r="R66" s="50">
        <f t="shared" si="11"/>
        <v>8.2324420186053945E-2</v>
      </c>
      <c r="S66" s="51">
        <f>IF(R66&lt;Interface!$B$21,R66,0)</f>
        <v>0</v>
      </c>
    </row>
    <row r="67" spans="1:19">
      <c r="A67" s="39"/>
      <c r="B67" s="39"/>
      <c r="C67" s="89"/>
      <c r="D67" s="89"/>
      <c r="E67" s="39"/>
      <c r="F67" s="46">
        <v>66</v>
      </c>
      <c r="G67" s="47">
        <f t="shared" si="19"/>
        <v>0.51266731694184942</v>
      </c>
      <c r="H67" s="47">
        <f t="shared" si="20"/>
        <v>8.3380474926913903E-2</v>
      </c>
      <c r="I67" s="47">
        <f t="shared" si="21"/>
        <v>1.8801479640382542E-2</v>
      </c>
      <c r="J67" s="47">
        <f t="shared" si="22"/>
        <v>6.3363376251239806E-2</v>
      </c>
      <c r="K67" s="47">
        <f t="shared" si="23"/>
        <v>0.25777905611914287</v>
      </c>
      <c r="L67" s="47">
        <f t="shared" si="24"/>
        <v>1.2629230339778211E-2</v>
      </c>
      <c r="M67" s="47">
        <f t="shared" si="25"/>
        <v>5.1379065780693289E-2</v>
      </c>
      <c r="N67" s="48">
        <f t="shared" ref="N67:N101" si="26">SUM(G67:M67)</f>
        <v>1</v>
      </c>
      <c r="O67" s="49">
        <f t="shared" ref="O67:O101" si="27">SUM(J67:K67)</f>
        <v>0.32114243237038265</v>
      </c>
      <c r="P67" s="49">
        <f t="shared" ref="P67:P101" si="28">SUM(L67:M67)</f>
        <v>6.40082961204715E-2</v>
      </c>
      <c r="Q67" s="50">
        <f t="shared" ref="Q67:Q101" si="29">O67+H67+G67</f>
        <v>0.91719022423914598</v>
      </c>
      <c r="R67" s="50">
        <f t="shared" ref="R67:R101" si="30">P67+I67</f>
        <v>8.2809775760854049E-2</v>
      </c>
      <c r="S67" s="51">
        <f>IF(R67&lt;Interface!$B$21,R67,0)</f>
        <v>0</v>
      </c>
    </row>
    <row r="68" spans="1:19">
      <c r="A68" s="39"/>
      <c r="B68" s="39"/>
      <c r="C68" s="89"/>
      <c r="D68" s="89"/>
      <c r="E68" s="39"/>
      <c r="F68" s="46">
        <v>67</v>
      </c>
      <c r="G68" s="47">
        <f t="shared" si="19"/>
        <v>0.51529089949396545</v>
      </c>
      <c r="H68" s="47">
        <f t="shared" si="20"/>
        <v>8.5197782416645343E-2</v>
      </c>
      <c r="I68" s="47">
        <f t="shared" si="21"/>
        <v>1.9211264662576884E-2</v>
      </c>
      <c r="J68" s="47">
        <f t="shared" si="22"/>
        <v>6.3687639263299081E-2</v>
      </c>
      <c r="K68" s="47">
        <f t="shared" si="23"/>
        <v>0.25253823374435896</v>
      </c>
      <c r="L68" s="47">
        <f t="shared" si="24"/>
        <v>1.2904488964847688E-2</v>
      </c>
      <c r="M68" s="47">
        <f t="shared" si="25"/>
        <v>5.1169691454306741E-2</v>
      </c>
      <c r="N68" s="48">
        <f t="shared" si="26"/>
        <v>1.0000000000000002</v>
      </c>
      <c r="O68" s="49">
        <f t="shared" si="27"/>
        <v>0.31622587300765803</v>
      </c>
      <c r="P68" s="49">
        <f t="shared" si="28"/>
        <v>6.4074180419154428E-2</v>
      </c>
      <c r="Q68" s="50">
        <f t="shared" si="29"/>
        <v>0.91671455491826881</v>
      </c>
      <c r="R68" s="50">
        <f t="shared" si="30"/>
        <v>8.3285445081731316E-2</v>
      </c>
      <c r="S68" s="51">
        <f>IF(R68&lt;Interface!$B$21,R68,0)</f>
        <v>0</v>
      </c>
    </row>
    <row r="69" spans="1:19">
      <c r="A69" s="39"/>
      <c r="B69" s="39"/>
      <c r="C69" s="89"/>
      <c r="D69" s="89"/>
      <c r="E69" s="39"/>
      <c r="F69" s="46">
        <v>68</v>
      </c>
      <c r="G69" s="47">
        <f t="shared" si="19"/>
        <v>0.51782526508764892</v>
      </c>
      <c r="H69" s="47">
        <f t="shared" si="20"/>
        <v>8.7018112086360191E-2</v>
      </c>
      <c r="I69" s="47">
        <f t="shared" si="21"/>
        <v>1.9621731156728276E-2</v>
      </c>
      <c r="J69" s="47">
        <f t="shared" si="22"/>
        <v>6.4000875460271209E-2</v>
      </c>
      <c r="K69" s="47">
        <f t="shared" si="23"/>
        <v>0.24740396082932373</v>
      </c>
      <c r="L69" s="47">
        <f t="shared" si="24"/>
        <v>1.3180205344651381E-2</v>
      </c>
      <c r="M69" s="47">
        <f t="shared" si="25"/>
        <v>5.0949850035016314E-2</v>
      </c>
      <c r="N69" s="48">
        <f t="shared" si="26"/>
        <v>1</v>
      </c>
      <c r="O69" s="49">
        <f t="shared" si="27"/>
        <v>0.31140483628959492</v>
      </c>
      <c r="P69" s="49">
        <f t="shared" si="28"/>
        <v>6.4130055379667691E-2</v>
      </c>
      <c r="Q69" s="50">
        <f t="shared" si="29"/>
        <v>0.91624821346360408</v>
      </c>
      <c r="R69" s="50">
        <f t="shared" si="30"/>
        <v>8.3751786536395964E-2</v>
      </c>
      <c r="S69" s="51">
        <f>IF(R69&lt;Interface!$B$21,R69,0)</f>
        <v>0</v>
      </c>
    </row>
    <row r="70" spans="1:19">
      <c r="A70" s="39"/>
      <c r="B70" s="39"/>
      <c r="C70" s="89"/>
      <c r="D70" s="89"/>
      <c r="E70" s="39"/>
      <c r="F70" s="46">
        <v>69</v>
      </c>
      <c r="G70" s="47">
        <f t="shared" si="19"/>
        <v>0.52027232622776254</v>
      </c>
      <c r="H70" s="47">
        <f t="shared" si="20"/>
        <v>8.884113347445248E-2</v>
      </c>
      <c r="I70" s="47">
        <f t="shared" si="21"/>
        <v>2.0032804606984377E-2</v>
      </c>
      <c r="J70" s="47">
        <f t="shared" si="22"/>
        <v>6.4303321219161644E-2</v>
      </c>
      <c r="K70" s="47">
        <f t="shared" si="23"/>
        <v>0.24237407115153234</v>
      </c>
      <c r="L70" s="47">
        <f t="shared" si="24"/>
        <v>1.3456329425795563E-2</v>
      </c>
      <c r="M70" s="47">
        <f t="shared" si="25"/>
        <v>5.0720013894311154E-2</v>
      </c>
      <c r="N70" s="48">
        <f t="shared" si="26"/>
        <v>1</v>
      </c>
      <c r="O70" s="49">
        <f t="shared" si="27"/>
        <v>0.30667739237069397</v>
      </c>
      <c r="P70" s="49">
        <f t="shared" si="28"/>
        <v>6.4176343320106716E-2</v>
      </c>
      <c r="Q70" s="50">
        <f t="shared" si="29"/>
        <v>0.915790852072909</v>
      </c>
      <c r="R70" s="50">
        <f t="shared" si="30"/>
        <v>8.4209147927091096E-2</v>
      </c>
      <c r="S70" s="51">
        <f>IF(R70&lt;Interface!$B$21,R70,0)</f>
        <v>0</v>
      </c>
    </row>
    <row r="71" spans="1:19">
      <c r="A71" s="39"/>
      <c r="B71" s="39"/>
      <c r="C71" s="89"/>
      <c r="D71" s="89"/>
      <c r="E71" s="39"/>
      <c r="F71" s="46">
        <v>70</v>
      </c>
      <c r="G71" s="47">
        <f t="shared" si="19"/>
        <v>0.52263395626532672</v>
      </c>
      <c r="H71" s="47">
        <f t="shared" si="20"/>
        <v>9.0666526382479587E-2</v>
      </c>
      <c r="I71" s="47">
        <f t="shared" si="21"/>
        <v>2.0444412811735591E-2</v>
      </c>
      <c r="J71" s="47">
        <f t="shared" si="22"/>
        <v>6.4595208077736999E-2</v>
      </c>
      <c r="K71" s="47">
        <f t="shared" si="23"/>
        <v>0.23744644252924688</v>
      </c>
      <c r="L71" s="47">
        <f t="shared" si="24"/>
        <v>1.3732812709397376E-2</v>
      </c>
      <c r="M71" s="47">
        <f t="shared" si="25"/>
        <v>5.0480641224076896E-2</v>
      </c>
      <c r="N71" s="48">
        <f t="shared" si="26"/>
        <v>1</v>
      </c>
      <c r="O71" s="49">
        <f t="shared" si="27"/>
        <v>0.30204165060698385</v>
      </c>
      <c r="P71" s="49">
        <f t="shared" si="28"/>
        <v>6.4213453933474274E-2</v>
      </c>
      <c r="Q71" s="50">
        <f t="shared" si="29"/>
        <v>0.91534213325479019</v>
      </c>
      <c r="R71" s="50">
        <f t="shared" si="30"/>
        <v>8.4657866745209864E-2</v>
      </c>
      <c r="S71" s="51">
        <f>IF(R71&lt;Interface!$B$21,R71,0)</f>
        <v>0</v>
      </c>
    </row>
    <row r="72" spans="1:19">
      <c r="A72" s="39"/>
      <c r="B72" s="39"/>
      <c r="C72" s="89"/>
      <c r="D72" s="89"/>
      <c r="E72" s="39"/>
      <c r="F72" s="46">
        <v>71</v>
      </c>
      <c r="G72" s="47">
        <f t="shared" si="19"/>
        <v>0.52491199019429147</v>
      </c>
      <c r="H72" s="47">
        <f t="shared" si="20"/>
        <v>9.2493980607309956E-2</v>
      </c>
      <c r="I72" s="47">
        <f t="shared" si="21"/>
        <v>2.0856485823216947E-2</v>
      </c>
      <c r="J72" s="47">
        <f t="shared" si="22"/>
        <v>6.4876762833002311E-2</v>
      </c>
      <c r="K72" s="47">
        <f t="shared" si="23"/>
        <v>0.23261899592611798</v>
      </c>
      <c r="L72" s="47">
        <f t="shared" si="24"/>
        <v>1.4009608210514559E-2</v>
      </c>
      <c r="M72" s="47">
        <f t="shared" si="25"/>
        <v>5.0232176405546815E-2</v>
      </c>
      <c r="N72" s="48">
        <f t="shared" si="26"/>
        <v>1.0000000000000002</v>
      </c>
      <c r="O72" s="49">
        <f t="shared" si="27"/>
        <v>0.29749575875912027</v>
      </c>
      <c r="P72" s="49">
        <f t="shared" si="28"/>
        <v>6.4241784616061379E-2</v>
      </c>
      <c r="Q72" s="50">
        <f t="shared" si="29"/>
        <v>0.91490172956072169</v>
      </c>
      <c r="R72" s="50">
        <f t="shared" si="30"/>
        <v>8.5098270439278326E-2</v>
      </c>
      <c r="S72" s="51">
        <f>IF(R72&lt;Interface!$B$21,R72,0)</f>
        <v>0</v>
      </c>
    </row>
    <row r="73" spans="1:19">
      <c r="A73" s="39"/>
      <c r="B73" s="39"/>
      <c r="C73" s="89"/>
      <c r="D73" s="89"/>
      <c r="E73" s="39"/>
      <c r="F73" s="46">
        <v>72</v>
      </c>
      <c r="G73" s="47">
        <f t="shared" si="19"/>
        <v>0.52710822543210401</v>
      </c>
      <c r="H73" s="47">
        <f t="shared" si="20"/>
        <v>9.4323195679751559E-2</v>
      </c>
      <c r="I73" s="47">
        <f t="shared" si="21"/>
        <v>2.1268955888571424E-2</v>
      </c>
      <c r="J73" s="47">
        <f t="shared" si="22"/>
        <v>6.5148207637675773E-2</v>
      </c>
      <c r="K73" s="47">
        <f t="shared" si="23"/>
        <v>0.22788969457401004</v>
      </c>
      <c r="L73" s="47">
        <f t="shared" si="24"/>
        <v>1.428667041855677E-2</v>
      </c>
      <c r="M73" s="47">
        <f t="shared" si="25"/>
        <v>4.9975050369330469E-2</v>
      </c>
      <c r="N73" s="48">
        <f t="shared" si="26"/>
        <v>1.0000000000000002</v>
      </c>
      <c r="O73" s="49">
        <f t="shared" si="27"/>
        <v>0.2930379022116858</v>
      </c>
      <c r="P73" s="49">
        <f t="shared" si="28"/>
        <v>6.4261720787887236E-2</v>
      </c>
      <c r="Q73" s="50">
        <f t="shared" si="29"/>
        <v>0.91446932332354136</v>
      </c>
      <c r="R73" s="50">
        <f t="shared" si="30"/>
        <v>8.5530676676458667E-2</v>
      </c>
      <c r="S73" s="51">
        <f>IF(R73&lt;Interface!$B$21,R73,0)</f>
        <v>0</v>
      </c>
    </row>
    <row r="74" spans="1:19">
      <c r="A74" s="39"/>
      <c r="B74" s="39"/>
      <c r="C74" s="89"/>
      <c r="D74" s="89"/>
      <c r="E74" s="39"/>
      <c r="F74" s="46">
        <v>73</v>
      </c>
      <c r="G74" s="47">
        <f t="shared" si="19"/>
        <v>0.52922442258440761</v>
      </c>
      <c r="H74" s="47">
        <f t="shared" si="20"/>
        <v>9.615388060950969E-2</v>
      </c>
      <c r="I74" s="47">
        <f t="shared" si="21"/>
        <v>2.1681757392340417E-2</v>
      </c>
      <c r="J74" s="47">
        <f t="shared" si="22"/>
        <v>6.5409760094702049E-2</v>
      </c>
      <c r="K74" s="47">
        <f t="shared" si="23"/>
        <v>0.22325654311365967</v>
      </c>
      <c r="L74" s="47">
        <f t="shared" si="24"/>
        <v>1.4563955258655626E-2</v>
      </c>
      <c r="M74" s="47">
        <f t="shared" si="25"/>
        <v>4.9709680946724948E-2</v>
      </c>
      <c r="N74" s="48">
        <f t="shared" si="26"/>
        <v>0.99999999999999989</v>
      </c>
      <c r="O74" s="49">
        <f t="shared" si="27"/>
        <v>0.28866630320836173</v>
      </c>
      <c r="P74" s="49">
        <f t="shared" si="28"/>
        <v>6.4273636205380569E-2</v>
      </c>
      <c r="Q74" s="50">
        <f t="shared" si="29"/>
        <v>0.91404460640227903</v>
      </c>
      <c r="R74" s="50">
        <f t="shared" si="30"/>
        <v>8.5955393597720989E-2</v>
      </c>
      <c r="S74" s="51">
        <f>IF(R74&lt;Interface!$B$21,R74,0)</f>
        <v>0</v>
      </c>
    </row>
    <row r="75" spans="1:19">
      <c r="A75" s="39"/>
      <c r="B75" s="39"/>
      <c r="C75" s="89"/>
      <c r="D75" s="89"/>
      <c r="E75" s="39"/>
      <c r="F75" s="46">
        <v>74</v>
      </c>
      <c r="G75" s="47">
        <f t="shared" si="19"/>
        <v>0.53126230619419013</v>
      </c>
      <c r="H75" s="47">
        <f t="shared" si="20"/>
        <v>9.7985753636328957E-2</v>
      </c>
      <c r="I75" s="47">
        <f t="shared" si="21"/>
        <v>2.2094826800348681E-2</v>
      </c>
      <c r="J75" s="47">
        <f t="shared" si="22"/>
        <v>6.5661633349843707E-2</v>
      </c>
      <c r="K75" s="47">
        <f t="shared" si="23"/>
        <v>0.21871758675280545</v>
      </c>
      <c r="L75" s="47">
        <f t="shared" si="24"/>
        <v>1.4841420053971389E-2</v>
      </c>
      <c r="M75" s="47">
        <f t="shared" si="25"/>
        <v>4.9436473212511704E-2</v>
      </c>
      <c r="N75" s="48">
        <f t="shared" si="26"/>
        <v>1.0000000000000002</v>
      </c>
      <c r="O75" s="49">
        <f t="shared" si="27"/>
        <v>0.28437922010264916</v>
      </c>
      <c r="P75" s="49">
        <f t="shared" si="28"/>
        <v>6.4277893266483088E-2</v>
      </c>
      <c r="Q75" s="50">
        <f t="shared" si="29"/>
        <v>0.91362727993316817</v>
      </c>
      <c r="R75" s="50">
        <f t="shared" si="30"/>
        <v>8.6372720066831776E-2</v>
      </c>
      <c r="S75" s="51">
        <f>IF(R75&lt;Interface!$B$21,R75,0)</f>
        <v>0</v>
      </c>
    </row>
    <row r="76" spans="1:19">
      <c r="A76" s="39"/>
      <c r="B76" s="39"/>
      <c r="C76" s="89"/>
      <c r="D76" s="89"/>
      <c r="E76" s="39"/>
      <c r="F76" s="46">
        <v>75</v>
      </c>
      <c r="G76" s="47">
        <f t="shared" si="19"/>
        <v>0.5332235654756996</v>
      </c>
      <c r="H76" s="47">
        <f t="shared" si="20"/>
        <v>9.981854198717538E-2</v>
      </c>
      <c r="I76" s="47">
        <f t="shared" si="21"/>
        <v>2.2508102604951306E-2</v>
      </c>
      <c r="J76" s="47">
        <f t="shared" si="22"/>
        <v>6.5904036182389839E-2</v>
      </c>
      <c r="K76" s="47">
        <f t="shared" si="23"/>
        <v>0.2142709104414334</v>
      </c>
      <c r="L76" s="47">
        <f t="shared" si="24"/>
        <v>1.5119023488914531E-2</v>
      </c>
      <c r="M76" s="47">
        <f t="shared" si="25"/>
        <v>4.9155819819435814E-2</v>
      </c>
      <c r="N76" s="48">
        <f t="shared" si="26"/>
        <v>0.99999999999999989</v>
      </c>
      <c r="O76" s="49">
        <f t="shared" si="27"/>
        <v>0.28017494662382325</v>
      </c>
      <c r="P76" s="49">
        <f t="shared" si="28"/>
        <v>6.4274843308350343E-2</v>
      </c>
      <c r="Q76" s="50">
        <f t="shared" si="29"/>
        <v>0.91321705408669818</v>
      </c>
      <c r="R76" s="50">
        <f t="shared" si="30"/>
        <v>8.6782945913301657E-2</v>
      </c>
      <c r="S76" s="51">
        <f>IF(R76&lt;Interface!$B$21,R76,0)</f>
        <v>0</v>
      </c>
    </row>
    <row r="77" spans="1:19">
      <c r="A77" s="39"/>
      <c r="B77" s="39"/>
      <c r="C77" s="89"/>
      <c r="D77" s="89"/>
      <c r="E77" s="39"/>
      <c r="F77" s="46">
        <v>76</v>
      </c>
      <c r="G77" s="47">
        <f t="shared" si="19"/>
        <v>0.53510985503343855</v>
      </c>
      <c r="H77" s="47">
        <f t="shared" si="20"/>
        <v>0.10165198163931854</v>
      </c>
      <c r="I77" s="47">
        <f t="shared" si="21"/>
        <v>2.2921525271611041E-2</v>
      </c>
      <c r="J77" s="47">
        <f t="shared" si="22"/>
        <v>6.6137173094020493E-2</v>
      </c>
      <c r="K77" s="47">
        <f t="shared" si="23"/>
        <v>0.20991463806379007</v>
      </c>
      <c r="L77" s="47">
        <f t="shared" si="24"/>
        <v>1.5396725573260956E-2</v>
      </c>
      <c r="M77" s="47">
        <f t="shared" si="25"/>
        <v>4.8868101324560265E-2</v>
      </c>
      <c r="N77" s="48">
        <f t="shared" si="26"/>
        <v>1</v>
      </c>
      <c r="O77" s="49">
        <f t="shared" si="27"/>
        <v>0.27605181115781058</v>
      </c>
      <c r="P77" s="49">
        <f t="shared" si="28"/>
        <v>6.4264826897821217E-2</v>
      </c>
      <c r="Q77" s="50">
        <f t="shared" si="29"/>
        <v>0.91281364783056773</v>
      </c>
      <c r="R77" s="50">
        <f t="shared" si="30"/>
        <v>8.7186352169432255E-2</v>
      </c>
      <c r="S77" s="51">
        <f>IF(R77&lt;Interface!$B$21,R77,0)</f>
        <v>0</v>
      </c>
    </row>
    <row r="78" spans="1:19">
      <c r="A78" s="39"/>
      <c r="B78" s="39"/>
      <c r="C78" s="89"/>
      <c r="D78" s="89"/>
      <c r="E78" s="39"/>
      <c r="F78" s="46">
        <v>77</v>
      </c>
      <c r="G78" s="47">
        <f t="shared" si="19"/>
        <v>0.53692279556653622</v>
      </c>
      <c r="H78" s="47">
        <f t="shared" si="20"/>
        <v>0.10348581708917702</v>
      </c>
      <c r="I78" s="47">
        <f t="shared" si="21"/>
        <v>2.3335037186775206E-2</v>
      </c>
      <c r="J78" s="47">
        <f t="shared" si="22"/>
        <v>6.6361244395864022E-2</v>
      </c>
      <c r="K78" s="47">
        <f t="shared" si="23"/>
        <v>0.20564693164682296</v>
      </c>
      <c r="L78" s="47">
        <f t="shared" si="24"/>
        <v>1.5674487607140162E-2</v>
      </c>
      <c r="M78" s="47">
        <f t="shared" si="25"/>
        <v>4.8573686507684385E-2</v>
      </c>
      <c r="N78" s="48">
        <f t="shared" si="26"/>
        <v>0.99999999999999989</v>
      </c>
      <c r="O78" s="49">
        <f t="shared" si="27"/>
        <v>0.27200817604268701</v>
      </c>
      <c r="P78" s="49">
        <f t="shared" si="28"/>
        <v>6.4248174114824544E-2</v>
      </c>
      <c r="Q78" s="50">
        <f t="shared" si="29"/>
        <v>0.91241678869840026</v>
      </c>
      <c r="R78" s="50">
        <f t="shared" si="30"/>
        <v>8.7583211301599753E-2</v>
      </c>
      <c r="S78" s="51">
        <f>IF(R78&lt;Interface!$B$21,R78,0)</f>
        <v>0</v>
      </c>
    </row>
    <row r="79" spans="1:19">
      <c r="A79" s="39"/>
      <c r="B79" s="39"/>
      <c r="C79" s="89"/>
      <c r="D79" s="89"/>
      <c r="E79" s="39"/>
      <c r="F79" s="46">
        <v>78</v>
      </c>
      <c r="G79" s="47">
        <f t="shared" si="19"/>
        <v>0.5386639745588</v>
      </c>
      <c r="H79" s="47">
        <f t="shared" si="20"/>
        <v>0.10531980112679362</v>
      </c>
      <c r="I79" s="47">
        <f t="shared" si="21"/>
        <v>2.3748582607022083E-2</v>
      </c>
      <c r="J79" s="47">
        <f t="shared" si="22"/>
        <v>6.6576446293784258E-2</v>
      </c>
      <c r="K79" s="47">
        <f t="shared" si="23"/>
        <v>0.20146599058471357</v>
      </c>
      <c r="L79" s="47">
        <f t="shared" si="24"/>
        <v>1.5952272146876095E-2</v>
      </c>
      <c r="M79" s="47">
        <f t="shared" si="25"/>
        <v>4.827293268201039E-2</v>
      </c>
      <c r="N79" s="48">
        <f t="shared" si="26"/>
        <v>1</v>
      </c>
      <c r="O79" s="49">
        <f t="shared" si="27"/>
        <v>0.26804243687849783</v>
      </c>
      <c r="P79" s="49">
        <f t="shared" si="28"/>
        <v>6.4225204828886481E-2</v>
      </c>
      <c r="Q79" s="50">
        <f t="shared" si="29"/>
        <v>0.91202621256409144</v>
      </c>
      <c r="R79" s="50">
        <f t="shared" si="30"/>
        <v>8.7973787435908557E-2</v>
      </c>
      <c r="S79" s="51">
        <f>IF(R79&lt;Interface!$B$21,R79,0)</f>
        <v>0</v>
      </c>
    </row>
    <row r="80" spans="1:19">
      <c r="A80" s="39"/>
      <c r="B80" s="39"/>
      <c r="C80" s="89"/>
      <c r="D80" s="89"/>
      <c r="E80" s="39"/>
      <c r="F80" s="46">
        <v>79</v>
      </c>
      <c r="G80" s="47">
        <f t="shared" si="19"/>
        <v>0.54033494695473561</v>
      </c>
      <c r="H80" s="47">
        <f t="shared" si="20"/>
        <v>0.10715369461580887</v>
      </c>
      <c r="I80" s="47">
        <f t="shared" si="21"/>
        <v>2.4162107609447096E-2</v>
      </c>
      <c r="J80" s="47">
        <f t="shared" si="22"/>
        <v>6.67829709719336E-2</v>
      </c>
      <c r="K80" s="47">
        <f t="shared" si="23"/>
        <v>0.19737005087917603</v>
      </c>
      <c r="L80" s="47">
        <f t="shared" si="24"/>
        <v>1.6230042971660849E-2</v>
      </c>
      <c r="M80" s="47">
        <f t="shared" si="25"/>
        <v>4.796618599723803E-2</v>
      </c>
      <c r="N80" s="48">
        <f t="shared" si="26"/>
        <v>1.0000000000000002</v>
      </c>
      <c r="O80" s="49">
        <f t="shared" si="27"/>
        <v>0.26415302185110962</v>
      </c>
      <c r="P80" s="49">
        <f t="shared" si="28"/>
        <v>6.4196228968898872E-2</v>
      </c>
      <c r="Q80" s="50">
        <f t="shared" si="29"/>
        <v>0.91164166342165409</v>
      </c>
      <c r="R80" s="50">
        <f t="shared" si="30"/>
        <v>8.8358336578345964E-2</v>
      </c>
      <c r="S80" s="51">
        <f>IF(R80&lt;Interface!$B$21,R80,0)</f>
        <v>0</v>
      </c>
    </row>
    <row r="81" spans="1:19">
      <c r="A81" s="39"/>
      <c r="B81" s="39"/>
      <c r="C81" s="89"/>
      <c r="D81" s="89"/>
      <c r="E81" s="39"/>
      <c r="F81" s="46">
        <v>80</v>
      </c>
      <c r="G81" s="47">
        <f t="shared" si="19"/>
        <v>0.5419372358218203</v>
      </c>
      <c r="H81" s="47">
        <f t="shared" si="20"/>
        <v>0.10898726627880535</v>
      </c>
      <c r="I81" s="47">
        <f t="shared" si="21"/>
        <v>2.4575560043260027E-2</v>
      </c>
      <c r="J81" s="47">
        <f t="shared" si="22"/>
        <v>6.6981006674607005E-2</v>
      </c>
      <c r="K81" s="47">
        <f t="shared" si="23"/>
        <v>0.19335738439520173</v>
      </c>
      <c r="L81" s="47">
        <f t="shared" si="24"/>
        <v>1.6507765051041786E-2</v>
      </c>
      <c r="M81" s="47">
        <f t="shared" si="25"/>
        <v>4.7653781735263703E-2</v>
      </c>
      <c r="N81" s="48">
        <f t="shared" si="26"/>
        <v>1</v>
      </c>
      <c r="O81" s="49">
        <f t="shared" si="27"/>
        <v>0.26033839106980872</v>
      </c>
      <c r="P81" s="49">
        <f t="shared" si="28"/>
        <v>6.4161546786305493E-2</v>
      </c>
      <c r="Q81" s="50">
        <f t="shared" si="29"/>
        <v>0.9112628931704343</v>
      </c>
      <c r="R81" s="50">
        <f t="shared" si="30"/>
        <v>8.8737106829565524E-2</v>
      </c>
      <c r="S81" s="51">
        <f>IF(R81&lt;Interface!$B$21,R81,0)</f>
        <v>0</v>
      </c>
    </row>
    <row r="82" spans="1:19">
      <c r="A82" s="39"/>
      <c r="B82" s="39"/>
      <c r="C82" s="89"/>
      <c r="D82" s="89"/>
      <c r="E82" s="39"/>
      <c r="F82" s="46">
        <v>81</v>
      </c>
      <c r="G82" s="47">
        <f t="shared" si="19"/>
        <v>0.5434723329993113</v>
      </c>
      <c r="H82" s="47">
        <f t="shared" si="20"/>
        <v>0.11082029248789818</v>
      </c>
      <c r="I82" s="47">
        <f t="shared" si="21"/>
        <v>2.4988889482565273E-2</v>
      </c>
      <c r="J82" s="47">
        <f t="shared" si="22"/>
        <v>6.7170737786431733E-2</v>
      </c>
      <c r="K82" s="47">
        <f t="shared" si="23"/>
        <v>0.18942629813193404</v>
      </c>
      <c r="L82" s="47">
        <f t="shared" si="24"/>
        <v>1.6785404513203345E-2</v>
      </c>
      <c r="M82" s="47">
        <f t="shared" si="25"/>
        <v>4.7336044598656118E-2</v>
      </c>
      <c r="N82" s="48">
        <f t="shared" si="26"/>
        <v>1</v>
      </c>
      <c r="O82" s="49">
        <f t="shared" si="27"/>
        <v>0.2565970359183658</v>
      </c>
      <c r="P82" s="49">
        <f t="shared" si="28"/>
        <v>6.4121449111859463E-2</v>
      </c>
      <c r="Q82" s="50">
        <f t="shared" si="29"/>
        <v>0.91088966140557526</v>
      </c>
      <c r="R82" s="50">
        <f t="shared" si="30"/>
        <v>8.9110338594424743E-2</v>
      </c>
      <c r="S82" s="51">
        <f>IF(R82&lt;Interface!$B$21,R82,0)</f>
        <v>0</v>
      </c>
    </row>
    <row r="83" spans="1:19">
      <c r="A83" s="39"/>
      <c r="B83" s="39"/>
      <c r="C83" s="89"/>
      <c r="D83" s="89"/>
      <c r="E83" s="39"/>
      <c r="F83" s="46">
        <v>82</v>
      </c>
      <c r="G83" s="47">
        <f t="shared" si="19"/>
        <v>0.5449416997338592</v>
      </c>
      <c r="H83" s="47">
        <f t="shared" si="20"/>
        <v>0.11265255706044829</v>
      </c>
      <c r="I83" s="47">
        <f t="shared" si="21"/>
        <v>2.5402047180297156E-2</v>
      </c>
      <c r="J83" s="47">
        <f t="shared" si="22"/>
        <v>6.7352344910926412E-2</v>
      </c>
      <c r="K83" s="47">
        <f t="shared" si="23"/>
        <v>0.18557513350836785</v>
      </c>
      <c r="L83" s="47">
        <f t="shared" si="24"/>
        <v>1.7062928614024715E-2</v>
      </c>
      <c r="M83" s="47">
        <f t="shared" si="25"/>
        <v>4.7013288992076352E-2</v>
      </c>
      <c r="N83" s="48">
        <f t="shared" si="26"/>
        <v>1</v>
      </c>
      <c r="O83" s="49">
        <f t="shared" si="27"/>
        <v>0.25292747841929425</v>
      </c>
      <c r="P83" s="49">
        <f t="shared" si="28"/>
        <v>6.4076217606101063E-2</v>
      </c>
      <c r="Q83" s="50">
        <f t="shared" si="29"/>
        <v>0.91052173521360169</v>
      </c>
      <c r="R83" s="50">
        <f t="shared" si="30"/>
        <v>8.9478264786398226E-2</v>
      </c>
      <c r="S83" s="51">
        <f>IF(R83&lt;Interface!$B$21,R83,0)</f>
        <v>0</v>
      </c>
    </row>
    <row r="84" spans="1:19">
      <c r="A84" s="39"/>
      <c r="B84" s="39"/>
      <c r="C84" s="89"/>
      <c r="D84" s="89"/>
      <c r="E84" s="39"/>
      <c r="F84" s="46">
        <v>83</v>
      </c>
      <c r="G84" s="47">
        <f t="shared" si="19"/>
        <v>0.54634676730219922</v>
      </c>
      <c r="H84" s="47">
        <f t="shared" si="20"/>
        <v>0.1144838510597808</v>
      </c>
      <c r="I84" s="47">
        <f t="shared" si="21"/>
        <v>2.5814986023283904E-2</v>
      </c>
      <c r="J84" s="47">
        <f t="shared" si="22"/>
        <v>6.7526004947462803E-2</v>
      </c>
      <c r="K84" s="47">
        <f t="shared" si="23"/>
        <v>0.18180226566357033</v>
      </c>
      <c r="L84" s="47">
        <f t="shared" si="24"/>
        <v>1.7340305706895633E-2</v>
      </c>
      <c r="M84" s="47">
        <f t="shared" si="25"/>
        <v>4.6685819296807304E-2</v>
      </c>
      <c r="N84" s="48">
        <f t="shared" si="26"/>
        <v>0.99999999999999978</v>
      </c>
      <c r="O84" s="49">
        <f t="shared" si="27"/>
        <v>0.24932827061103313</v>
      </c>
      <c r="P84" s="49">
        <f t="shared" si="28"/>
        <v>6.4026125003702944E-2</v>
      </c>
      <c r="Q84" s="50">
        <f t="shared" si="29"/>
        <v>0.91015888897301322</v>
      </c>
      <c r="R84" s="50">
        <f t="shared" si="30"/>
        <v>8.9841111026986845E-2</v>
      </c>
      <c r="S84" s="51">
        <f>IF(R84&lt;Interface!$B$21,R84,0)</f>
        <v>0</v>
      </c>
    </row>
    <row r="85" spans="1:19">
      <c r="A85" s="39"/>
      <c r="B85" s="39"/>
      <c r="C85" s="89"/>
      <c r="D85" s="89"/>
      <c r="E85" s="39"/>
      <c r="F85" s="46">
        <v>84</v>
      </c>
      <c r="G85" s="47">
        <f t="shared" si="19"/>
        <v>0.54768893762117909</v>
      </c>
      <c r="H85" s="47">
        <f t="shared" si="20"/>
        <v>0.11631397260079042</v>
      </c>
      <c r="I85" s="47">
        <f t="shared" si="21"/>
        <v>2.6227660488413518E-2</v>
      </c>
      <c r="J85" s="47">
        <f t="shared" si="22"/>
        <v>6.7691891166662563E-2</v>
      </c>
      <c r="K85" s="47">
        <f t="shared" si="23"/>
        <v>0.17810610277112929</v>
      </c>
      <c r="L85" s="47">
        <f t="shared" si="24"/>
        <v>1.7617505213272388E-2</v>
      </c>
      <c r="M85" s="47">
        <f t="shared" si="25"/>
        <v>4.635393013855283E-2</v>
      </c>
      <c r="N85" s="48">
        <f t="shared" si="26"/>
        <v>1.0000000000000002</v>
      </c>
      <c r="O85" s="49">
        <f t="shared" si="27"/>
        <v>0.24579799393779184</v>
      </c>
      <c r="P85" s="49">
        <f t="shared" si="28"/>
        <v>6.3971435351825215E-2</v>
      </c>
      <c r="Q85" s="50">
        <f t="shared" si="29"/>
        <v>0.90980090415976134</v>
      </c>
      <c r="R85" s="50">
        <f t="shared" si="30"/>
        <v>9.0199095840238733E-2</v>
      </c>
      <c r="S85" s="51">
        <f>IF(R85&lt;Interface!$B$21,R85,0)</f>
        <v>0</v>
      </c>
    </row>
    <row r="86" spans="1:19">
      <c r="A86" s="39"/>
      <c r="B86" s="39"/>
      <c r="C86" s="89"/>
      <c r="D86" s="89"/>
      <c r="E86" s="39"/>
      <c r="F86" s="46">
        <v>85</v>
      </c>
      <c r="G86" s="47">
        <f t="shared" si="19"/>
        <v>0.54896958384538386</v>
      </c>
      <c r="H86" s="47">
        <f t="shared" si="20"/>
        <v>0.11814272666031984</v>
      </c>
      <c r="I86" s="47">
        <f t="shared" si="21"/>
        <v>2.6640026599876038E-2</v>
      </c>
      <c r="J86" s="47">
        <f t="shared" si="22"/>
        <v>6.7850173284260906E-2</v>
      </c>
      <c r="K86" s="47">
        <f t="shared" si="23"/>
        <v>0.17448508536753898</v>
      </c>
      <c r="L86" s="47">
        <f t="shared" si="24"/>
        <v>1.7894497593956789E-2</v>
      </c>
      <c r="M86" s="47">
        <f t="shared" si="25"/>
        <v>4.6017906648663655E-2</v>
      </c>
      <c r="N86" s="48">
        <f t="shared" si="26"/>
        <v>1.0000000000000002</v>
      </c>
      <c r="O86" s="49">
        <f t="shared" si="27"/>
        <v>0.24233525865179989</v>
      </c>
      <c r="P86" s="49">
        <f t="shared" si="28"/>
        <v>6.3912404242620444E-2</v>
      </c>
      <c r="Q86" s="50">
        <f t="shared" si="29"/>
        <v>0.90944756915750358</v>
      </c>
      <c r="R86" s="50">
        <f t="shared" si="30"/>
        <v>9.0552430842496479E-2</v>
      </c>
      <c r="S86" s="51">
        <f>IF(R86&lt;Interface!$B$21,R86,0)</f>
        <v>0</v>
      </c>
    </row>
    <row r="87" spans="1:19">
      <c r="A87" s="39"/>
      <c r="B87" s="39"/>
      <c r="C87" s="89"/>
      <c r="D87" s="89"/>
      <c r="E87" s="39"/>
      <c r="F87" s="46">
        <v>86</v>
      </c>
      <c r="G87" s="47">
        <f t="shared" si="19"/>
        <v>0.55019005095260776</v>
      </c>
      <c r="H87" s="47">
        <f t="shared" si="20"/>
        <v>0.11996992489220118</v>
      </c>
      <c r="I87" s="47">
        <f t="shared" si="21"/>
        <v>2.7052041887457121E-2</v>
      </c>
      <c r="J87" s="47">
        <f t="shared" si="22"/>
        <v>6.8001017533468364E-2</v>
      </c>
      <c r="K87" s="47">
        <f t="shared" si="23"/>
        <v>0.17093768569424031</v>
      </c>
      <c r="L87" s="47">
        <f t="shared" si="24"/>
        <v>1.8171254321081361E-2</v>
      </c>
      <c r="M87" s="47">
        <f t="shared" si="25"/>
        <v>4.5678024718943992E-2</v>
      </c>
      <c r="N87" s="48">
        <f t="shared" si="26"/>
        <v>1</v>
      </c>
      <c r="O87" s="49">
        <f t="shared" si="27"/>
        <v>0.23893870322770866</v>
      </c>
      <c r="P87" s="49">
        <f t="shared" si="28"/>
        <v>6.3849279040025353E-2</v>
      </c>
      <c r="Q87" s="50">
        <f t="shared" si="29"/>
        <v>0.90909867907251762</v>
      </c>
      <c r="R87" s="50">
        <f t="shared" si="30"/>
        <v>9.0901320927482473E-2</v>
      </c>
      <c r="S87" s="51">
        <f>IF(R87&lt;Interface!$B$21,R87,0)</f>
        <v>0</v>
      </c>
    </row>
    <row r="88" spans="1:19">
      <c r="A88" s="39"/>
      <c r="B88" s="39"/>
      <c r="C88" s="89"/>
      <c r="D88" s="89"/>
      <c r="E88" s="39"/>
      <c r="F88" s="46">
        <v>87</v>
      </c>
      <c r="G88" s="47">
        <f t="shared" si="19"/>
        <v>0.55135165631742145</v>
      </c>
      <c r="H88" s="47">
        <f t="shared" si="20"/>
        <v>0.12179538544684902</v>
      </c>
      <c r="I88" s="47">
        <f t="shared" si="21"/>
        <v>2.7463665345858108E-2</v>
      </c>
      <c r="J88" s="47">
        <f t="shared" si="22"/>
        <v>6.8144586735861074E-2</v>
      </c>
      <c r="K88" s="47">
        <f t="shared" si="23"/>
        <v>0.16746240705303797</v>
      </c>
      <c r="L88" s="47">
        <f t="shared" si="24"/>
        <v>1.8447747850784024E-2</v>
      </c>
      <c r="M88" s="47">
        <f t="shared" si="25"/>
        <v>4.5334551250188371E-2</v>
      </c>
      <c r="N88" s="48">
        <f t="shared" si="26"/>
        <v>1</v>
      </c>
      <c r="O88" s="49">
        <f t="shared" si="27"/>
        <v>0.23560699378889904</v>
      </c>
      <c r="P88" s="49">
        <f t="shared" si="28"/>
        <v>6.3782299100972398E-2</v>
      </c>
      <c r="Q88" s="50">
        <f t="shared" si="29"/>
        <v>0.90875403555316958</v>
      </c>
      <c r="R88" s="50">
        <f t="shared" si="30"/>
        <v>9.1245964446830502E-2</v>
      </c>
      <c r="S88" s="51">
        <f>IF(R88&lt;Interface!$B$21,R88,0)</f>
        <v>0</v>
      </c>
    </row>
    <row r="89" spans="1:19">
      <c r="A89" s="39"/>
      <c r="B89" s="39"/>
      <c r="C89" s="89"/>
      <c r="D89" s="89"/>
      <c r="E89" s="39"/>
      <c r="F89" s="46">
        <v>88</v>
      </c>
      <c r="G89" s="47">
        <f t="shared" si="19"/>
        <v>0.55245569027307628</v>
      </c>
      <c r="H89" s="47">
        <f t="shared" si="20"/>
        <v>0.12361893279530091</v>
      </c>
      <c r="I89" s="47">
        <f t="shared" si="21"/>
        <v>2.7874857395018826E-2</v>
      </c>
      <c r="J89" s="47">
        <f t="shared" si="22"/>
        <v>6.8281040370829646E-2</v>
      </c>
      <c r="K89" s="47">
        <f t="shared" si="23"/>
        <v>0.16405778317462211</v>
      </c>
      <c r="L89" s="47">
        <f t="shared" si="24"/>
        <v>1.8723951596556366E-2</v>
      </c>
      <c r="M89" s="47">
        <f t="shared" si="25"/>
        <v>4.4987744394595852E-2</v>
      </c>
      <c r="N89" s="48">
        <f t="shared" si="26"/>
        <v>0.99999999999999989</v>
      </c>
      <c r="O89" s="49">
        <f t="shared" si="27"/>
        <v>0.23233882354545177</v>
      </c>
      <c r="P89" s="49">
        <f t="shared" si="28"/>
        <v>6.3711695991152215E-2</v>
      </c>
      <c r="Q89" s="50">
        <f t="shared" si="29"/>
        <v>0.90841344661382895</v>
      </c>
      <c r="R89" s="50">
        <f t="shared" si="30"/>
        <v>9.1586553386171041E-2</v>
      </c>
      <c r="S89" s="51">
        <f>IF(R89&lt;Interface!$B$21,R89,0)</f>
        <v>0</v>
      </c>
    </row>
    <row r="90" spans="1:19">
      <c r="A90" s="39"/>
      <c r="B90" s="39"/>
      <c r="C90" s="89"/>
      <c r="D90" s="89"/>
      <c r="E90" s="39"/>
      <c r="F90" s="46">
        <v>89</v>
      </c>
      <c r="G90" s="47">
        <f t="shared" si="19"/>
        <v>0.55350341666198266</v>
      </c>
      <c r="H90" s="47">
        <f t="shared" si="20"/>
        <v>0.12544039755759942</v>
      </c>
      <c r="I90" s="47">
        <f t="shared" si="21"/>
        <v>2.8285579841419467E-2</v>
      </c>
      <c r="J90" s="47">
        <f t="shared" si="22"/>
        <v>6.8410534643615822E-2</v>
      </c>
      <c r="K90" s="47">
        <f t="shared" si="23"/>
        <v>0.16072237759992863</v>
      </c>
      <c r="L90" s="47">
        <f t="shared" si="24"/>
        <v>1.8999839903249521E-2</v>
      </c>
      <c r="M90" s="47">
        <f t="shared" si="25"/>
        <v>4.463785379220446E-2</v>
      </c>
      <c r="N90" s="48">
        <f t="shared" si="26"/>
        <v>0.99999999999999978</v>
      </c>
      <c r="O90" s="49">
        <f t="shared" si="27"/>
        <v>0.22913291224354446</v>
      </c>
      <c r="P90" s="49">
        <f t="shared" si="28"/>
        <v>6.3637693695453981E-2</v>
      </c>
      <c r="Q90" s="50">
        <f t="shared" si="29"/>
        <v>0.90807672646312654</v>
      </c>
      <c r="R90" s="50">
        <f t="shared" si="30"/>
        <v>9.1923273536873448E-2</v>
      </c>
      <c r="S90" s="51">
        <f>IF(R90&lt;Interface!$B$21,R90,0)</f>
        <v>0</v>
      </c>
    </row>
    <row r="91" spans="1:19">
      <c r="A91" s="39"/>
      <c r="B91" s="39"/>
      <c r="C91" s="89"/>
      <c r="D91" s="89"/>
      <c r="E91" s="39"/>
      <c r="F91" s="46">
        <v>90</v>
      </c>
      <c r="G91" s="47">
        <f t="shared" si="19"/>
        <v>0.5544960733749944</v>
      </c>
      <c r="H91" s="47">
        <f t="shared" si="20"/>
        <v>0.12725961633541538</v>
      </c>
      <c r="I91" s="47">
        <f t="shared" si="21"/>
        <v>2.8695795840338753E-2</v>
      </c>
      <c r="J91" s="47">
        <f t="shared" si="22"/>
        <v>6.8533222551965589E-2</v>
      </c>
      <c r="K91" s="47">
        <f t="shared" si="23"/>
        <v>0.15745478307407676</v>
      </c>
      <c r="L91" s="47">
        <f t="shared" si="24"/>
        <v>1.9275388021722413E-2</v>
      </c>
      <c r="M91" s="47">
        <f t="shared" si="25"/>
        <v>4.4285120801486576E-2</v>
      </c>
      <c r="N91" s="48">
        <f t="shared" si="26"/>
        <v>1</v>
      </c>
      <c r="O91" s="49">
        <f t="shared" si="27"/>
        <v>0.22598800562604235</v>
      </c>
      <c r="P91" s="49">
        <f t="shared" si="28"/>
        <v>6.3560508823208989E-2</v>
      </c>
      <c r="Q91" s="50">
        <f t="shared" si="29"/>
        <v>0.90774369533645216</v>
      </c>
      <c r="R91" s="50">
        <f t="shared" si="30"/>
        <v>9.2256304663547742E-2</v>
      </c>
      <c r="S91" s="51">
        <f>IF(R91&lt;Interface!$B$21,R91,0)</f>
        <v>0</v>
      </c>
    </row>
    <row r="92" spans="1:19">
      <c r="A92" s="39"/>
      <c r="B92" s="39"/>
      <c r="C92" s="89"/>
      <c r="D92" s="89"/>
      <c r="E92" s="39"/>
      <c r="F92" s="46">
        <v>91</v>
      </c>
      <c r="G92" s="47">
        <f t="shared" si="19"/>
        <v>0.5554348728797287</v>
      </c>
      <c r="H92" s="47">
        <f t="shared" si="20"/>
        <v>0.12907643154881163</v>
      </c>
      <c r="I92" s="47">
        <f t="shared" si="21"/>
        <v>2.910546985904575E-2</v>
      </c>
      <c r="J92" s="47">
        <f t="shared" si="22"/>
        <v>6.8649253951427139E-2</v>
      </c>
      <c r="K92" s="47">
        <f t="shared" si="23"/>
        <v>0.15425362095262815</v>
      </c>
      <c r="L92" s="47">
        <f t="shared" si="24"/>
        <v>1.9550572084117198E-2</v>
      </c>
      <c r="M92" s="47">
        <f t="shared" si="25"/>
        <v>4.3929778724241385E-2</v>
      </c>
      <c r="N92" s="48">
        <f t="shared" si="26"/>
        <v>1</v>
      </c>
      <c r="O92" s="49">
        <f t="shared" si="27"/>
        <v>0.2229028749040553</v>
      </c>
      <c r="P92" s="49">
        <f t="shared" si="28"/>
        <v>6.3480350808358579E-2</v>
      </c>
      <c r="Q92" s="50">
        <f t="shared" si="29"/>
        <v>0.90741417933259561</v>
      </c>
      <c r="R92" s="50">
        <f t="shared" si="30"/>
        <v>9.2585820667404325E-2</v>
      </c>
      <c r="S92" s="51">
        <f>IF(R92&lt;Interface!$B$21,R92,0)</f>
        <v>0</v>
      </c>
    </row>
    <row r="93" spans="1:19">
      <c r="A93" s="39"/>
      <c r="B93" s="39"/>
      <c r="C93" s="89"/>
      <c r="D93" s="89"/>
      <c r="E93" s="39"/>
      <c r="F93" s="46">
        <v>92</v>
      </c>
      <c r="G93" s="47">
        <f t="shared" si="19"/>
        <v>0.55632100273814034</v>
      </c>
      <c r="H93" s="47">
        <f t="shared" si="20"/>
        <v>0.13089069127705133</v>
      </c>
      <c r="I93" s="47">
        <f t="shared" si="21"/>
        <v>2.9514567640903724E-2</v>
      </c>
      <c r="J93" s="47">
        <f t="shared" si="22"/>
        <v>6.8758775619320714E-2</v>
      </c>
      <c r="K93" s="47">
        <f t="shared" si="23"/>
        <v>0.15111754061991747</v>
      </c>
      <c r="L93" s="47">
        <f t="shared" si="24"/>
        <v>1.9825369079747249E-2</v>
      </c>
      <c r="M93" s="47">
        <f t="shared" si="25"/>
        <v>4.3572053024919163E-2</v>
      </c>
      <c r="N93" s="48">
        <f t="shared" si="26"/>
        <v>1</v>
      </c>
      <c r="O93" s="49">
        <f t="shared" si="27"/>
        <v>0.2198763162392382</v>
      </c>
      <c r="P93" s="49">
        <f t="shared" si="28"/>
        <v>6.3397422104666409E-2</v>
      </c>
      <c r="Q93" s="50">
        <f t="shared" si="29"/>
        <v>0.90708801025442987</v>
      </c>
      <c r="R93" s="50">
        <f t="shared" si="30"/>
        <v>9.2911989745570134E-2</v>
      </c>
      <c r="S93" s="51">
        <f>IF(R93&lt;Interface!$B$21,R93,0)</f>
        <v>0</v>
      </c>
    </row>
    <row r="94" spans="1:19">
      <c r="A94" s="39"/>
      <c r="B94" s="39"/>
      <c r="C94" s="89"/>
      <c r="D94" s="89"/>
      <c r="E94" s="39"/>
      <c r="F94" s="46">
        <v>93</v>
      </c>
      <c r="G94" s="47">
        <f t="shared" si="19"/>
        <v>0.5571556261135745</v>
      </c>
      <c r="H94" s="47">
        <f t="shared" si="20"/>
        <v>0.13270224910335468</v>
      </c>
      <c r="I94" s="47">
        <f t="shared" si="21"/>
        <v>2.9923056170364278E-2</v>
      </c>
      <c r="J94" s="47">
        <f t="shared" si="22"/>
        <v>6.8861931317408073E-2</v>
      </c>
      <c r="K94" s="47">
        <f t="shared" si="23"/>
        <v>0.14804521891920822</v>
      </c>
      <c r="L94" s="47">
        <f t="shared" si="24"/>
        <v>2.0099756831583236E-2</v>
      </c>
      <c r="M94" s="47">
        <f t="shared" si="25"/>
        <v>4.3212161544507112E-2</v>
      </c>
      <c r="N94" s="48">
        <f t="shared" si="26"/>
        <v>1</v>
      </c>
      <c r="O94" s="49">
        <f t="shared" si="27"/>
        <v>0.21690715023661628</v>
      </c>
      <c r="P94" s="49">
        <f t="shared" si="28"/>
        <v>6.3311918376090348E-2</v>
      </c>
      <c r="Q94" s="50">
        <f t="shared" si="29"/>
        <v>0.90676502545354543</v>
      </c>
      <c r="R94" s="50">
        <f t="shared" si="30"/>
        <v>9.323497454645463E-2</v>
      </c>
      <c r="S94" s="51">
        <f>IF(R94&lt;Interface!$B$21,R94,0)</f>
        <v>0</v>
      </c>
    </row>
    <row r="95" spans="1:19">
      <c r="A95" s="39"/>
      <c r="B95" s="39"/>
      <c r="C95" s="89"/>
      <c r="D95" s="89"/>
      <c r="E95" s="39"/>
      <c r="F95" s="46">
        <v>94</v>
      </c>
      <c r="G95" s="47">
        <f t="shared" si="19"/>
        <v>0.55793988226750602</v>
      </c>
      <c r="H95" s="47">
        <f t="shared" si="20"/>
        <v>0.13451096396351209</v>
      </c>
      <c r="I95" s="47">
        <f t="shared" si="21"/>
        <v>3.0330903638831151E-2</v>
      </c>
      <c r="J95" s="47">
        <f t="shared" si="22"/>
        <v>6.8958861853287257E-2</v>
      </c>
      <c r="K95" s="47">
        <f t="shared" si="23"/>
        <v>0.14503535959443453</v>
      </c>
      <c r="L95" s="47">
        <f t="shared" si="24"/>
        <v>2.0373713973323319E-2</v>
      </c>
      <c r="M95" s="47">
        <f t="shared" si="25"/>
        <v>4.2850314709105705E-2</v>
      </c>
      <c r="N95" s="48">
        <f t="shared" si="26"/>
        <v>1.0000000000000002</v>
      </c>
      <c r="O95" s="49">
        <f t="shared" si="27"/>
        <v>0.21399422144772179</v>
      </c>
      <c r="P95" s="49">
        <f t="shared" si="28"/>
        <v>6.3224028682429018E-2</v>
      </c>
      <c r="Q95" s="50">
        <f t="shared" si="29"/>
        <v>0.90644506767873989</v>
      </c>
      <c r="R95" s="50">
        <f t="shared" si="30"/>
        <v>9.3554932321260165E-2</v>
      </c>
      <c r="S95" s="51">
        <f>IF(R95&lt;Interface!$B$21,R95,0)</f>
        <v>0</v>
      </c>
    </row>
    <row r="96" spans="1:19">
      <c r="A96" s="39"/>
      <c r="B96" s="39"/>
      <c r="C96" s="89"/>
      <c r="D96" s="89"/>
      <c r="E96" s="39"/>
      <c r="F96" s="46">
        <v>95</v>
      </c>
      <c r="G96" s="47">
        <f t="shared" si="19"/>
        <v>0.55867488704617974</v>
      </c>
      <c r="H96" s="47">
        <f t="shared" si="20"/>
        <v>0.13631669999826312</v>
      </c>
      <c r="I96" s="47">
        <f t="shared" si="21"/>
        <v>3.0738079411373055E-2</v>
      </c>
      <c r="J96" s="47">
        <f t="shared" si="22"/>
        <v>6.9049705140539069E-2</v>
      </c>
      <c r="K96" s="47">
        <f t="shared" si="23"/>
        <v>0.14208669274329189</v>
      </c>
      <c r="L96" s="47">
        <f t="shared" si="24"/>
        <v>2.0647219927033684E-2</v>
      </c>
      <c r="M96" s="47">
        <f t="shared" si="25"/>
        <v>4.248671573331942E-2</v>
      </c>
      <c r="N96" s="48">
        <f t="shared" si="26"/>
        <v>1</v>
      </c>
      <c r="O96" s="49">
        <f t="shared" si="27"/>
        <v>0.21113639788383096</v>
      </c>
      <c r="P96" s="49">
        <f t="shared" si="28"/>
        <v>6.3133935660353108E-2</v>
      </c>
      <c r="Q96" s="50">
        <f t="shared" si="29"/>
        <v>0.90612798492827384</v>
      </c>
      <c r="R96" s="50">
        <f t="shared" si="30"/>
        <v>9.3872015071726156E-2</v>
      </c>
      <c r="S96" s="51">
        <f>IF(R96&lt;Interface!$B$21,R96,0)</f>
        <v>0</v>
      </c>
    </row>
    <row r="97" spans="1:19">
      <c r="A97" s="39"/>
      <c r="B97" s="39"/>
      <c r="C97" s="89"/>
      <c r="D97" s="89"/>
      <c r="E97" s="39"/>
      <c r="F97" s="46">
        <v>96</v>
      </c>
      <c r="G97" s="47">
        <f t="shared" si="19"/>
        <v>0.55936173335735473</v>
      </c>
      <c r="H97" s="47">
        <f t="shared" si="20"/>
        <v>0.13811932640935101</v>
      </c>
      <c r="I97" s="47">
        <f t="shared" si="21"/>
        <v>3.1144553994265418E-2</v>
      </c>
      <c r="J97" s="47">
        <f t="shared" si="22"/>
        <v>6.9134596257650588E-2</v>
      </c>
      <c r="K97" s="47">
        <f t="shared" si="23"/>
        <v>0.13919797428144787</v>
      </c>
      <c r="L97" s="47">
        <f t="shared" si="24"/>
        <v>2.092025488134585E-2</v>
      </c>
      <c r="M97" s="47">
        <f t="shared" si="25"/>
        <v>4.2121560818584508E-2</v>
      </c>
      <c r="N97" s="48">
        <f t="shared" si="26"/>
        <v>1</v>
      </c>
      <c r="O97" s="49">
        <f t="shared" si="27"/>
        <v>0.20833257053909846</v>
      </c>
      <c r="P97" s="49">
        <f t="shared" si="28"/>
        <v>6.3041815699930365E-2</v>
      </c>
      <c r="Q97" s="50">
        <f t="shared" si="29"/>
        <v>0.9058136303058042</v>
      </c>
      <c r="R97" s="50">
        <f t="shared" si="30"/>
        <v>9.4186369694195776E-2</v>
      </c>
      <c r="S97" s="51">
        <f>IF(R97&lt;Interface!$B$21,R97,0)</f>
        <v>0</v>
      </c>
    </row>
    <row r="98" spans="1:19">
      <c r="A98" s="39"/>
      <c r="B98" s="39"/>
      <c r="C98" s="89"/>
      <c r="D98" s="89"/>
      <c r="E98" s="39"/>
      <c r="F98" s="46">
        <v>97</v>
      </c>
      <c r="G98" s="47">
        <f>p.delivery*(1-(1-p.conception)^F98)*(1-alpha)^F98</f>
        <v>0.5600014916373528</v>
      </c>
      <c r="H98" s="47">
        <f t="shared" si="20"/>
        <v>0.13991871731916897</v>
      </c>
      <c r="I98" s="47">
        <f t="shared" si="21"/>
        <v>3.1550299003342018E-2</v>
      </c>
      <c r="J98" s="47">
        <f t="shared" si="22"/>
        <v>6.921366750574022E-2</v>
      </c>
      <c r="K98" s="47">
        <f t="shared" si="23"/>
        <v>0.13636798541764492</v>
      </c>
      <c r="L98" s="47">
        <f t="shared" si="24"/>
        <v>2.1192799770197984E-2</v>
      </c>
      <c r="M98" s="47">
        <f t="shared" si="25"/>
        <v>4.1755039346553106E-2</v>
      </c>
      <c r="N98" s="48">
        <f t="shared" si="26"/>
        <v>1</v>
      </c>
      <c r="O98" s="49">
        <f t="shared" si="27"/>
        <v>0.20558165292338515</v>
      </c>
      <c r="P98" s="49">
        <f t="shared" si="28"/>
        <v>6.2947839116751086E-2</v>
      </c>
      <c r="Q98" s="50">
        <f t="shared" si="29"/>
        <v>0.90550186187990689</v>
      </c>
      <c r="R98" s="50">
        <f t="shared" si="30"/>
        <v>9.4498138120093111E-2</v>
      </c>
      <c r="S98" s="51">
        <f>IF(R98&lt;Interface!$B$21,R98,0)</f>
        <v>0</v>
      </c>
    </row>
    <row r="99" spans="1:19">
      <c r="A99" s="39"/>
      <c r="B99" s="39"/>
      <c r="C99" s="89"/>
      <c r="D99" s="89"/>
      <c r="E99" s="39"/>
      <c r="F99" s="46">
        <v>98</v>
      </c>
      <c r="G99" s="47">
        <f>p.delivery*(1-(1-p.conception)^F99)*(1-alpha)^F99</f>
        <v>0.56059521030861137</v>
      </c>
      <c r="H99" s="47">
        <f t="shared" si="20"/>
        <v>0.14171475163391054</v>
      </c>
      <c r="I99" s="47">
        <f t="shared" si="21"/>
        <v>3.1955287133136681E-2</v>
      </c>
      <c r="J99" s="47">
        <f t="shared" si="22"/>
        <v>6.9287048465109261E-2</v>
      </c>
      <c r="K99" s="47">
        <f t="shared" si="23"/>
        <v>0.13359553213947525</v>
      </c>
      <c r="L99" s="47">
        <f t="shared" si="24"/>
        <v>2.1464836252106954E-2</v>
      </c>
      <c r="M99" s="47">
        <f t="shared" si="25"/>
        <v>4.1387334067649932E-2</v>
      </c>
      <c r="N99" s="48">
        <f t="shared" si="26"/>
        <v>1</v>
      </c>
      <c r="O99" s="49">
        <f t="shared" si="27"/>
        <v>0.20288258060458453</v>
      </c>
      <c r="P99" s="49">
        <f t="shared" si="28"/>
        <v>6.2852170319756887E-2</v>
      </c>
      <c r="Q99" s="50">
        <f t="shared" si="29"/>
        <v>0.90519254254710646</v>
      </c>
      <c r="R99" s="50">
        <f t="shared" si="30"/>
        <v>9.4807457452893568E-2</v>
      </c>
      <c r="S99" s="51">
        <f>IF(R99&lt;Interface!$B$21,R99,0)</f>
        <v>0</v>
      </c>
    </row>
    <row r="100" spans="1:19">
      <c r="A100" s="39"/>
      <c r="B100" s="39"/>
      <c r="C100" s="89"/>
      <c r="D100" s="89"/>
      <c r="E100" s="39"/>
      <c r="F100" s="46">
        <v>99</v>
      </c>
      <c r="G100" s="47">
        <f>p.delivery*(1-(1-p.conception)^F100)*(1-alpha)^F100</f>
        <v>0.56114391622793136</v>
      </c>
      <c r="H100" s="47">
        <f t="shared" si="20"/>
        <v>0.1435073129101436</v>
      </c>
      <c r="I100" s="47">
        <f t="shared" si="21"/>
        <v>3.2359492126797076E-2</v>
      </c>
      <c r="J100" s="47">
        <f t="shared" si="22"/>
        <v>6.9354866050643185E-2</v>
      </c>
      <c r="K100" s="47">
        <f t="shared" si="23"/>
        <v>0.13087944470960999</v>
      </c>
      <c r="L100" s="47">
        <f t="shared" si="24"/>
        <v>2.1736346689958951E-2</v>
      </c>
      <c r="M100" s="47">
        <f t="shared" si="25"/>
        <v>4.1018621284915804E-2</v>
      </c>
      <c r="N100" s="48">
        <f t="shared" si="26"/>
        <v>1</v>
      </c>
      <c r="O100" s="49">
        <f t="shared" si="27"/>
        <v>0.20023431076025316</v>
      </c>
      <c r="P100" s="49">
        <f t="shared" si="28"/>
        <v>6.2754967974874759E-2</v>
      </c>
      <c r="Q100" s="50">
        <f t="shared" si="29"/>
        <v>0.9048855398983281</v>
      </c>
      <c r="R100" s="50">
        <f t="shared" si="30"/>
        <v>9.5114460101671836E-2</v>
      </c>
      <c r="S100" s="51">
        <f>IF(R100&lt;Interface!$B$21,R100,0)</f>
        <v>0</v>
      </c>
    </row>
    <row r="101" spans="1:19">
      <c r="A101" s="39"/>
      <c r="B101" s="39"/>
      <c r="C101" s="89"/>
      <c r="D101" s="89"/>
      <c r="E101" s="39"/>
      <c r="F101" s="46">
        <v>100</v>
      </c>
      <c r="G101" s="47">
        <f>p.delivery*(1-(1-p.conception)^F101)*(1-alpha)^F101</f>
        <v>0.56164861512560982</v>
      </c>
      <c r="H101" s="47">
        <f t="shared" si="20"/>
        <v>0.14529628922472568</v>
      </c>
      <c r="I101" s="47">
        <f t="shared" si="21"/>
        <v>3.2762888746751859E-2</v>
      </c>
      <c r="J101" s="47">
        <f t="shared" si="22"/>
        <v>6.9417244566086611E-2</v>
      </c>
      <c r="K101" s="47">
        <f t="shared" si="23"/>
        <v>0.12821857717227061</v>
      </c>
      <c r="L101" s="47">
        <f t="shared" si="24"/>
        <v>2.2007314131306209E-2</v>
      </c>
      <c r="M101" s="47">
        <f t="shared" si="25"/>
        <v>4.0649071033249197E-2</v>
      </c>
      <c r="N101" s="48">
        <f t="shared" si="26"/>
        <v>1</v>
      </c>
      <c r="O101" s="49">
        <f t="shared" si="27"/>
        <v>0.19763582173835723</v>
      </c>
      <c r="P101" s="49">
        <f t="shared" si="28"/>
        <v>6.2656385164555406E-2</v>
      </c>
      <c r="Q101" s="50">
        <f t="shared" si="29"/>
        <v>0.90458072608869267</v>
      </c>
      <c r="R101" s="50">
        <f t="shared" si="30"/>
        <v>9.5419273911307265E-2</v>
      </c>
      <c r="S101" s="51">
        <f>IF(R101&lt;Interface!$B$21,R101,0)</f>
        <v>0</v>
      </c>
    </row>
    <row r="102" spans="1:19">
      <c r="A102" s="39"/>
      <c r="B102" s="39"/>
      <c r="C102" s="89"/>
      <c r="D102" s="89"/>
      <c r="E102" s="39"/>
      <c r="F102" s="46"/>
      <c r="G102" s="47"/>
      <c r="H102" s="47"/>
      <c r="I102" s="47"/>
      <c r="J102" s="47"/>
      <c r="K102" s="47"/>
      <c r="L102" s="47"/>
      <c r="M102" s="47"/>
      <c r="N102" s="48"/>
      <c r="O102" s="49"/>
      <c r="P102" s="49"/>
      <c r="Q102" s="52"/>
      <c r="R102" s="52"/>
      <c r="S102" s="39"/>
    </row>
    <row r="103" spans="1:19">
      <c r="A103" s="39"/>
      <c r="B103" s="39"/>
      <c r="C103" s="89"/>
      <c r="D103" s="89"/>
      <c r="E103" s="39"/>
      <c r="F103" s="46"/>
      <c r="G103" s="47"/>
      <c r="H103" s="47"/>
      <c r="I103" s="47"/>
      <c r="J103" s="47"/>
      <c r="K103" s="47"/>
      <c r="L103" s="47"/>
      <c r="M103" s="47"/>
      <c r="N103" s="48"/>
      <c r="O103" s="49"/>
      <c r="P103" s="49"/>
      <c r="Q103" s="52"/>
      <c r="R103" s="52"/>
      <c r="S103" s="39"/>
    </row>
    <row r="104" spans="1:19">
      <c r="A104" s="39"/>
      <c r="B104" s="39"/>
      <c r="C104" s="89"/>
      <c r="D104" s="89"/>
      <c r="E104" s="39"/>
      <c r="F104" s="46"/>
      <c r="G104" s="47"/>
      <c r="H104" s="47"/>
      <c r="I104" s="47"/>
      <c r="J104" s="47"/>
      <c r="K104" s="47"/>
      <c r="L104" s="47"/>
      <c r="M104" s="47"/>
      <c r="N104" s="48"/>
      <c r="O104" s="49"/>
      <c r="P104" s="49"/>
      <c r="Q104" s="52"/>
      <c r="R104" s="52"/>
      <c r="S104" s="39"/>
    </row>
    <row r="105" spans="1:19">
      <c r="A105" s="39"/>
      <c r="B105" s="39"/>
      <c r="C105" s="89"/>
      <c r="D105" s="89"/>
      <c r="E105" s="39"/>
      <c r="F105" s="46"/>
      <c r="G105" s="47"/>
      <c r="H105" s="47"/>
      <c r="I105" s="47"/>
      <c r="J105" s="47"/>
      <c r="K105" s="47"/>
      <c r="L105" s="47"/>
      <c r="M105" s="47"/>
      <c r="N105" s="48"/>
      <c r="O105" s="49"/>
      <c r="P105" s="49"/>
      <c r="Q105" s="52"/>
      <c r="R105" s="52"/>
      <c r="S105" s="39"/>
    </row>
    <row r="106" spans="1:19">
      <c r="A106" s="39"/>
      <c r="B106" s="39"/>
      <c r="C106" s="89"/>
      <c r="D106" s="89"/>
      <c r="E106" s="39"/>
      <c r="F106" s="46"/>
      <c r="G106" s="47"/>
      <c r="H106" s="47"/>
      <c r="I106" s="47"/>
      <c r="J106" s="47"/>
      <c r="K106" s="47"/>
      <c r="L106" s="47"/>
      <c r="M106" s="47"/>
      <c r="N106" s="48"/>
      <c r="O106" s="49"/>
      <c r="P106" s="49"/>
      <c r="Q106" s="52"/>
      <c r="R106" s="52"/>
      <c r="S106" s="39"/>
    </row>
    <row r="107" spans="1:19">
      <c r="A107" s="39"/>
      <c r="B107" s="39"/>
      <c r="C107" s="89"/>
      <c r="D107" s="89"/>
      <c r="E107" s="39"/>
      <c r="F107" s="46"/>
      <c r="G107" s="47"/>
      <c r="H107" s="47"/>
      <c r="I107" s="47"/>
      <c r="J107" s="47"/>
      <c r="K107" s="47"/>
      <c r="L107" s="47"/>
      <c r="M107" s="47"/>
      <c r="N107" s="48"/>
      <c r="O107" s="49"/>
      <c r="P107" s="49"/>
      <c r="Q107" s="52"/>
      <c r="R107" s="52"/>
      <c r="S107" s="39"/>
    </row>
    <row r="108" spans="1:19">
      <c r="A108" s="39"/>
      <c r="B108" s="39"/>
      <c r="C108" s="89"/>
      <c r="D108" s="89"/>
      <c r="E108" s="39"/>
      <c r="F108" s="46"/>
      <c r="G108" s="47"/>
      <c r="H108" s="47"/>
      <c r="I108" s="47"/>
      <c r="J108" s="47"/>
      <c r="K108" s="47"/>
      <c r="L108" s="47"/>
      <c r="M108" s="47"/>
      <c r="N108" s="48"/>
      <c r="O108" s="49"/>
      <c r="P108" s="49"/>
      <c r="Q108" s="52"/>
      <c r="R108" s="52"/>
      <c r="S108" s="39"/>
    </row>
    <row r="109" spans="1:19">
      <c r="A109" s="39"/>
      <c r="B109" s="39"/>
      <c r="C109" s="89"/>
      <c r="D109" s="89"/>
      <c r="E109" s="39"/>
      <c r="F109" s="46"/>
      <c r="G109" s="47"/>
      <c r="H109" s="47"/>
      <c r="I109" s="47"/>
      <c r="J109" s="47"/>
      <c r="K109" s="47"/>
      <c r="L109" s="47"/>
      <c r="M109" s="47"/>
      <c r="N109" s="48"/>
      <c r="O109" s="49"/>
      <c r="P109" s="49"/>
      <c r="Q109" s="52"/>
      <c r="R109" s="52"/>
      <c r="S109" s="39"/>
    </row>
    <row r="110" spans="1:19" ht="16" thickBot="1">
      <c r="A110" s="40" t="s">
        <v>21</v>
      </c>
      <c r="B110" s="39">
        <f>MIN(1,TT*h.late*h.tx*h.std*h.prep)</f>
        <v>2.7500000000000003E-3</v>
      </c>
      <c r="C110" s="89"/>
      <c r="D110" s="89"/>
      <c r="E110" s="39"/>
      <c r="F110" s="53"/>
      <c r="G110" s="54"/>
      <c r="H110" s="54"/>
      <c r="I110" s="54"/>
      <c r="J110" s="54"/>
      <c r="K110" s="54"/>
      <c r="L110" s="54"/>
      <c r="M110" s="54"/>
      <c r="N110" s="55"/>
      <c r="O110" s="44"/>
      <c r="P110" s="44"/>
      <c r="Q110" s="45"/>
      <c r="R110" s="45"/>
      <c r="S110" s="39"/>
    </row>
    <row r="111" spans="1:19">
      <c r="A111" s="39"/>
      <c r="B111" s="39"/>
      <c r="C111" s="89"/>
      <c r="D111" s="89"/>
      <c r="E111" s="39"/>
      <c r="F111" s="56"/>
      <c r="G111" s="57"/>
      <c r="H111" s="57"/>
      <c r="I111" s="57"/>
      <c r="J111" s="57"/>
      <c r="K111" s="57"/>
      <c r="L111" s="57"/>
      <c r="M111" s="57"/>
      <c r="N111" s="58"/>
      <c r="O111" s="49"/>
      <c r="P111" s="49"/>
      <c r="Q111" s="52"/>
      <c r="R111" s="50"/>
      <c r="S111" s="39"/>
    </row>
  </sheetData>
  <phoneticPr fontId="10" type="noConversion"/>
  <pageMargins left="0.75" right="0.75" top="1" bottom="1" header="0.5" footer="0.5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 enableFormatConditionsCalculation="0">
    <tabColor indexed="42"/>
  </sheetPr>
  <dimension ref="A1:G34"/>
  <sheetViews>
    <sheetView workbookViewId="0">
      <selection activeCell="B14" sqref="B14"/>
    </sheetView>
  </sheetViews>
  <sheetFormatPr baseColWidth="10" defaultColWidth="9.1640625" defaultRowHeight="12" x14ac:dyDescent="0"/>
  <cols>
    <col min="1" max="1" width="9.1640625" style="21"/>
    <col min="2" max="2" width="19.1640625" style="100" customWidth="1"/>
    <col min="3" max="3" width="21.5" style="22" customWidth="1"/>
    <col min="4" max="4" width="17.6640625" style="21" customWidth="1"/>
    <col min="5" max="5" width="16.6640625" style="21" hidden="1" customWidth="1"/>
    <col min="6" max="6" width="9.1640625" style="21"/>
    <col min="7" max="7" width="30.5" style="59" bestFit="1" customWidth="1"/>
    <col min="8" max="16384" width="9.1640625" style="21"/>
  </cols>
  <sheetData>
    <row r="1" spans="1:7" s="23" customFormat="1" ht="16" thickBot="1">
      <c r="A1" s="77" t="s">
        <v>34</v>
      </c>
      <c r="B1" s="97" t="s">
        <v>35</v>
      </c>
      <c r="C1" s="75" t="s">
        <v>36</v>
      </c>
      <c r="D1" s="79" t="s">
        <v>41</v>
      </c>
      <c r="E1" s="28" t="s">
        <v>46</v>
      </c>
      <c r="F1" s="82" t="s">
        <v>42</v>
      </c>
      <c r="G1" s="84" t="s">
        <v>47</v>
      </c>
    </row>
    <row r="2" spans="1:7">
      <c r="A2" s="78">
        <v>18</v>
      </c>
      <c r="B2" s="98">
        <f>Pregnancy.Calc!W2</f>
        <v>6.1201814416838085E-2</v>
      </c>
      <c r="C2" s="76">
        <f>Pregnancy.Calc!X2</f>
        <v>0.89</v>
      </c>
      <c r="D2" s="80">
        <f>LOG(1-Interface!$B$20)/LOG(1-B2)+0.5</f>
        <v>27.652328057732831</v>
      </c>
      <c r="E2" s="26">
        <f ca="1">CELL("row",INDEX(Model!S:S,MATCH(MAX(Model!S:S),Model!S:S,0)))</f>
        <v>35</v>
      </c>
      <c r="F2" s="83">
        <f ca="1">INDIRECT("Model!F"&amp;Pregnancy!E2)</f>
        <v>34</v>
      </c>
      <c r="G2" s="85">
        <f ca="1">MIN(D2,F2)</f>
        <v>27.652328057732831</v>
      </c>
    </row>
    <row r="3" spans="1:7">
      <c r="A3" s="71">
        <v>19</v>
      </c>
      <c r="B3" s="98">
        <f>Pregnancy.Calc!W3</f>
        <v>4.3125539143931892E-2</v>
      </c>
      <c r="C3" s="76">
        <f>Pregnancy.Calc!X3</f>
        <v>0.89</v>
      </c>
      <c r="D3" s="81">
        <f>LOG(1-Interface!$B$20)/LOG(1-B3)+0.5</f>
        <v>39.399246223123086</v>
      </c>
      <c r="E3" s="24">
        <f ca="1">CELL("row",INDEX(Model!S:S,MATCH(MAX(Model!S:S),Model!S:S,0)))</f>
        <v>35</v>
      </c>
      <c r="F3" s="83">
        <f ca="1">INDIRECT("Model!F"&amp;Pregnancy!E3)</f>
        <v>34</v>
      </c>
      <c r="G3" s="86">
        <f t="shared" ref="G3:G33" ca="1" si="0">MIN(D3,F3)</f>
        <v>34</v>
      </c>
    </row>
    <row r="4" spans="1:7">
      <c r="A4" s="71">
        <v>20</v>
      </c>
      <c r="B4" s="98">
        <f>Pregnancy.Calc!W4</f>
        <v>3.6625907148053048E-2</v>
      </c>
      <c r="C4" s="76">
        <f>Pregnancy.Calc!X4</f>
        <v>0.89</v>
      </c>
      <c r="D4" s="81">
        <f>LOG(1-Interface!$B$20)/LOG(1-B4)+0.5</f>
        <v>46.45654407003763</v>
      </c>
      <c r="E4" s="24">
        <f ca="1">CELL("row",INDEX(Model!S:S,MATCH(MAX(Model!S:S),Model!S:S,0)))</f>
        <v>35</v>
      </c>
      <c r="F4" s="83">
        <f ca="1">INDIRECT("Model!F"&amp;Pregnancy!E4)</f>
        <v>34</v>
      </c>
      <c r="G4" s="86">
        <f t="shared" ca="1" si="0"/>
        <v>34</v>
      </c>
    </row>
    <row r="5" spans="1:7">
      <c r="A5" s="71">
        <v>21</v>
      </c>
      <c r="B5" s="98">
        <f>Pregnancy.Calc!W5</f>
        <v>3.2463269383356273E-2</v>
      </c>
      <c r="C5" s="76">
        <f>Pregnancy.Calc!X5</f>
        <v>0.89</v>
      </c>
      <c r="D5" s="81">
        <f>LOG(1-Interface!$B$20)/LOG(1-B5)+0.5</f>
        <v>52.460612273163541</v>
      </c>
      <c r="E5" s="24">
        <f ca="1">CELL("row",INDEX(Model!S:S,MATCH(MAX(Model!S:S),Model!S:S,0)))</f>
        <v>35</v>
      </c>
      <c r="F5" s="83">
        <f ca="1">INDIRECT("Model!F"&amp;Pregnancy!E5)</f>
        <v>34</v>
      </c>
      <c r="G5" s="86">
        <f t="shared" ca="1" si="0"/>
        <v>34</v>
      </c>
    </row>
    <row r="6" spans="1:7">
      <c r="A6" s="71">
        <v>22</v>
      </c>
      <c r="B6" s="98">
        <f>Pregnancy.Calc!W6</f>
        <v>2.9366965471821289E-2</v>
      </c>
      <c r="C6" s="76">
        <f>Pregnancy.Calc!X6</f>
        <v>0.89</v>
      </c>
      <c r="D6" s="81">
        <f>LOG(1-Interface!$B$20)/LOG(1-B6)+0.5</f>
        <v>58.030429322861984</v>
      </c>
      <c r="E6" s="24">
        <f ca="1">CELL("row",INDEX(Model!S:S,MATCH(MAX(Model!S:S),Model!S:S,0)))</f>
        <v>35</v>
      </c>
      <c r="F6" s="83">
        <f ca="1">INDIRECT("Model!F"&amp;Pregnancy!E6)</f>
        <v>34</v>
      </c>
      <c r="G6" s="86">
        <f t="shared" ca="1" si="0"/>
        <v>34</v>
      </c>
    </row>
    <row r="7" spans="1:7">
      <c r="A7" s="71">
        <v>23</v>
      </c>
      <c r="B7" s="98">
        <f>Pregnancy.Calc!W7</f>
        <v>2.6888701108983077E-2</v>
      </c>
      <c r="C7" s="76">
        <f>Pregnancy.Calc!X7</f>
        <v>0.89</v>
      </c>
      <c r="D7" s="81">
        <f>LOG(1-Interface!$B$20)/LOG(1-B7)+0.5</f>
        <v>63.412646466881476</v>
      </c>
      <c r="E7" s="24">
        <f ca="1">CELL("row",INDEX(Model!S:S,MATCH(MAX(Model!S:S),Model!S:S,0)))</f>
        <v>35</v>
      </c>
      <c r="F7" s="83">
        <f ca="1">INDIRECT("Model!F"&amp;Pregnancy!E7)</f>
        <v>34</v>
      </c>
      <c r="G7" s="86">
        <f t="shared" ca="1" si="0"/>
        <v>34</v>
      </c>
    </row>
    <row r="8" spans="1:7">
      <c r="A8" s="71">
        <v>24</v>
      </c>
      <c r="B8" s="98">
        <f>Pregnancy.Calc!W8</f>
        <v>2.4816051230480789E-2</v>
      </c>
      <c r="C8" s="76">
        <f>Pregnancy.Calc!X8</f>
        <v>0.89</v>
      </c>
      <c r="D8" s="81">
        <f>LOG(1-Interface!$B$20)/LOG(1-B8)+0.5</f>
        <v>68.739384146557356</v>
      </c>
      <c r="E8" s="24">
        <f ca="1">CELL("row",INDEX(Model!S:S,MATCH(MAX(Model!S:S),Model!S:S,0)))</f>
        <v>35</v>
      </c>
      <c r="F8" s="83">
        <f ca="1">INDIRECT("Model!F"&amp;Pregnancy!E8)</f>
        <v>34</v>
      </c>
      <c r="G8" s="86">
        <f t="shared" ca="1" si="0"/>
        <v>34</v>
      </c>
    </row>
    <row r="9" spans="1:7">
      <c r="A9" s="71">
        <v>25</v>
      </c>
      <c r="B9" s="98">
        <f>Pregnancy.Calc!W9</f>
        <v>2.3030994380579577E-2</v>
      </c>
      <c r="C9" s="76">
        <f>Pregnancy.Calc!X9</f>
        <v>0.89</v>
      </c>
      <c r="D9" s="81">
        <f>LOG(1-Interface!$B$20)/LOG(1-B9)+0.5</f>
        <v>74.095388887768735</v>
      </c>
      <c r="E9" s="24">
        <f ca="1">CELL("row",INDEX(Model!S:S,MATCH(MAX(Model!S:S),Model!S:S,0)))</f>
        <v>35</v>
      </c>
      <c r="F9" s="83">
        <f ca="1">INDIRECT("Model!F"&amp;Pregnancy!E9)</f>
        <v>34</v>
      </c>
      <c r="G9" s="86">
        <f t="shared" ca="1" si="0"/>
        <v>34</v>
      </c>
    </row>
    <row r="10" spans="1:7">
      <c r="A10" s="71">
        <v>26</v>
      </c>
      <c r="B10" s="98">
        <f>Pregnancy.Calc!W10</f>
        <v>2.1460949167666072E-2</v>
      </c>
      <c r="C10" s="76">
        <f>Pregnancy.Calc!X10</f>
        <v>0.89</v>
      </c>
      <c r="D10" s="81">
        <f>LOG(1-Interface!$B$20)/LOG(1-B10)+0.5</f>
        <v>79.542696675776043</v>
      </c>
      <c r="E10" s="24">
        <f ca="1">CELL("row",INDEX(Model!S:S,MATCH(MAX(Model!S:S),Model!S:S,0)))</f>
        <v>35</v>
      </c>
      <c r="F10" s="83">
        <f ca="1">INDIRECT("Model!F"&amp;Pregnancy!E10)</f>
        <v>34</v>
      </c>
      <c r="G10" s="86">
        <f t="shared" ca="1" si="0"/>
        <v>34</v>
      </c>
    </row>
    <row r="11" spans="1:7">
      <c r="A11" s="71">
        <v>27</v>
      </c>
      <c r="B11" s="98">
        <f>Pregnancy.Calc!W11</f>
        <v>2.0057995517369864E-2</v>
      </c>
      <c r="C11" s="76">
        <f>Pregnancy.Calc!X11</f>
        <v>0.89</v>
      </c>
      <c r="D11" s="81">
        <f>LOG(1-Interface!$B$20)/LOG(1-B11)+0.5</f>
        <v>85.131719110844486</v>
      </c>
      <c r="E11" s="24">
        <f ca="1">CELL("row",INDEX(Model!S:S,MATCH(MAX(Model!S:S),Model!S:S,0)))</f>
        <v>35</v>
      </c>
      <c r="F11" s="83">
        <f ca="1">INDIRECT("Model!F"&amp;Pregnancy!E11)</f>
        <v>34</v>
      </c>
      <c r="G11" s="86">
        <f t="shared" ca="1" si="0"/>
        <v>34</v>
      </c>
    </row>
    <row r="12" spans="1:7">
      <c r="A12" s="71">
        <v>28</v>
      </c>
      <c r="B12" s="98">
        <f>Pregnancy.Calc!W12</f>
        <v>1.8788786783167311E-2</v>
      </c>
      <c r="C12" s="76">
        <f>Pregnancy.Calc!X12</f>
        <v>0.89</v>
      </c>
      <c r="D12" s="81">
        <f>LOG(1-Interface!$B$20)/LOG(1-B12)+0.5</f>
        <v>90.907008751953512</v>
      </c>
      <c r="E12" s="24">
        <f ca="1">CELL("row",INDEX(Model!S:S,MATCH(MAX(Model!S:S),Model!S:S,0)))</f>
        <v>35</v>
      </c>
      <c r="F12" s="83">
        <f ca="1">INDIRECT("Model!F"&amp;Pregnancy!E12)</f>
        <v>34</v>
      </c>
      <c r="G12" s="86">
        <f t="shared" ca="1" si="0"/>
        <v>34</v>
      </c>
    </row>
    <row r="13" spans="1:7">
      <c r="A13" s="71">
        <v>29</v>
      </c>
      <c r="B13" s="98">
        <f>Pregnancy.Calc!W13</f>
        <v>1.7629155810877501E-2</v>
      </c>
      <c r="C13" s="76">
        <f>Pregnancy.Calc!X13</f>
        <v>0.89</v>
      </c>
      <c r="D13" s="81">
        <f>LOG(1-Interface!$B$20)/LOG(1-B13)+0.5</f>
        <v>96.910651460205472</v>
      </c>
      <c r="E13" s="24">
        <f ca="1">CELL("row",INDEX(Model!S:S,MATCH(MAX(Model!S:S),Model!S:S,0)))</f>
        <v>35</v>
      </c>
      <c r="F13" s="83">
        <f ca="1">INDIRECT("Model!F"&amp;Pregnancy!E13)</f>
        <v>34</v>
      </c>
      <c r="G13" s="86">
        <f t="shared" ca="1" si="0"/>
        <v>34</v>
      </c>
    </row>
    <row r="14" spans="1:7">
      <c r="A14" s="71">
        <v>30</v>
      </c>
      <c r="B14" s="98">
        <f>Pregnancy.Calc!W14</f>
        <v>1.6561012269405095E-2</v>
      </c>
      <c r="C14" s="76">
        <f>Pregnancy.Calc!X14</f>
        <v>0.85499999999999998</v>
      </c>
      <c r="D14" s="81">
        <f>LOG(1-Interface!$B$20)/LOG(1-B14)+0.5</f>
        <v>103.18451473906453</v>
      </c>
      <c r="E14" s="24">
        <f ca="1">CELL("row",INDEX(Model!S:S,MATCH(MAX(Model!S:S),Model!S:S,0)))</f>
        <v>35</v>
      </c>
      <c r="F14" s="83">
        <f ca="1">INDIRECT("Model!F"&amp;Pregnancy!E14)</f>
        <v>34</v>
      </c>
      <c r="G14" s="86">
        <f t="shared" ca="1" si="0"/>
        <v>34</v>
      </c>
    </row>
    <row r="15" spans="1:7">
      <c r="A15" s="71">
        <v>31</v>
      </c>
      <c r="B15" s="98">
        <f>Pregnancy.Calc!W15</f>
        <v>1.5570452536299481E-2</v>
      </c>
      <c r="C15" s="76">
        <f>Pregnancy.Calc!X15</f>
        <v>0.82</v>
      </c>
      <c r="D15" s="81">
        <f>LOG(1-Interface!$B$20)/LOG(1-B15)+0.5</f>
        <v>109.77193114351866</v>
      </c>
      <c r="E15" s="24">
        <f ca="1">CELL("row",INDEX(Model!S:S,MATCH(MAX(Model!S:S),Model!S:S,0)))</f>
        <v>35</v>
      </c>
      <c r="F15" s="83">
        <f ca="1">INDIRECT("Model!F"&amp;Pregnancy!E15)</f>
        <v>34</v>
      </c>
      <c r="G15" s="86">
        <f t="shared" ca="1" si="0"/>
        <v>34</v>
      </c>
    </row>
    <row r="16" spans="1:7">
      <c r="A16" s="71">
        <v>32</v>
      </c>
      <c r="B16" s="98">
        <f>Pregnancy.Calc!W16</f>
        <v>1.4646553613987387E-2</v>
      </c>
      <c r="C16" s="76">
        <f>Pregnancy.Calc!X16</f>
        <v>0.78500000000000003</v>
      </c>
      <c r="D16" s="81">
        <f>LOG(1-Interface!$B$20)/LOG(1-B16)+0.5</f>
        <v>116.71912210188016</v>
      </c>
      <c r="E16" s="24">
        <f ca="1">CELL("row",INDEX(Model!S:S,MATCH(MAX(Model!S:S),Model!S:S,0)))</f>
        <v>35</v>
      </c>
      <c r="F16" s="83">
        <f ca="1">INDIRECT("Model!F"&amp;Pregnancy!E16)</f>
        <v>34</v>
      </c>
      <c r="G16" s="86">
        <f t="shared" ca="1" si="0"/>
        <v>34</v>
      </c>
    </row>
    <row r="17" spans="1:7">
      <c r="A17" s="71">
        <v>33</v>
      </c>
      <c r="B17" s="98">
        <f>Pregnancy.Calc!W17</f>
        <v>1.3780573485517774E-2</v>
      </c>
      <c r="C17" s="76">
        <f>Pregnancy.Calc!X17</f>
        <v>0.75</v>
      </c>
      <c r="D17" s="81">
        <f>LOG(1-Interface!$B$20)/LOG(1-B17)+0.5</f>
        <v>124.07654426269964</v>
      </c>
      <c r="E17" s="24">
        <f ca="1">CELL("row",INDEX(Model!S:S,MATCH(MAX(Model!S:S),Model!S:S,0)))</f>
        <v>35</v>
      </c>
      <c r="F17" s="83">
        <f ca="1">INDIRECT("Model!F"&amp;Pregnancy!E17)</f>
        <v>34</v>
      </c>
      <c r="G17" s="86">
        <f t="shared" ca="1" si="0"/>
        <v>34</v>
      </c>
    </row>
    <row r="18" spans="1:7">
      <c r="A18" s="71">
        <v>34</v>
      </c>
      <c r="B18" s="98">
        <f>Pregnancy.Calc!W18</f>
        <v>1.2965403601659745E-2</v>
      </c>
      <c r="C18" s="76">
        <f>Pregnancy.Calc!X18</f>
        <v>0.71499999999999997</v>
      </c>
      <c r="D18" s="81">
        <f>LOG(1-Interface!$B$20)/LOG(1-B18)+0.5</f>
        <v>131.90028454572868</v>
      </c>
      <c r="E18" s="24">
        <f ca="1">CELL("row",INDEX(Model!S:S,MATCH(MAX(Model!S:S),Model!S:S,0)))</f>
        <v>35</v>
      </c>
      <c r="F18" s="83">
        <f ca="1">INDIRECT("Model!F"&amp;Pregnancy!E18)</f>
        <v>34</v>
      </c>
      <c r="G18" s="86">
        <f t="shared" ca="1" si="0"/>
        <v>34</v>
      </c>
    </row>
    <row r="19" spans="1:7">
      <c r="A19" s="71">
        <v>35</v>
      </c>
      <c r="B19" s="98">
        <f>Pregnancy.Calc!W19</f>
        <v>1.2195183568346923E-2</v>
      </c>
      <c r="C19" s="76">
        <f>Pregnancy.Calc!X19</f>
        <v>0.68</v>
      </c>
      <c r="D19" s="81">
        <f>LOG(1-Interface!$B$20)/LOG(1-B19)+0.5</f>
        <v>140.25360802969405</v>
      </c>
      <c r="E19" s="24">
        <f ca="1">CELL("row",INDEX(Model!S:S,MATCH(MAX(Model!S:S),Model!S:S,0)))</f>
        <v>35</v>
      </c>
      <c r="F19" s="83">
        <f ca="1">INDIRECT("Model!F"&amp;Pregnancy!E19)</f>
        <v>34</v>
      </c>
      <c r="G19" s="86">
        <f t="shared" ca="1" si="0"/>
        <v>34</v>
      </c>
    </row>
    <row r="20" spans="1:7">
      <c r="A20" s="71">
        <v>36</v>
      </c>
      <c r="B20" s="98">
        <f>Pregnancy.Calc!W20</f>
        <v>1.1465023479918901E-2</v>
      </c>
      <c r="C20" s="76">
        <f>Pregnancy.Calc!X20</f>
        <v>0.64500000000000002</v>
      </c>
      <c r="D20" s="81">
        <f>LOG(1-Interface!$B$20)/LOG(1-B20)+0.5</f>
        <v>149.20876075971077</v>
      </c>
      <c r="E20" s="24">
        <f ca="1">CELL("row",INDEX(Model!S:S,MATCH(MAX(Model!S:S),Model!S:S,0)))</f>
        <v>35</v>
      </c>
      <c r="F20" s="83">
        <f ca="1">INDIRECT("Model!F"&amp;Pregnancy!E20)</f>
        <v>34</v>
      </c>
      <c r="G20" s="86">
        <f t="shared" ca="1" si="0"/>
        <v>34</v>
      </c>
    </row>
    <row r="21" spans="1:7">
      <c r="A21" s="71">
        <v>37</v>
      </c>
      <c r="B21" s="98">
        <f>Pregnancy.Calc!W21</f>
        <v>1.0770799645204387E-2</v>
      </c>
      <c r="C21" s="76">
        <f>Pregnancy.Calc!X21</f>
        <v>0.61</v>
      </c>
      <c r="D21" s="81">
        <f>LOG(1-Interface!$B$20)/LOG(1-B21)+0.5</f>
        <v>158.8491422549323</v>
      </c>
      <c r="E21" s="24">
        <f ca="1">CELL("row",INDEX(Model!S:S,MATCH(MAX(Model!S:S),Model!S:S,0)))</f>
        <v>35</v>
      </c>
      <c r="F21" s="83">
        <f ca="1">INDIRECT("Model!F"&amp;Pregnancy!E21)</f>
        <v>34</v>
      </c>
      <c r="G21" s="86">
        <f t="shared" ca="1" si="0"/>
        <v>34</v>
      </c>
    </row>
    <row r="22" spans="1:7">
      <c r="A22" s="71">
        <v>38</v>
      </c>
      <c r="B22" s="98">
        <f>Pregnancy.Calc!W22</f>
        <v>1.0109001547482213E-2</v>
      </c>
      <c r="C22" s="76">
        <f>Pregnancy.Calc!X22</f>
        <v>0.57499999999999996</v>
      </c>
      <c r="D22" s="81">
        <f>LOG(1-Interface!$B$20)/LOG(1-B22)+0.5</f>
        <v>169.27198926104148</v>
      </c>
      <c r="E22" s="24">
        <f ca="1">CELL("row",INDEX(Model!S:S,MATCH(MAX(Model!S:S),Model!S:S,0)))</f>
        <v>35</v>
      </c>
      <c r="F22" s="83">
        <f ca="1">INDIRECT("Model!F"&amp;Pregnancy!E22)</f>
        <v>34</v>
      </c>
      <c r="G22" s="86">
        <f t="shared" ca="1" si="0"/>
        <v>34</v>
      </c>
    </row>
    <row r="23" spans="1:7">
      <c r="A23" s="71">
        <v>39</v>
      </c>
      <c r="B23" s="98">
        <f>Pregnancy.Calc!W23</f>
        <v>9.4766153222484526E-3</v>
      </c>
      <c r="C23" s="76">
        <f>Pregnancy.Calc!X23</f>
        <v>0.54</v>
      </c>
      <c r="D23" s="81">
        <f>LOG(1-Interface!$B$20)/LOG(1-B23)+0.5</f>
        <v>180.59175565888572</v>
      </c>
      <c r="E23" s="24">
        <f ca="1">CELL("row",INDEX(Model!S:S,MATCH(MAX(Model!S:S),Model!S:S,0)))</f>
        <v>35</v>
      </c>
      <c r="F23" s="83">
        <f ca="1">INDIRECT("Model!F"&amp;Pregnancy!E23)</f>
        <v>34</v>
      </c>
      <c r="G23" s="86">
        <f t="shared" ca="1" si="0"/>
        <v>34</v>
      </c>
    </row>
    <row r="24" spans="1:7">
      <c r="A24" s="71">
        <v>40</v>
      </c>
      <c r="B24" s="98">
        <f>Pregnancy.Calc!W24</f>
        <v>8.8710337502010961E-3</v>
      </c>
      <c r="C24" s="76">
        <f>Pregnancy.Calc!X24</f>
        <v>0.505</v>
      </c>
      <c r="D24" s="81">
        <f>LOG(1-Interface!$B$20)/LOG(1-B24)+0.5</f>
        <v>192.94443918238508</v>
      </c>
      <c r="E24" s="24">
        <f ca="1">CELL("row",INDEX(Model!S:S,MATCH(MAX(Model!S:S),Model!S:S,0)))</f>
        <v>35</v>
      </c>
      <c r="F24" s="83">
        <f ca="1">INDIRECT("Model!F"&amp;Pregnancy!E24)</f>
        <v>34</v>
      </c>
      <c r="G24" s="86">
        <f t="shared" ca="1" si="0"/>
        <v>34</v>
      </c>
    </row>
    <row r="25" spans="1:7">
      <c r="A25" s="71">
        <v>41</v>
      </c>
      <c r="B25" s="98">
        <f>Pregnancy.Calc!W25</f>
        <v>8.2899858245492428E-3</v>
      </c>
      <c r="C25" s="76">
        <f>Pregnancy.Calc!X25</f>
        <v>0.47</v>
      </c>
      <c r="D25" s="81">
        <f>LOG(1-Interface!$B$20)/LOG(1-B25)+0.5</f>
        <v>206.49320377024023</v>
      </c>
      <c r="E25" s="24">
        <f ca="1">CELL("row",INDEX(Model!S:S,MATCH(MAX(Model!S:S),Model!S:S,0)))</f>
        <v>35</v>
      </c>
      <c r="F25" s="83">
        <f ca="1">INDIRECT("Model!F"&amp;Pregnancy!E25)</f>
        <v>34</v>
      </c>
      <c r="G25" s="86">
        <f t="shared" ca="1" si="0"/>
        <v>34</v>
      </c>
    </row>
    <row r="26" spans="1:7">
      <c r="A26" s="71">
        <v>42</v>
      </c>
      <c r="B26" s="98">
        <f>Pregnancy.Calc!W26</f>
        <v>7.7314809860949962E-3</v>
      </c>
      <c r="C26" s="76">
        <f>Pregnancy.Calc!X26</f>
        <v>0.435</v>
      </c>
      <c r="D26" s="81">
        <f>LOG(1-Interface!$B$20)/LOG(1-B26)+0.5</f>
        <v>221.43579358286615</v>
      </c>
      <c r="E26" s="24">
        <f ca="1">CELL("row",INDEX(Model!S:S,MATCH(MAX(Model!S:S),Model!S:S,0)))</f>
        <v>35</v>
      </c>
      <c r="F26" s="83">
        <f ca="1">INDIRECT("Model!F"&amp;Pregnancy!E26)</f>
        <v>34</v>
      </c>
      <c r="G26" s="86">
        <f t="shared" ca="1" si="0"/>
        <v>34</v>
      </c>
    </row>
    <row r="27" spans="1:7">
      <c r="A27" s="71">
        <v>43</v>
      </c>
      <c r="B27" s="98">
        <f>Pregnancy.Calc!W27</f>
        <v>7.1937644990620981E-3</v>
      </c>
      <c r="C27" s="76">
        <f>Pregnancy.Calc!X27</f>
        <v>0.4</v>
      </c>
      <c r="D27" s="81">
        <f>LOG(1-Interface!$B$20)/LOG(1-B27)+0.5</f>
        <v>238.0144583148965</v>
      </c>
      <c r="E27" s="24">
        <f ca="1">CELL("row",INDEX(Model!S:S,MATCH(MAX(Model!S:S),Model!S:S,0)))</f>
        <v>35</v>
      </c>
      <c r="F27" s="83">
        <f ca="1">INDIRECT("Model!F"&amp;Pregnancy!E27)</f>
        <v>34</v>
      </c>
      <c r="G27" s="86">
        <f t="shared" ca="1" si="0"/>
        <v>34</v>
      </c>
    </row>
    <row r="28" spans="1:7">
      <c r="A28" s="71">
        <v>44</v>
      </c>
      <c r="B28" s="98">
        <f>Pregnancy.Calc!W28</f>
        <v>6.6752813935105166E-3</v>
      </c>
      <c r="C28" s="76">
        <f>Pregnancy.Calc!X28</f>
        <v>0.36499999999999999</v>
      </c>
      <c r="D28" s="81">
        <f>LOG(1-Interface!$B$20)/LOG(1-B28)+0.5</f>
        <v>256.52945515682592</v>
      </c>
      <c r="E28" s="24">
        <f ca="1">CELL("row",INDEX(Model!S:S,MATCH(MAX(Model!S:S),Model!S:S,0)))</f>
        <v>35</v>
      </c>
      <c r="F28" s="83">
        <f ca="1">INDIRECT("Model!F"&amp;Pregnancy!E28)</f>
        <v>34</v>
      </c>
      <c r="G28" s="86">
        <f t="shared" ca="1" si="0"/>
        <v>34</v>
      </c>
    </row>
    <row r="29" spans="1:7">
      <c r="A29" s="71">
        <v>45</v>
      </c>
      <c r="B29" s="98">
        <f>Pregnancy.Calc!W29</f>
        <v>6.1746470694357498E-3</v>
      </c>
      <c r="C29" s="76">
        <f>Pregnancy.Calc!X29</f>
        <v>0.33306249999999998</v>
      </c>
      <c r="D29" s="81">
        <f>LOG(1-Interface!$B$20)/LOG(1-B29)+0.5</f>
        <v>277.3577387822728</v>
      </c>
      <c r="E29" s="24">
        <f ca="1">CELL("row",INDEX(Model!S:S,MATCH(MAX(Model!S:S),Model!S:S,0)))</f>
        <v>35</v>
      </c>
      <c r="F29" s="83">
        <f ca="1">INDIRECT("Model!F"&amp;Pregnancy!E29)</f>
        <v>34</v>
      </c>
      <c r="G29" s="86">
        <f t="shared" ca="1" si="0"/>
        <v>34</v>
      </c>
    </row>
    <row r="30" spans="1:7">
      <c r="A30" s="71">
        <v>46</v>
      </c>
      <c r="B30" s="98">
        <f>Pregnancy.Calc!W30</f>
        <v>5.6906231349449681E-3</v>
      </c>
      <c r="C30" s="76">
        <f>Pregnancy.Calc!X30</f>
        <v>0.30391953124999999</v>
      </c>
      <c r="D30" s="81">
        <f>LOG(1-Interface!$B$20)/LOG(1-B30)+0.5</f>
        <v>300.97933433160097</v>
      </c>
      <c r="E30" s="24">
        <f ca="1">CELL("row",INDEX(Model!S:S,MATCH(MAX(Model!S:S),Model!S:S,0)))</f>
        <v>35</v>
      </c>
      <c r="F30" s="83">
        <f ca="1">INDIRECT("Model!F"&amp;Pregnancy!E30)</f>
        <v>34</v>
      </c>
      <c r="G30" s="86">
        <f t="shared" ca="1" si="0"/>
        <v>34</v>
      </c>
    </row>
    <row r="31" spans="1:7">
      <c r="A31" s="71">
        <v>47</v>
      </c>
      <c r="B31" s="98">
        <f>Pregnancy.Calc!W31</f>
        <v>5.2220973960847572E-3</v>
      </c>
      <c r="C31" s="76">
        <f>Pregnancy.Calc!X31</f>
        <v>0.27732657226562496</v>
      </c>
      <c r="D31" s="81">
        <f>LOG(1-Interface!$B$20)/LOG(1-B31)+0.5</f>
        <v>328.01535810876152</v>
      </c>
      <c r="E31" s="24">
        <f ca="1">CELL("row",INDEX(Model!S:S,MATCH(MAX(Model!S:S),Model!S:S,0)))</f>
        <v>35</v>
      </c>
      <c r="F31" s="83">
        <f ca="1">INDIRECT("Model!F"&amp;Pregnancy!E31)</f>
        <v>34</v>
      </c>
      <c r="G31" s="86">
        <f t="shared" ca="1" si="0"/>
        <v>34</v>
      </c>
    </row>
    <row r="32" spans="1:7">
      <c r="A32" s="71">
        <v>48</v>
      </c>
      <c r="B32" s="98">
        <f>Pregnancy.Calc!W32</f>
        <v>4.7680671687667835E-3</v>
      </c>
      <c r="C32" s="76">
        <f>Pregnancy.Calc!X32</f>
        <v>0.25306049719238277</v>
      </c>
      <c r="D32" s="81">
        <f>LOG(1-Interface!$B$20)/LOG(1-B32)+0.5</f>
        <v>359.28417270089921</v>
      </c>
      <c r="E32" s="24">
        <f ca="1">CELL("row",INDEX(Model!S:S,MATCH(MAX(Model!S:S),Model!S:S,0)))</f>
        <v>35</v>
      </c>
      <c r="F32" s="83">
        <f ca="1">INDIRECT("Model!F"&amp;Pregnancy!E32)</f>
        <v>34</v>
      </c>
      <c r="G32" s="86">
        <f t="shared" ca="1" si="0"/>
        <v>34</v>
      </c>
    </row>
    <row r="33" spans="1:7">
      <c r="A33" s="71">
        <v>49</v>
      </c>
      <c r="B33" s="98">
        <f>Pregnancy.Calc!W33</f>
        <v>4.3276252706962266E-3</v>
      </c>
      <c r="C33" s="76">
        <f>Pregnancy.Calc!X33</f>
        <v>0.23091770368804929</v>
      </c>
      <c r="D33" s="81">
        <f>LOG(1-Interface!$B$20)/LOG(1-B33)+0.5</f>
        <v>395.88664659535004</v>
      </c>
      <c r="E33" s="24">
        <f ca="1">CELL("row",INDEX(Model!S:S,MATCH(MAX(Model!S:S),Model!S:S,0)))</f>
        <v>35</v>
      </c>
      <c r="F33" s="83">
        <f ca="1">INDIRECT("Model!F"&amp;Pregnancy!E33)</f>
        <v>34</v>
      </c>
      <c r="G33" s="86">
        <f t="shared" ca="1" si="0"/>
        <v>34</v>
      </c>
    </row>
    <row r="34" spans="1:7">
      <c r="A34" s="35"/>
      <c r="B34" s="99"/>
      <c r="C34" s="36"/>
    </row>
  </sheetData>
  <phoneticPr fontId="10" type="noConversion"/>
  <pageMargins left="0.75" right="0.75" top="1" bottom="1" header="0.5" footer="0.5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5"/>
  <sheetViews>
    <sheetView topLeftCell="V1" zoomScale="150" zoomScaleNormal="150" zoomScalePageLayoutView="150" workbookViewId="0">
      <selection activeCell="X5" sqref="X5"/>
    </sheetView>
  </sheetViews>
  <sheetFormatPr baseColWidth="10" defaultRowHeight="12" x14ac:dyDescent="0"/>
  <cols>
    <col min="2" max="2" width="21.83203125" customWidth="1"/>
    <col min="3" max="3" width="21.6640625" customWidth="1"/>
    <col min="5" max="5" width="67.83203125" customWidth="1"/>
    <col min="7" max="8" width="21.5" customWidth="1"/>
    <col min="9" max="9" width="21.6640625" customWidth="1"/>
    <col min="10" max="10" width="19.1640625" customWidth="1"/>
    <col min="12" max="12" width="28" customWidth="1"/>
    <col min="19" max="20" width="21.5" customWidth="1"/>
    <col min="21" max="21" width="21.6640625" customWidth="1"/>
    <col min="22" max="22" width="19.1640625" style="95" customWidth="1"/>
    <col min="23" max="23" width="20.33203125" style="95" customWidth="1"/>
    <col min="24" max="24" width="10.83203125" customWidth="1"/>
    <col min="25" max="25" width="30.5" style="95" customWidth="1"/>
  </cols>
  <sheetData>
    <row r="1" spans="1:25" ht="15">
      <c r="A1" s="96" t="s">
        <v>48</v>
      </c>
      <c r="B1" s="96"/>
      <c r="C1" s="96"/>
      <c r="E1" s="60" t="s">
        <v>49</v>
      </c>
      <c r="F1" s="61" t="s">
        <v>34</v>
      </c>
      <c r="G1" s="62" t="s">
        <v>50</v>
      </c>
      <c r="H1" s="62" t="s">
        <v>51</v>
      </c>
      <c r="I1" s="62" t="s">
        <v>52</v>
      </c>
      <c r="J1" s="62" t="s">
        <v>53</v>
      </c>
      <c r="K1" s="62" t="s">
        <v>54</v>
      </c>
      <c r="L1" s="62" t="s">
        <v>55</v>
      </c>
      <c r="N1" s="63" t="s">
        <v>56</v>
      </c>
      <c r="O1" s="63" t="s">
        <v>57</v>
      </c>
      <c r="P1" s="64"/>
      <c r="Q1" s="64"/>
      <c r="R1" s="65" t="s">
        <v>34</v>
      </c>
      <c r="S1" s="66" t="s">
        <v>50</v>
      </c>
      <c r="T1" s="66" t="s">
        <v>51</v>
      </c>
      <c r="U1" s="66" t="s">
        <v>52</v>
      </c>
      <c r="V1" s="93" t="s">
        <v>53</v>
      </c>
      <c r="W1" s="93" t="s">
        <v>87</v>
      </c>
      <c r="X1" s="66" t="s">
        <v>54</v>
      </c>
      <c r="Y1" s="93" t="s">
        <v>88</v>
      </c>
    </row>
    <row r="2" spans="1:25" ht="62" thickBot="1">
      <c r="A2" s="28" t="s">
        <v>34</v>
      </c>
      <c r="B2" s="28" t="s">
        <v>35</v>
      </c>
      <c r="C2" s="29" t="s">
        <v>36</v>
      </c>
      <c r="E2" s="67" t="s">
        <v>58</v>
      </c>
      <c r="F2" s="68">
        <v>18</v>
      </c>
      <c r="G2" s="69">
        <v>0.88</v>
      </c>
      <c r="H2" s="69">
        <f>1-G2</f>
        <v>0.12</v>
      </c>
      <c r="I2" s="69">
        <f>H2^(1/12)</f>
        <v>0.83804068629273387</v>
      </c>
      <c r="J2" s="69">
        <f>1-I2</f>
        <v>0.16195931370726613</v>
      </c>
      <c r="K2" s="70">
        <v>0.89</v>
      </c>
      <c r="L2" s="69">
        <f>K2*J2</f>
        <v>0.14414378919946685</v>
      </c>
      <c r="N2" s="64">
        <v>21.5</v>
      </c>
      <c r="O2" s="64">
        <v>0.88</v>
      </c>
      <c r="P2" s="64"/>
      <c r="Q2" s="64"/>
      <c r="R2" s="71">
        <v>18</v>
      </c>
      <c r="S2" s="72">
        <f>1.416934-0.023392*R2</f>
        <v>0.99587799999999993</v>
      </c>
      <c r="T2" s="72">
        <f>1-S2</f>
        <v>4.1220000000000701E-3</v>
      </c>
      <c r="U2" s="72">
        <f>T2^(1/12)</f>
        <v>0.63278911349897149</v>
      </c>
      <c r="V2" s="94">
        <f>1-U2</f>
        <v>0.36721088650102851</v>
      </c>
      <c r="W2" s="94">
        <f>V2/6</f>
        <v>6.1201814416838085E-2</v>
      </c>
      <c r="X2" s="73">
        <v>0.89</v>
      </c>
      <c r="Y2" s="94">
        <f>X2*V2</f>
        <v>0.3268176889859154</v>
      </c>
    </row>
    <row r="3" spans="1:25">
      <c r="A3" s="26">
        <v>18</v>
      </c>
      <c r="B3" s="26">
        <v>0.75</v>
      </c>
      <c r="C3" s="27">
        <v>0.89</v>
      </c>
      <c r="E3" s="74" t="s">
        <v>59</v>
      </c>
      <c r="F3" s="68">
        <v>19</v>
      </c>
      <c r="G3" s="69">
        <v>0.88</v>
      </c>
      <c r="H3" s="69">
        <f t="shared" ref="H3:H33" si="0">1-G3</f>
        <v>0.12</v>
      </c>
      <c r="I3" s="69">
        <f t="shared" ref="I3:I33" si="1">H3^(1/12)</f>
        <v>0.83804068629273387</v>
      </c>
      <c r="J3" s="69">
        <f t="shared" ref="J3:J33" si="2">1-I3</f>
        <v>0.16195931370726613</v>
      </c>
      <c r="K3" s="70">
        <v>0.89</v>
      </c>
      <c r="L3" s="69">
        <f t="shared" ref="L3:L33" si="3">K3*J3</f>
        <v>0.14414378919946685</v>
      </c>
      <c r="N3" s="64">
        <v>28</v>
      </c>
      <c r="O3" s="64">
        <v>0.8</v>
      </c>
      <c r="P3" s="64"/>
      <c r="Q3" s="64"/>
      <c r="R3" s="71">
        <v>19</v>
      </c>
      <c r="S3" s="72">
        <f t="shared" ref="S3:S33" si="4">1.416934-0.023392*R3</f>
        <v>0.97248599999999996</v>
      </c>
      <c r="T3" s="72">
        <f t="shared" ref="T3:T33" si="5">1-S3</f>
        <v>2.7514000000000038E-2</v>
      </c>
      <c r="U3" s="72">
        <f t="shared" ref="U3:U33" si="6">T3^(1/12)</f>
        <v>0.74124676513640864</v>
      </c>
      <c r="V3" s="94">
        <f t="shared" ref="V3:V33" si="7">1-U3</f>
        <v>0.25875323486359136</v>
      </c>
      <c r="W3" s="94">
        <f t="shared" ref="W3:W33" si="8">V3/6</f>
        <v>4.3125539143931892E-2</v>
      </c>
      <c r="X3" s="73">
        <v>0.89</v>
      </c>
      <c r="Y3" s="94">
        <f t="shared" ref="Y3:Y33" si="9">X3*V3</f>
        <v>0.23029037902859631</v>
      </c>
    </row>
    <row r="4" spans="1:25">
      <c r="A4" s="24">
        <v>19</v>
      </c>
      <c r="B4" s="24">
        <v>0.75</v>
      </c>
      <c r="C4" s="25">
        <v>0.89</v>
      </c>
      <c r="E4" s="74" t="s">
        <v>60</v>
      </c>
      <c r="F4" s="68">
        <v>20</v>
      </c>
      <c r="G4" s="69">
        <v>0.88</v>
      </c>
      <c r="H4" s="69">
        <f t="shared" si="0"/>
        <v>0.12</v>
      </c>
      <c r="I4" s="69">
        <f t="shared" si="1"/>
        <v>0.83804068629273387</v>
      </c>
      <c r="J4" s="69">
        <f t="shared" si="2"/>
        <v>0.16195931370726613</v>
      </c>
      <c r="K4" s="70">
        <v>0.89</v>
      </c>
      <c r="L4" s="69">
        <f t="shared" si="3"/>
        <v>0.14414378919946685</v>
      </c>
      <c r="N4" s="64">
        <v>33</v>
      </c>
      <c r="O4" s="64">
        <v>0.65</v>
      </c>
      <c r="P4" s="64"/>
      <c r="Q4" s="64"/>
      <c r="R4" s="71">
        <v>20</v>
      </c>
      <c r="S4" s="72">
        <f t="shared" si="4"/>
        <v>0.94909399999999988</v>
      </c>
      <c r="T4" s="72">
        <f t="shared" si="5"/>
        <v>5.0906000000000118E-2</v>
      </c>
      <c r="U4" s="72">
        <f t="shared" si="6"/>
        <v>0.78024455711168172</v>
      </c>
      <c r="V4" s="94">
        <f t="shared" si="7"/>
        <v>0.21975544288831828</v>
      </c>
      <c r="W4" s="94">
        <f t="shared" si="8"/>
        <v>3.6625907148053048E-2</v>
      </c>
      <c r="X4" s="73">
        <v>0.89</v>
      </c>
      <c r="Y4" s="94">
        <f t="shared" si="9"/>
        <v>0.19558234417060327</v>
      </c>
    </row>
    <row r="5" spans="1:25">
      <c r="A5" s="24">
        <v>20</v>
      </c>
      <c r="B5" s="24">
        <v>0.75</v>
      </c>
      <c r="C5" s="25">
        <v>0.89</v>
      </c>
      <c r="E5" s="74" t="s">
        <v>61</v>
      </c>
      <c r="F5" s="68">
        <v>21</v>
      </c>
      <c r="G5" s="69">
        <v>0.88</v>
      </c>
      <c r="H5" s="69">
        <f t="shared" si="0"/>
        <v>0.12</v>
      </c>
      <c r="I5" s="69">
        <f t="shared" si="1"/>
        <v>0.83804068629273387</v>
      </c>
      <c r="J5" s="69">
        <f t="shared" si="2"/>
        <v>0.16195931370726613</v>
      </c>
      <c r="K5" s="70">
        <v>0.89</v>
      </c>
      <c r="L5" s="69">
        <f t="shared" si="3"/>
        <v>0.14414378919946685</v>
      </c>
      <c r="N5" s="64">
        <v>38</v>
      </c>
      <c r="O5" s="64">
        <v>0.55000000000000004</v>
      </c>
      <c r="P5" s="64"/>
      <c r="Q5" s="64"/>
      <c r="R5" s="71">
        <v>21</v>
      </c>
      <c r="S5" s="72">
        <f t="shared" si="4"/>
        <v>0.92570199999999991</v>
      </c>
      <c r="T5" s="72">
        <f t="shared" si="5"/>
        <v>7.4298000000000086E-2</v>
      </c>
      <c r="U5" s="72">
        <f t="shared" si="6"/>
        <v>0.80522038369986237</v>
      </c>
      <c r="V5" s="94">
        <f t="shared" si="7"/>
        <v>0.19477961630013763</v>
      </c>
      <c r="W5" s="94">
        <f t="shared" si="8"/>
        <v>3.2463269383356273E-2</v>
      </c>
      <c r="X5" s="73">
        <v>0.89</v>
      </c>
      <c r="Y5" s="94">
        <f t="shared" si="9"/>
        <v>0.17335385850712248</v>
      </c>
    </row>
    <row r="6" spans="1:25">
      <c r="A6" s="24">
        <v>21</v>
      </c>
      <c r="B6" s="24">
        <v>0.75</v>
      </c>
      <c r="C6" s="25">
        <v>0.89</v>
      </c>
      <c r="F6" s="68">
        <v>22</v>
      </c>
      <c r="G6" s="69">
        <v>0.88</v>
      </c>
      <c r="H6" s="69">
        <f t="shared" si="0"/>
        <v>0.12</v>
      </c>
      <c r="I6" s="69">
        <f t="shared" si="1"/>
        <v>0.83804068629273387</v>
      </c>
      <c r="J6" s="69">
        <f t="shared" si="2"/>
        <v>0.16195931370726613</v>
      </c>
      <c r="K6" s="70">
        <v>0.89</v>
      </c>
      <c r="L6" s="69">
        <f t="shared" si="3"/>
        <v>0.14414378919946685</v>
      </c>
      <c r="N6" s="64">
        <v>43</v>
      </c>
      <c r="O6" s="64">
        <v>0.38</v>
      </c>
      <c r="P6" s="64"/>
      <c r="Q6" s="64"/>
      <c r="R6" s="71">
        <v>22</v>
      </c>
      <c r="S6" s="72">
        <f t="shared" si="4"/>
        <v>0.90230999999999995</v>
      </c>
      <c r="T6" s="72">
        <f t="shared" si="5"/>
        <v>9.7690000000000055E-2</v>
      </c>
      <c r="U6" s="72">
        <f t="shared" si="6"/>
        <v>0.82379820716907226</v>
      </c>
      <c r="V6" s="94">
        <f t="shared" si="7"/>
        <v>0.17620179283092774</v>
      </c>
      <c r="W6" s="94">
        <f t="shared" si="8"/>
        <v>2.9366965471821289E-2</v>
      </c>
      <c r="X6" s="73">
        <v>0.89</v>
      </c>
      <c r="Y6" s="94">
        <f t="shared" si="9"/>
        <v>0.15681959561952569</v>
      </c>
    </row>
    <row r="7" spans="1:25">
      <c r="A7" s="24">
        <v>22</v>
      </c>
      <c r="B7" s="24">
        <v>0.75</v>
      </c>
      <c r="C7" s="25">
        <v>0.89</v>
      </c>
      <c r="F7" s="68">
        <v>23</v>
      </c>
      <c r="G7" s="69">
        <v>0.88</v>
      </c>
      <c r="H7" s="69">
        <f t="shared" si="0"/>
        <v>0.12</v>
      </c>
      <c r="I7" s="69">
        <f t="shared" si="1"/>
        <v>0.83804068629273387</v>
      </c>
      <c r="J7" s="69">
        <f t="shared" si="2"/>
        <v>0.16195931370726613</v>
      </c>
      <c r="K7" s="70">
        <v>0.89</v>
      </c>
      <c r="L7" s="69">
        <f t="shared" si="3"/>
        <v>0.14414378919946685</v>
      </c>
      <c r="N7" s="64" t="s">
        <v>62</v>
      </c>
      <c r="O7" s="64"/>
      <c r="P7" s="64"/>
      <c r="Q7" s="64"/>
      <c r="R7" s="71">
        <v>23</v>
      </c>
      <c r="S7" s="72">
        <f t="shared" si="4"/>
        <v>0.87891799999999998</v>
      </c>
      <c r="T7" s="72">
        <f t="shared" si="5"/>
        <v>0.12108200000000002</v>
      </c>
      <c r="U7" s="72">
        <f t="shared" si="6"/>
        <v>0.83866779334610153</v>
      </c>
      <c r="V7" s="94">
        <f t="shared" si="7"/>
        <v>0.16133220665389847</v>
      </c>
      <c r="W7" s="94">
        <f t="shared" si="8"/>
        <v>2.6888701108983077E-2</v>
      </c>
      <c r="X7" s="73">
        <v>0.89</v>
      </c>
      <c r="Y7" s="94">
        <f t="shared" si="9"/>
        <v>0.14358566392196964</v>
      </c>
    </row>
    <row r="8" spans="1:25">
      <c r="A8" s="24">
        <v>23</v>
      </c>
      <c r="B8" s="24">
        <v>0.75</v>
      </c>
      <c r="C8" s="25">
        <v>0.89</v>
      </c>
      <c r="F8" s="68">
        <v>24</v>
      </c>
      <c r="G8" s="69">
        <v>0.88</v>
      </c>
      <c r="H8" s="69">
        <f t="shared" si="0"/>
        <v>0.12</v>
      </c>
      <c r="I8" s="69">
        <f t="shared" si="1"/>
        <v>0.83804068629273387</v>
      </c>
      <c r="J8" s="69">
        <f t="shared" si="2"/>
        <v>0.16195931370726613</v>
      </c>
      <c r="K8" s="70">
        <v>0.89</v>
      </c>
      <c r="L8" s="69">
        <f t="shared" si="3"/>
        <v>0.14414378919946685</v>
      </c>
      <c r="N8" s="64" t="s">
        <v>63</v>
      </c>
      <c r="O8" s="64"/>
      <c r="P8" s="64"/>
      <c r="Q8" s="64"/>
      <c r="R8" s="71">
        <v>24</v>
      </c>
      <c r="S8" s="72">
        <f t="shared" si="4"/>
        <v>0.8555259999999999</v>
      </c>
      <c r="T8" s="72">
        <f t="shared" si="5"/>
        <v>0.1444740000000001</v>
      </c>
      <c r="U8" s="72">
        <f t="shared" si="6"/>
        <v>0.85110369261711527</v>
      </c>
      <c r="V8" s="94">
        <f t="shared" si="7"/>
        <v>0.14889630738288473</v>
      </c>
      <c r="W8" s="94">
        <f t="shared" si="8"/>
        <v>2.4816051230480789E-2</v>
      </c>
      <c r="X8" s="73">
        <v>0.89</v>
      </c>
      <c r="Y8" s="94">
        <f t="shared" si="9"/>
        <v>0.13251771357076741</v>
      </c>
    </row>
    <row r="9" spans="1:25">
      <c r="A9" s="24">
        <v>24</v>
      </c>
      <c r="B9" s="24">
        <v>0.75</v>
      </c>
      <c r="C9" s="25">
        <v>0.89</v>
      </c>
      <c r="F9" s="68">
        <v>25</v>
      </c>
      <c r="G9" s="69">
        <v>0.88</v>
      </c>
      <c r="H9" s="69">
        <f t="shared" si="0"/>
        <v>0.12</v>
      </c>
      <c r="I9" s="69">
        <f t="shared" si="1"/>
        <v>0.83804068629273387</v>
      </c>
      <c r="J9" s="69">
        <f t="shared" si="2"/>
        <v>0.16195931370726613</v>
      </c>
      <c r="K9" s="70">
        <v>0.89</v>
      </c>
      <c r="L9" s="69">
        <f t="shared" si="3"/>
        <v>0.14414378919946685</v>
      </c>
      <c r="N9" s="64" t="s">
        <v>64</v>
      </c>
      <c r="O9" s="64"/>
      <c r="P9" s="64"/>
      <c r="Q9" s="64"/>
      <c r="R9" s="71">
        <v>25</v>
      </c>
      <c r="S9" s="72">
        <f t="shared" si="4"/>
        <v>0.83213399999999993</v>
      </c>
      <c r="T9" s="72">
        <f t="shared" si="5"/>
        <v>0.16786600000000007</v>
      </c>
      <c r="U9" s="72">
        <f t="shared" si="6"/>
        <v>0.86181403371652254</v>
      </c>
      <c r="V9" s="94">
        <f t="shared" si="7"/>
        <v>0.13818596628347746</v>
      </c>
      <c r="W9" s="94">
        <f t="shared" si="8"/>
        <v>2.3030994380579577E-2</v>
      </c>
      <c r="X9" s="73">
        <v>0.89</v>
      </c>
      <c r="Y9" s="94">
        <f t="shared" si="9"/>
        <v>0.12298550999229493</v>
      </c>
    </row>
    <row r="10" spans="1:25">
      <c r="A10" s="24">
        <v>25</v>
      </c>
      <c r="B10" s="24">
        <v>0.72</v>
      </c>
      <c r="C10" s="25">
        <v>0.89</v>
      </c>
      <c r="F10" s="68">
        <v>26</v>
      </c>
      <c r="G10" s="69">
        <v>0.8</v>
      </c>
      <c r="H10" s="69">
        <f t="shared" si="0"/>
        <v>0.19999999999999996</v>
      </c>
      <c r="I10" s="69">
        <f t="shared" si="1"/>
        <v>0.87448527222116779</v>
      </c>
      <c r="J10" s="69">
        <f t="shared" si="2"/>
        <v>0.12551472777883221</v>
      </c>
      <c r="K10" s="70">
        <v>0.89</v>
      </c>
      <c r="L10" s="69">
        <f t="shared" si="3"/>
        <v>0.11170810772316067</v>
      </c>
      <c r="N10" s="64" t="s">
        <v>65</v>
      </c>
      <c r="O10" s="64"/>
      <c r="P10" s="64"/>
      <c r="Q10" s="64"/>
      <c r="R10" s="71">
        <v>26</v>
      </c>
      <c r="S10" s="72">
        <f t="shared" si="4"/>
        <v>0.80874199999999996</v>
      </c>
      <c r="T10" s="72">
        <f t="shared" si="5"/>
        <v>0.19125800000000004</v>
      </c>
      <c r="U10" s="72">
        <f t="shared" si="6"/>
        <v>0.87123430499400356</v>
      </c>
      <c r="V10" s="94">
        <f t="shared" si="7"/>
        <v>0.12876569500599644</v>
      </c>
      <c r="W10" s="94">
        <f t="shared" si="8"/>
        <v>2.1460949167666072E-2</v>
      </c>
      <c r="X10" s="73">
        <v>0.89</v>
      </c>
      <c r="Y10" s="94">
        <f t="shared" si="9"/>
        <v>0.11460146855533683</v>
      </c>
    </row>
    <row r="11" spans="1:25">
      <c r="A11" s="24">
        <v>26</v>
      </c>
      <c r="B11" s="24">
        <v>0.72</v>
      </c>
      <c r="C11" s="25">
        <v>0.89</v>
      </c>
      <c r="F11" s="68">
        <v>27</v>
      </c>
      <c r="G11" s="69">
        <v>0.8</v>
      </c>
      <c r="H11" s="69">
        <f t="shared" si="0"/>
        <v>0.19999999999999996</v>
      </c>
      <c r="I11" s="69">
        <f t="shared" si="1"/>
        <v>0.87448527222116779</v>
      </c>
      <c r="J11" s="69">
        <f t="shared" si="2"/>
        <v>0.12551472777883221</v>
      </c>
      <c r="K11" s="70">
        <v>0.89</v>
      </c>
      <c r="L11" s="69">
        <f t="shared" si="3"/>
        <v>0.11170810772316067</v>
      </c>
      <c r="N11" s="64"/>
      <c r="O11" s="64"/>
      <c r="P11" s="64"/>
      <c r="Q11" s="64"/>
      <c r="R11" s="71">
        <v>27</v>
      </c>
      <c r="S11" s="72">
        <f t="shared" si="4"/>
        <v>0.78534999999999988</v>
      </c>
      <c r="T11" s="72">
        <f t="shared" si="5"/>
        <v>0.21465000000000012</v>
      </c>
      <c r="U11" s="72">
        <f t="shared" si="6"/>
        <v>0.87965202689578081</v>
      </c>
      <c r="V11" s="94">
        <f t="shared" si="7"/>
        <v>0.12034797310421919</v>
      </c>
      <c r="W11" s="94">
        <f t="shared" si="8"/>
        <v>2.0057995517369864E-2</v>
      </c>
      <c r="X11" s="73">
        <v>0.89</v>
      </c>
      <c r="Y11" s="94">
        <f t="shared" si="9"/>
        <v>0.10710969606275508</v>
      </c>
    </row>
    <row r="12" spans="1:25">
      <c r="A12" s="24">
        <v>27</v>
      </c>
      <c r="B12" s="24">
        <v>0.72</v>
      </c>
      <c r="C12" s="25">
        <v>0.89</v>
      </c>
      <c r="F12" s="68">
        <v>28</v>
      </c>
      <c r="G12" s="69">
        <v>0.8</v>
      </c>
      <c r="H12" s="69">
        <f t="shared" si="0"/>
        <v>0.19999999999999996</v>
      </c>
      <c r="I12" s="69">
        <f t="shared" si="1"/>
        <v>0.87448527222116779</v>
      </c>
      <c r="J12" s="69">
        <f t="shared" si="2"/>
        <v>0.12551472777883221</v>
      </c>
      <c r="K12" s="70">
        <v>0.89</v>
      </c>
      <c r="L12" s="69">
        <f t="shared" si="3"/>
        <v>0.11170810772316067</v>
      </c>
      <c r="N12" s="64" t="s">
        <v>66</v>
      </c>
      <c r="O12" s="64"/>
      <c r="P12" s="64"/>
      <c r="Q12" s="64"/>
      <c r="R12" s="71">
        <v>28</v>
      </c>
      <c r="S12" s="72">
        <f t="shared" si="4"/>
        <v>0.76195799999999991</v>
      </c>
      <c r="T12" s="72">
        <f t="shared" si="5"/>
        <v>0.23804200000000009</v>
      </c>
      <c r="U12" s="72">
        <f t="shared" si="6"/>
        <v>0.88726727930099614</v>
      </c>
      <c r="V12" s="94">
        <f t="shared" si="7"/>
        <v>0.11273272069900386</v>
      </c>
      <c r="W12" s="94">
        <f t="shared" si="8"/>
        <v>1.8788786783167311E-2</v>
      </c>
      <c r="X12" s="73">
        <v>0.89</v>
      </c>
      <c r="Y12" s="94">
        <f t="shared" si="9"/>
        <v>0.10033212142211344</v>
      </c>
    </row>
    <row r="13" spans="1:25">
      <c r="A13" s="24">
        <v>28</v>
      </c>
      <c r="B13" s="24">
        <v>0.72</v>
      </c>
      <c r="C13" s="25">
        <v>0.89</v>
      </c>
      <c r="F13" s="68">
        <v>29</v>
      </c>
      <c r="G13" s="69">
        <v>0.8</v>
      </c>
      <c r="H13" s="69">
        <f t="shared" si="0"/>
        <v>0.19999999999999996</v>
      </c>
      <c r="I13" s="69">
        <f t="shared" si="1"/>
        <v>0.87448527222116779</v>
      </c>
      <c r="J13" s="69">
        <f t="shared" si="2"/>
        <v>0.12551472777883221</v>
      </c>
      <c r="K13" s="70">
        <v>0.89</v>
      </c>
      <c r="L13" s="69">
        <f t="shared" si="3"/>
        <v>0.11170810772316067</v>
      </c>
      <c r="N13" s="64" t="s">
        <v>67</v>
      </c>
      <c r="O13" s="64"/>
      <c r="P13" s="64"/>
      <c r="Q13" s="64"/>
      <c r="R13" s="71">
        <v>29</v>
      </c>
      <c r="S13" s="72">
        <f t="shared" si="4"/>
        <v>0.73856599999999994</v>
      </c>
      <c r="T13" s="72">
        <f t="shared" si="5"/>
        <v>0.26143400000000006</v>
      </c>
      <c r="U13" s="72">
        <f t="shared" si="6"/>
        <v>0.89422506513473499</v>
      </c>
      <c r="V13" s="94">
        <f t="shared" si="7"/>
        <v>0.10577493486526501</v>
      </c>
      <c r="W13" s="94">
        <f t="shared" si="8"/>
        <v>1.7629155810877501E-2</v>
      </c>
      <c r="X13" s="73">
        <v>0.89</v>
      </c>
      <c r="Y13" s="94">
        <f t="shared" si="9"/>
        <v>9.4139692030085861E-2</v>
      </c>
    </row>
    <row r="14" spans="1:25">
      <c r="A14" s="24">
        <v>29</v>
      </c>
      <c r="B14" s="24">
        <v>0.72</v>
      </c>
      <c r="C14" s="25">
        <v>0.89</v>
      </c>
      <c r="F14" s="68">
        <v>30</v>
      </c>
      <c r="G14" s="69">
        <v>0.8</v>
      </c>
      <c r="H14" s="69">
        <f t="shared" si="0"/>
        <v>0.19999999999999996</v>
      </c>
      <c r="I14" s="69">
        <f t="shared" si="1"/>
        <v>0.87448527222116779</v>
      </c>
      <c r="J14" s="69">
        <f t="shared" si="2"/>
        <v>0.12551472777883221</v>
      </c>
      <c r="K14" s="70">
        <v>0.85499999999999998</v>
      </c>
      <c r="L14" s="69">
        <f t="shared" si="3"/>
        <v>0.10731509225090154</v>
      </c>
      <c r="N14" s="64"/>
      <c r="O14" s="64"/>
      <c r="P14" s="64"/>
      <c r="Q14" s="64"/>
      <c r="R14" s="71">
        <v>30</v>
      </c>
      <c r="S14" s="72">
        <f t="shared" si="4"/>
        <v>0.71517399999999998</v>
      </c>
      <c r="T14" s="72">
        <f t="shared" si="5"/>
        <v>0.28482600000000002</v>
      </c>
      <c r="U14" s="72">
        <f t="shared" si="6"/>
        <v>0.90063392638356943</v>
      </c>
      <c r="V14" s="94">
        <f t="shared" si="7"/>
        <v>9.9366073616430572E-2</v>
      </c>
      <c r="W14" s="94">
        <f t="shared" si="8"/>
        <v>1.6561012269405095E-2</v>
      </c>
      <c r="X14" s="73">
        <v>0.85499999999999998</v>
      </c>
      <c r="Y14" s="94">
        <f t="shared" si="9"/>
        <v>8.4957992942048144E-2</v>
      </c>
    </row>
    <row r="15" spans="1:25">
      <c r="A15" s="24">
        <v>30</v>
      </c>
      <c r="B15" s="24">
        <v>0.72</v>
      </c>
      <c r="C15" s="25">
        <v>0.85499999999999998</v>
      </c>
      <c r="F15" s="68">
        <v>31</v>
      </c>
      <c r="G15" s="69">
        <v>0.65</v>
      </c>
      <c r="H15" s="69">
        <f t="shared" si="0"/>
        <v>0.35</v>
      </c>
      <c r="I15" s="69">
        <f t="shared" si="1"/>
        <v>0.91623245282579358</v>
      </c>
      <c r="J15" s="69">
        <f t="shared" si="2"/>
        <v>8.3767547174206425E-2</v>
      </c>
      <c r="K15" s="70">
        <v>0.82</v>
      </c>
      <c r="L15" s="69">
        <f t="shared" si="3"/>
        <v>6.8689388682849267E-2</v>
      </c>
      <c r="N15" s="64" t="s">
        <v>68</v>
      </c>
      <c r="O15" s="64"/>
      <c r="P15" s="64"/>
      <c r="Q15" s="64"/>
      <c r="R15" s="71">
        <v>31</v>
      </c>
      <c r="S15" s="72">
        <f t="shared" si="4"/>
        <v>0.6917819999999999</v>
      </c>
      <c r="T15" s="72">
        <f t="shared" si="5"/>
        <v>0.3082180000000001</v>
      </c>
      <c r="U15" s="72">
        <f t="shared" si="6"/>
        <v>0.90657728478220312</v>
      </c>
      <c r="V15" s="94">
        <f t="shared" si="7"/>
        <v>9.3422715217796881E-2</v>
      </c>
      <c r="W15" s="94">
        <f t="shared" si="8"/>
        <v>1.5570452536299481E-2</v>
      </c>
      <c r="X15" s="73">
        <v>0.82</v>
      </c>
      <c r="Y15" s="94">
        <f t="shared" si="9"/>
        <v>7.660662647859344E-2</v>
      </c>
    </row>
    <row r="16" spans="1:25">
      <c r="A16" s="24">
        <v>31</v>
      </c>
      <c r="B16" s="24">
        <v>0.72</v>
      </c>
      <c r="C16" s="25">
        <v>0.82</v>
      </c>
      <c r="F16" s="68">
        <v>32</v>
      </c>
      <c r="G16" s="69">
        <v>0.65</v>
      </c>
      <c r="H16" s="69">
        <f t="shared" si="0"/>
        <v>0.35</v>
      </c>
      <c r="I16" s="69">
        <f t="shared" si="1"/>
        <v>0.91623245282579358</v>
      </c>
      <c r="J16" s="69">
        <f t="shared" si="2"/>
        <v>8.3767547174206425E-2</v>
      </c>
      <c r="K16" s="70">
        <v>0.78500000000000003</v>
      </c>
      <c r="L16" s="69">
        <f t="shared" si="3"/>
        <v>6.5757524531752043E-2</v>
      </c>
      <c r="N16" s="64" t="s">
        <v>69</v>
      </c>
      <c r="O16" s="64"/>
      <c r="P16" s="64"/>
      <c r="Q16" s="64"/>
      <c r="R16" s="71">
        <v>32</v>
      </c>
      <c r="S16" s="72">
        <f t="shared" si="4"/>
        <v>0.66838999999999993</v>
      </c>
      <c r="T16" s="72">
        <f t="shared" si="5"/>
        <v>0.33161000000000007</v>
      </c>
      <c r="U16" s="72">
        <f t="shared" si="6"/>
        <v>0.91212067831607568</v>
      </c>
      <c r="V16" s="94">
        <f t="shared" si="7"/>
        <v>8.7879321683924316E-2</v>
      </c>
      <c r="W16" s="94">
        <f t="shared" si="8"/>
        <v>1.4646553613987387E-2</v>
      </c>
      <c r="X16" s="73">
        <v>0.78500000000000003</v>
      </c>
      <c r="Y16" s="94">
        <f t="shared" si="9"/>
        <v>6.8985267521880597E-2</v>
      </c>
    </row>
    <row r="17" spans="1:25">
      <c r="A17" s="24">
        <v>32</v>
      </c>
      <c r="B17" s="24">
        <v>0.72</v>
      </c>
      <c r="C17" s="25">
        <v>0.78500000000000003</v>
      </c>
      <c r="F17" s="68">
        <v>33</v>
      </c>
      <c r="G17" s="69">
        <v>0.65</v>
      </c>
      <c r="H17" s="69">
        <f t="shared" si="0"/>
        <v>0.35</v>
      </c>
      <c r="I17" s="69">
        <f t="shared" si="1"/>
        <v>0.91623245282579358</v>
      </c>
      <c r="J17" s="69">
        <f t="shared" si="2"/>
        <v>8.3767547174206425E-2</v>
      </c>
      <c r="K17" s="70">
        <v>0.75</v>
      </c>
      <c r="L17" s="69">
        <f t="shared" si="3"/>
        <v>6.2825660380654819E-2</v>
      </c>
      <c r="N17" s="64" t="s">
        <v>70</v>
      </c>
      <c r="O17" s="64"/>
      <c r="P17" s="64"/>
      <c r="Q17" s="64"/>
      <c r="R17" s="71">
        <v>33</v>
      </c>
      <c r="S17" s="72">
        <f t="shared" si="4"/>
        <v>0.64499799999999996</v>
      </c>
      <c r="T17" s="72">
        <f t="shared" si="5"/>
        <v>0.35500200000000004</v>
      </c>
      <c r="U17" s="72">
        <f t="shared" si="6"/>
        <v>0.91731655908689336</v>
      </c>
      <c r="V17" s="94">
        <f t="shared" si="7"/>
        <v>8.2683440913106643E-2</v>
      </c>
      <c r="W17" s="94">
        <f t="shared" si="8"/>
        <v>1.3780573485517774E-2</v>
      </c>
      <c r="X17" s="73">
        <v>0.75</v>
      </c>
      <c r="Y17" s="94">
        <f t="shared" si="9"/>
        <v>6.2012580684829982E-2</v>
      </c>
    </row>
    <row r="18" spans="1:25">
      <c r="A18" s="24">
        <v>33</v>
      </c>
      <c r="B18" s="24">
        <v>0.72</v>
      </c>
      <c r="C18" s="25">
        <v>0.75</v>
      </c>
      <c r="F18" s="68">
        <v>34</v>
      </c>
      <c r="G18" s="69">
        <v>0.65</v>
      </c>
      <c r="H18" s="69">
        <f t="shared" si="0"/>
        <v>0.35</v>
      </c>
      <c r="I18" s="69">
        <f t="shared" si="1"/>
        <v>0.91623245282579358</v>
      </c>
      <c r="J18" s="69">
        <f t="shared" si="2"/>
        <v>8.3767547174206425E-2</v>
      </c>
      <c r="K18" s="70">
        <v>0.71499999999999997</v>
      </c>
      <c r="L18" s="69">
        <f t="shared" si="3"/>
        <v>5.9893796229557594E-2</v>
      </c>
      <c r="N18" s="64"/>
      <c r="O18" s="64"/>
      <c r="P18" s="64"/>
      <c r="Q18" s="64"/>
      <c r="R18" s="71">
        <v>34</v>
      </c>
      <c r="S18" s="72">
        <f t="shared" si="4"/>
        <v>0.62160599999999988</v>
      </c>
      <c r="T18" s="72">
        <f t="shared" si="5"/>
        <v>0.37839400000000012</v>
      </c>
      <c r="U18" s="72">
        <f t="shared" si="6"/>
        <v>0.92220757839004153</v>
      </c>
      <c r="V18" s="94">
        <f t="shared" si="7"/>
        <v>7.7792421609958473E-2</v>
      </c>
      <c r="W18" s="94">
        <f t="shared" si="8"/>
        <v>1.2965403601659745E-2</v>
      </c>
      <c r="X18" s="73">
        <v>0.71499999999999997</v>
      </c>
      <c r="Y18" s="94">
        <f t="shared" si="9"/>
        <v>5.5621581451120304E-2</v>
      </c>
    </row>
    <row r="19" spans="1:25">
      <c r="A19" s="24">
        <v>34</v>
      </c>
      <c r="B19" s="24">
        <v>0.72</v>
      </c>
      <c r="C19" s="25">
        <v>0.71499999999999997</v>
      </c>
      <c r="F19" s="68">
        <v>35</v>
      </c>
      <c r="G19" s="69">
        <v>0.65</v>
      </c>
      <c r="H19" s="69">
        <f t="shared" si="0"/>
        <v>0.35</v>
      </c>
      <c r="I19" s="69">
        <f t="shared" si="1"/>
        <v>0.91623245282579358</v>
      </c>
      <c r="J19" s="69">
        <f t="shared" si="2"/>
        <v>8.3767547174206425E-2</v>
      </c>
      <c r="K19" s="70">
        <v>0.68</v>
      </c>
      <c r="L19" s="69">
        <f t="shared" si="3"/>
        <v>5.696193207846037E-2</v>
      </c>
      <c r="N19" s="64" t="s">
        <v>71</v>
      </c>
      <c r="O19" s="64"/>
      <c r="P19" s="64"/>
      <c r="Q19" s="64"/>
      <c r="R19" s="71">
        <v>35</v>
      </c>
      <c r="S19" s="72">
        <f t="shared" si="4"/>
        <v>0.59821399999999991</v>
      </c>
      <c r="T19" s="72">
        <f t="shared" si="5"/>
        <v>0.40178600000000009</v>
      </c>
      <c r="U19" s="72">
        <f t="shared" si="6"/>
        <v>0.92682889858991846</v>
      </c>
      <c r="V19" s="94">
        <f t="shared" si="7"/>
        <v>7.317110141008154E-2</v>
      </c>
      <c r="W19" s="94">
        <f t="shared" si="8"/>
        <v>1.2195183568346923E-2</v>
      </c>
      <c r="X19" s="73">
        <v>0.68</v>
      </c>
      <c r="Y19" s="94">
        <f t="shared" si="9"/>
        <v>4.9756348958855452E-2</v>
      </c>
    </row>
    <row r="20" spans="1:25">
      <c r="A20" s="24">
        <v>35</v>
      </c>
      <c r="B20" s="24">
        <v>0.49</v>
      </c>
      <c r="C20" s="25">
        <v>0.68</v>
      </c>
      <c r="F20" s="68">
        <v>36</v>
      </c>
      <c r="G20" s="69">
        <v>0.55000000000000004</v>
      </c>
      <c r="H20" s="69">
        <f t="shared" si="0"/>
        <v>0.44999999999999996</v>
      </c>
      <c r="I20" s="69">
        <f t="shared" si="1"/>
        <v>0.93562333065009839</v>
      </c>
      <c r="J20" s="69">
        <f t="shared" si="2"/>
        <v>6.4376669349901605E-2</v>
      </c>
      <c r="K20" s="70">
        <v>0.64500000000000002</v>
      </c>
      <c r="L20" s="69">
        <f t="shared" si="3"/>
        <v>4.1522951730686534E-2</v>
      </c>
      <c r="N20" s="64" t="s">
        <v>72</v>
      </c>
      <c r="O20" s="64"/>
      <c r="P20" s="64"/>
      <c r="Q20" s="64"/>
      <c r="R20" s="71">
        <v>36</v>
      </c>
      <c r="S20" s="72">
        <f t="shared" si="4"/>
        <v>0.57482199999999994</v>
      </c>
      <c r="T20" s="72">
        <f t="shared" si="5"/>
        <v>0.42517800000000006</v>
      </c>
      <c r="U20" s="72">
        <f t="shared" si="6"/>
        <v>0.93120985912048659</v>
      </c>
      <c r="V20" s="94">
        <f t="shared" si="7"/>
        <v>6.8790140879513406E-2</v>
      </c>
      <c r="W20" s="94">
        <f t="shared" si="8"/>
        <v>1.1465023479918901E-2</v>
      </c>
      <c r="X20" s="73">
        <v>0.64500000000000002</v>
      </c>
      <c r="Y20" s="94">
        <f t="shared" si="9"/>
        <v>4.4369640867286148E-2</v>
      </c>
    </row>
    <row r="21" spans="1:25">
      <c r="A21" s="24">
        <v>36</v>
      </c>
      <c r="B21" s="24">
        <v>0.49</v>
      </c>
      <c r="C21" s="25">
        <v>0.64500000000000002</v>
      </c>
      <c r="F21" s="68">
        <v>37</v>
      </c>
      <c r="G21" s="69">
        <v>0.55000000000000004</v>
      </c>
      <c r="H21" s="69">
        <f t="shared" si="0"/>
        <v>0.44999999999999996</v>
      </c>
      <c r="I21" s="69">
        <f t="shared" si="1"/>
        <v>0.93562333065009839</v>
      </c>
      <c r="J21" s="69">
        <f t="shared" si="2"/>
        <v>6.4376669349901605E-2</v>
      </c>
      <c r="K21" s="70">
        <v>0.61</v>
      </c>
      <c r="L21" s="69">
        <f t="shared" si="3"/>
        <v>3.9269768303439978E-2</v>
      </c>
      <c r="N21" s="64" t="s">
        <v>73</v>
      </c>
      <c r="O21" s="64"/>
      <c r="P21" s="64"/>
      <c r="Q21" s="64"/>
      <c r="R21" s="71">
        <v>37</v>
      </c>
      <c r="S21" s="72">
        <f t="shared" si="4"/>
        <v>0.55142999999999998</v>
      </c>
      <c r="T21" s="72">
        <f t="shared" si="5"/>
        <v>0.44857000000000002</v>
      </c>
      <c r="U21" s="72">
        <f t="shared" si="6"/>
        <v>0.93537520212877368</v>
      </c>
      <c r="V21" s="94">
        <f t="shared" si="7"/>
        <v>6.4624797871226325E-2</v>
      </c>
      <c r="W21" s="94">
        <f t="shared" si="8"/>
        <v>1.0770799645204387E-2</v>
      </c>
      <c r="X21" s="73">
        <v>0.61</v>
      </c>
      <c r="Y21" s="94">
        <f t="shared" si="9"/>
        <v>3.942112670144806E-2</v>
      </c>
    </row>
    <row r="22" spans="1:25">
      <c r="A22" s="24">
        <v>37</v>
      </c>
      <c r="B22" s="24">
        <v>0.49</v>
      </c>
      <c r="C22" s="25">
        <v>0.61</v>
      </c>
      <c r="F22" s="68">
        <v>38</v>
      </c>
      <c r="G22" s="69">
        <v>0.55000000000000004</v>
      </c>
      <c r="H22" s="69">
        <f t="shared" si="0"/>
        <v>0.44999999999999996</v>
      </c>
      <c r="I22" s="69">
        <f t="shared" si="1"/>
        <v>0.93562333065009839</v>
      </c>
      <c r="J22" s="69">
        <f t="shared" si="2"/>
        <v>6.4376669349901605E-2</v>
      </c>
      <c r="K22" s="70">
        <v>0.57499999999999996</v>
      </c>
      <c r="L22" s="69">
        <f t="shared" si="3"/>
        <v>3.7016584876193422E-2</v>
      </c>
      <c r="N22" s="64" t="s">
        <v>74</v>
      </c>
      <c r="O22" s="64"/>
      <c r="P22" s="64"/>
      <c r="Q22" s="64"/>
      <c r="R22" s="71">
        <v>38</v>
      </c>
      <c r="S22" s="72">
        <f t="shared" si="4"/>
        <v>0.5280379999999999</v>
      </c>
      <c r="T22" s="72">
        <f t="shared" si="5"/>
        <v>0.4719620000000001</v>
      </c>
      <c r="U22" s="72">
        <f t="shared" si="6"/>
        <v>0.93934599071510672</v>
      </c>
      <c r="V22" s="94">
        <f t="shared" si="7"/>
        <v>6.0654009284893284E-2</v>
      </c>
      <c r="W22" s="94">
        <f t="shared" si="8"/>
        <v>1.0109001547482213E-2</v>
      </c>
      <c r="X22" s="73">
        <v>0.57499999999999996</v>
      </c>
      <c r="Y22" s="94">
        <f t="shared" si="9"/>
        <v>3.4876055338813633E-2</v>
      </c>
    </row>
    <row r="23" spans="1:25">
      <c r="A23" s="24">
        <v>38</v>
      </c>
      <c r="B23" s="24">
        <v>0.49</v>
      </c>
      <c r="C23" s="25">
        <v>0.57499999999999996</v>
      </c>
      <c r="F23" s="68">
        <v>39</v>
      </c>
      <c r="G23" s="69">
        <v>0.55000000000000004</v>
      </c>
      <c r="H23" s="69">
        <f t="shared" si="0"/>
        <v>0.44999999999999996</v>
      </c>
      <c r="I23" s="69">
        <f t="shared" si="1"/>
        <v>0.93562333065009839</v>
      </c>
      <c r="J23" s="69">
        <f t="shared" si="2"/>
        <v>6.4376669349901605E-2</v>
      </c>
      <c r="K23" s="70">
        <v>0.54</v>
      </c>
      <c r="L23" s="69">
        <f t="shared" si="3"/>
        <v>3.4763401448946872E-2</v>
      </c>
      <c r="N23" s="64" t="s">
        <v>75</v>
      </c>
      <c r="O23" s="64"/>
      <c r="P23" s="64"/>
      <c r="Q23" s="64"/>
      <c r="R23" s="71">
        <v>39</v>
      </c>
      <c r="S23" s="72">
        <f t="shared" si="4"/>
        <v>0.50464599999999993</v>
      </c>
      <c r="T23" s="72">
        <f t="shared" si="5"/>
        <v>0.49535400000000007</v>
      </c>
      <c r="U23" s="72">
        <f t="shared" si="6"/>
        <v>0.94314030806650928</v>
      </c>
      <c r="V23" s="94">
        <f t="shared" si="7"/>
        <v>5.6859691933490719E-2</v>
      </c>
      <c r="W23" s="94">
        <f t="shared" si="8"/>
        <v>9.4766153222484526E-3</v>
      </c>
      <c r="X23" s="73">
        <v>0.54</v>
      </c>
      <c r="Y23" s="94">
        <f t="shared" si="9"/>
        <v>3.0704233644084991E-2</v>
      </c>
    </row>
    <row r="24" spans="1:25">
      <c r="A24" s="24">
        <v>39</v>
      </c>
      <c r="B24" s="24">
        <v>0.49</v>
      </c>
      <c r="C24" s="25">
        <v>0.54</v>
      </c>
      <c r="F24" s="68">
        <v>40</v>
      </c>
      <c r="G24" s="69">
        <v>0.55000000000000004</v>
      </c>
      <c r="H24" s="69">
        <f t="shared" si="0"/>
        <v>0.44999999999999996</v>
      </c>
      <c r="I24" s="69">
        <f t="shared" si="1"/>
        <v>0.93562333065009839</v>
      </c>
      <c r="J24" s="69">
        <f t="shared" si="2"/>
        <v>6.4376669349901605E-2</v>
      </c>
      <c r="K24" s="70">
        <v>0.505</v>
      </c>
      <c r="L24" s="69">
        <f t="shared" si="3"/>
        <v>3.2510218021700309E-2</v>
      </c>
      <c r="N24" s="64" t="s">
        <v>76</v>
      </c>
      <c r="O24" s="64"/>
      <c r="P24" s="64"/>
      <c r="Q24" s="64"/>
      <c r="R24" s="71">
        <v>40</v>
      </c>
      <c r="S24" s="72">
        <f t="shared" si="4"/>
        <v>0.48125399999999996</v>
      </c>
      <c r="T24" s="72">
        <f t="shared" si="5"/>
        <v>0.51874600000000004</v>
      </c>
      <c r="U24" s="72">
        <f t="shared" si="6"/>
        <v>0.94677379749879342</v>
      </c>
      <c r="V24" s="94">
        <f t="shared" si="7"/>
        <v>5.3226202501206576E-2</v>
      </c>
      <c r="W24" s="94">
        <f t="shared" si="8"/>
        <v>8.8710337502010961E-3</v>
      </c>
      <c r="X24" s="73">
        <v>0.505</v>
      </c>
      <c r="Y24" s="94">
        <f t="shared" si="9"/>
        <v>2.6879232263109322E-2</v>
      </c>
    </row>
    <row r="25" spans="1:25">
      <c r="A25" s="24">
        <v>40</v>
      </c>
      <c r="B25" s="24">
        <v>0.49</v>
      </c>
      <c r="C25" s="25">
        <v>0.505</v>
      </c>
      <c r="F25" s="68">
        <v>41</v>
      </c>
      <c r="G25" s="69">
        <v>0.38</v>
      </c>
      <c r="H25" s="69">
        <f t="shared" si="0"/>
        <v>0.62</v>
      </c>
      <c r="I25" s="69">
        <f t="shared" si="1"/>
        <v>0.96094671716639057</v>
      </c>
      <c r="J25" s="69">
        <f t="shared" si="2"/>
        <v>3.9053282833609426E-2</v>
      </c>
      <c r="K25" s="70">
        <v>0.47</v>
      </c>
      <c r="L25" s="69">
        <f t="shared" si="3"/>
        <v>1.835504293179643E-2</v>
      </c>
      <c r="N25" s="64"/>
      <c r="O25" s="64"/>
      <c r="P25" s="64"/>
      <c r="Q25" s="64"/>
      <c r="R25" s="71">
        <v>41</v>
      </c>
      <c r="S25" s="72">
        <f t="shared" si="4"/>
        <v>0.45786199999999988</v>
      </c>
      <c r="T25" s="72">
        <f t="shared" si="5"/>
        <v>0.54213800000000012</v>
      </c>
      <c r="U25" s="72">
        <f t="shared" si="6"/>
        <v>0.95026008505270454</v>
      </c>
      <c r="V25" s="94">
        <f t="shared" si="7"/>
        <v>4.973991494729546E-2</v>
      </c>
      <c r="W25" s="94">
        <f t="shared" si="8"/>
        <v>8.2899858245492428E-3</v>
      </c>
      <c r="X25" s="73">
        <v>0.47</v>
      </c>
      <c r="Y25" s="94">
        <f t="shared" si="9"/>
        <v>2.3377760025228865E-2</v>
      </c>
    </row>
    <row r="26" spans="1:25">
      <c r="A26" s="24">
        <v>41</v>
      </c>
      <c r="B26" s="24">
        <v>0.49</v>
      </c>
      <c r="C26" s="25">
        <v>0.47</v>
      </c>
      <c r="F26" s="68">
        <v>42</v>
      </c>
      <c r="G26" s="69">
        <v>0.38</v>
      </c>
      <c r="H26" s="69">
        <f t="shared" si="0"/>
        <v>0.62</v>
      </c>
      <c r="I26" s="69">
        <f t="shared" si="1"/>
        <v>0.96094671716639057</v>
      </c>
      <c r="J26" s="69">
        <f t="shared" si="2"/>
        <v>3.9053282833609426E-2</v>
      </c>
      <c r="K26" s="70">
        <v>0.435</v>
      </c>
      <c r="L26" s="69">
        <f t="shared" si="3"/>
        <v>1.6988178032620101E-2</v>
      </c>
      <c r="N26" s="64" t="s">
        <v>77</v>
      </c>
      <c r="O26" s="64"/>
      <c r="P26" s="64"/>
      <c r="Q26" s="64"/>
      <c r="R26" s="71">
        <v>42</v>
      </c>
      <c r="S26" s="72">
        <f t="shared" si="4"/>
        <v>0.43446999999999991</v>
      </c>
      <c r="T26" s="72">
        <f t="shared" si="5"/>
        <v>0.56553000000000009</v>
      </c>
      <c r="U26" s="72">
        <f t="shared" si="6"/>
        <v>0.95361111408343002</v>
      </c>
      <c r="V26" s="94">
        <f t="shared" si="7"/>
        <v>4.6388885916569977E-2</v>
      </c>
      <c r="W26" s="94">
        <f t="shared" si="8"/>
        <v>7.7314809860949962E-3</v>
      </c>
      <c r="X26" s="73">
        <v>0.435</v>
      </c>
      <c r="Y26" s="94">
        <f t="shared" si="9"/>
        <v>2.0179165373707939E-2</v>
      </c>
    </row>
    <row r="27" spans="1:25">
      <c r="A27" s="24">
        <v>42</v>
      </c>
      <c r="B27" s="24">
        <v>0.49</v>
      </c>
      <c r="C27" s="25">
        <v>0.435</v>
      </c>
      <c r="F27" s="68">
        <v>43</v>
      </c>
      <c r="G27" s="69">
        <v>0.38</v>
      </c>
      <c r="H27" s="69">
        <f t="shared" si="0"/>
        <v>0.62</v>
      </c>
      <c r="I27" s="69">
        <f t="shared" si="1"/>
        <v>0.96094671716639057</v>
      </c>
      <c r="J27" s="69">
        <f t="shared" si="2"/>
        <v>3.9053282833609426E-2</v>
      </c>
      <c r="K27" s="70">
        <v>0.4</v>
      </c>
      <c r="L27" s="69">
        <f t="shared" si="3"/>
        <v>1.5621313133443771E-2</v>
      </c>
      <c r="N27" s="64" t="s">
        <v>78</v>
      </c>
      <c r="O27" s="64" t="s">
        <v>79</v>
      </c>
      <c r="P27" s="64"/>
      <c r="Q27" s="64"/>
      <c r="R27" s="71">
        <v>43</v>
      </c>
      <c r="S27" s="72">
        <f t="shared" si="4"/>
        <v>0.41107799999999983</v>
      </c>
      <c r="T27" s="72">
        <f t="shared" si="5"/>
        <v>0.58892200000000017</v>
      </c>
      <c r="U27" s="72">
        <f t="shared" si="6"/>
        <v>0.95683741300562741</v>
      </c>
      <c r="V27" s="94">
        <f t="shared" si="7"/>
        <v>4.3162586994372587E-2</v>
      </c>
      <c r="W27" s="94">
        <f t="shared" si="8"/>
        <v>7.1937644990620981E-3</v>
      </c>
      <c r="X27" s="73">
        <v>0.4</v>
      </c>
      <c r="Y27" s="94">
        <f t="shared" si="9"/>
        <v>1.7265034797749036E-2</v>
      </c>
    </row>
    <row r="28" spans="1:25">
      <c r="A28" s="24">
        <v>43</v>
      </c>
      <c r="B28" s="24">
        <v>0.49</v>
      </c>
      <c r="C28" s="25">
        <v>0.4</v>
      </c>
      <c r="F28" s="68">
        <v>44</v>
      </c>
      <c r="G28" s="69">
        <v>0.38</v>
      </c>
      <c r="H28" s="69">
        <f t="shared" si="0"/>
        <v>0.62</v>
      </c>
      <c r="I28" s="69">
        <f t="shared" si="1"/>
        <v>0.96094671716639057</v>
      </c>
      <c r="J28" s="69">
        <f t="shared" si="2"/>
        <v>3.9053282833609426E-2</v>
      </c>
      <c r="K28" s="70">
        <v>0.36499999999999999</v>
      </c>
      <c r="L28" s="69">
        <f t="shared" si="3"/>
        <v>1.425444823426744E-2</v>
      </c>
      <c r="N28" s="64" t="s">
        <v>80</v>
      </c>
      <c r="O28" s="64"/>
      <c r="P28" s="64"/>
      <c r="Q28" s="64"/>
      <c r="R28" s="71">
        <v>44</v>
      </c>
      <c r="S28" s="72">
        <f t="shared" si="4"/>
        <v>0.38768599999999998</v>
      </c>
      <c r="T28" s="72">
        <f t="shared" si="5"/>
        <v>0.61231400000000002</v>
      </c>
      <c r="U28" s="72">
        <f t="shared" si="6"/>
        <v>0.9599483116389369</v>
      </c>
      <c r="V28" s="94">
        <f t="shared" si="7"/>
        <v>4.0051688361063098E-2</v>
      </c>
      <c r="W28" s="94">
        <f t="shared" si="8"/>
        <v>6.6752813935105166E-3</v>
      </c>
      <c r="X28" s="73">
        <v>0.36499999999999999</v>
      </c>
      <c r="Y28" s="94">
        <f t="shared" si="9"/>
        <v>1.4618866251788031E-2</v>
      </c>
    </row>
    <row r="29" spans="1:25">
      <c r="A29" s="24">
        <v>44</v>
      </c>
      <c r="B29" s="24">
        <v>0.49</v>
      </c>
      <c r="C29" s="25">
        <v>0.36499999999999999</v>
      </c>
      <c r="F29" s="68">
        <v>45</v>
      </c>
      <c r="G29" s="69">
        <v>0.38</v>
      </c>
      <c r="H29" s="69">
        <f t="shared" si="0"/>
        <v>0.62</v>
      </c>
      <c r="I29" s="69">
        <f t="shared" si="1"/>
        <v>0.96094671716639057</v>
      </c>
      <c r="J29" s="69">
        <f t="shared" si="2"/>
        <v>3.9053282833609426E-2</v>
      </c>
      <c r="K29" s="70">
        <f>($C$29/$C$28)*K28</f>
        <v>0.33306249999999998</v>
      </c>
      <c r="L29" s="69">
        <f t="shared" si="3"/>
        <v>1.3007184013769039E-2</v>
      </c>
      <c r="R29" s="71">
        <v>45</v>
      </c>
      <c r="S29" s="72">
        <f t="shared" si="4"/>
        <v>0.3642939999999999</v>
      </c>
      <c r="T29" s="72">
        <f t="shared" si="5"/>
        <v>0.6357060000000001</v>
      </c>
      <c r="U29" s="72">
        <f t="shared" si="6"/>
        <v>0.9629521175833855</v>
      </c>
      <c r="V29" s="94">
        <f t="shared" si="7"/>
        <v>3.7047882416614497E-2</v>
      </c>
      <c r="W29" s="94">
        <f t="shared" si="8"/>
        <v>6.1746470694357498E-3</v>
      </c>
      <c r="X29" s="73">
        <f>($C$29/$C$28)*X28</f>
        <v>0.33306249999999998</v>
      </c>
      <c r="Y29" s="94">
        <f t="shared" si="9"/>
        <v>1.2339260337383666E-2</v>
      </c>
    </row>
    <row r="30" spans="1:25">
      <c r="A30" s="24">
        <v>45</v>
      </c>
      <c r="B30" s="24">
        <v>0.49</v>
      </c>
      <c r="C30" s="25">
        <f>($C$29/$C$28)*C29</f>
        <v>0.33306249999999998</v>
      </c>
      <c r="F30" s="68">
        <v>46</v>
      </c>
      <c r="G30" s="69">
        <v>0.38</v>
      </c>
      <c r="H30" s="69">
        <f t="shared" si="0"/>
        <v>0.62</v>
      </c>
      <c r="I30" s="69">
        <f t="shared" si="1"/>
        <v>0.96094671716639057</v>
      </c>
      <c r="J30" s="69">
        <f t="shared" si="2"/>
        <v>3.9053282833609426E-2</v>
      </c>
      <c r="K30" s="70">
        <f>($C$29/$C$28)*K29</f>
        <v>0.30391953124999999</v>
      </c>
      <c r="L30" s="69">
        <f t="shared" si="3"/>
        <v>1.1869055412564248E-2</v>
      </c>
      <c r="R30" s="71">
        <v>46</v>
      </c>
      <c r="S30" s="72">
        <f t="shared" si="4"/>
        <v>0.34090200000000004</v>
      </c>
      <c r="T30" s="72">
        <f t="shared" si="5"/>
        <v>0.65909799999999996</v>
      </c>
      <c r="U30" s="72">
        <f t="shared" si="6"/>
        <v>0.96585626119033019</v>
      </c>
      <c r="V30" s="94">
        <f t="shared" si="7"/>
        <v>3.414373880966981E-2</v>
      </c>
      <c r="W30" s="94">
        <f t="shared" si="8"/>
        <v>5.6906231349449681E-3</v>
      </c>
      <c r="X30" s="73">
        <f>($C$29/$C$28)*X29</f>
        <v>0.30391953124999999</v>
      </c>
      <c r="Y30" s="94">
        <f t="shared" si="9"/>
        <v>1.0376949094157281E-2</v>
      </c>
    </row>
    <row r="31" spans="1:25">
      <c r="A31" s="24">
        <v>46</v>
      </c>
      <c r="B31" s="24">
        <v>0.49</v>
      </c>
      <c r="C31" s="25">
        <f>($C$29/$C$28)*C30</f>
        <v>0.30391953124999999</v>
      </c>
      <c r="F31" s="68">
        <v>47</v>
      </c>
      <c r="G31" s="69">
        <v>0.38</v>
      </c>
      <c r="H31" s="69">
        <f t="shared" si="0"/>
        <v>0.62</v>
      </c>
      <c r="I31" s="69">
        <f t="shared" si="1"/>
        <v>0.96094671716639057</v>
      </c>
      <c r="J31" s="69">
        <f t="shared" si="2"/>
        <v>3.9053282833609426E-2</v>
      </c>
      <c r="K31" s="70">
        <f>($C$29/$C$28)*K30</f>
        <v>0.27732657226562496</v>
      </c>
      <c r="L31" s="69">
        <f t="shared" si="3"/>
        <v>1.0830513063964875E-2</v>
      </c>
      <c r="R31" s="71">
        <v>47</v>
      </c>
      <c r="S31" s="72">
        <f t="shared" si="4"/>
        <v>0.31750999999999996</v>
      </c>
      <c r="T31" s="72">
        <f t="shared" si="5"/>
        <v>0.68249000000000004</v>
      </c>
      <c r="U31" s="72">
        <f t="shared" si="6"/>
        <v>0.96866741562349146</v>
      </c>
      <c r="V31" s="94">
        <f t="shared" si="7"/>
        <v>3.1332584376508543E-2</v>
      </c>
      <c r="W31" s="94">
        <f t="shared" si="8"/>
        <v>5.2220973960847572E-3</v>
      </c>
      <c r="X31" s="73">
        <f>($C$29/$C$28)*X30</f>
        <v>0.27732657226562496</v>
      </c>
      <c r="Y31" s="94">
        <f t="shared" si="9"/>
        <v>8.6893582253605873E-3</v>
      </c>
    </row>
    <row r="32" spans="1:25">
      <c r="A32" s="24">
        <v>47</v>
      </c>
      <c r="B32" s="24">
        <v>0.49</v>
      </c>
      <c r="C32" s="25">
        <f>($C$29/$C$28)*C31</f>
        <v>0.27732657226562496</v>
      </c>
      <c r="F32" s="68">
        <v>48</v>
      </c>
      <c r="G32" s="69">
        <v>0.38</v>
      </c>
      <c r="H32" s="69">
        <f t="shared" si="0"/>
        <v>0.62</v>
      </c>
      <c r="I32" s="69">
        <f t="shared" si="1"/>
        <v>0.96094671716639057</v>
      </c>
      <c r="J32" s="69">
        <f t="shared" si="2"/>
        <v>3.9053282833609426E-2</v>
      </c>
      <c r="K32" s="70">
        <f>($C$29/$C$28)*K31</f>
        <v>0.25306049719238277</v>
      </c>
      <c r="L32" s="69">
        <f t="shared" si="3"/>
        <v>9.8828431708679488E-3</v>
      </c>
      <c r="R32" s="71">
        <v>48</v>
      </c>
      <c r="S32" s="72">
        <f t="shared" si="4"/>
        <v>0.29411799999999988</v>
      </c>
      <c r="T32" s="72">
        <f t="shared" si="5"/>
        <v>0.70588200000000012</v>
      </c>
      <c r="U32" s="72">
        <f t="shared" si="6"/>
        <v>0.9713915969873993</v>
      </c>
      <c r="V32" s="94">
        <f t="shared" si="7"/>
        <v>2.8608403012600703E-2</v>
      </c>
      <c r="W32" s="94">
        <f t="shared" si="8"/>
        <v>4.7680671687667835E-3</v>
      </c>
      <c r="X32" s="73">
        <f>($C$29/$C$28)*X31</f>
        <v>0.25306049719238277</v>
      </c>
      <c r="Y32" s="94">
        <f t="shared" si="9"/>
        <v>7.2396566902487953E-3</v>
      </c>
    </row>
    <row r="33" spans="1:25">
      <c r="A33" s="24">
        <v>48</v>
      </c>
      <c r="B33" s="24">
        <v>0.49</v>
      </c>
      <c r="C33" s="25">
        <f>($C$29/$C$28)*C32</f>
        <v>0.25306049719238277</v>
      </c>
      <c r="F33" s="68">
        <v>49</v>
      </c>
      <c r="G33" s="69">
        <v>0.38</v>
      </c>
      <c r="H33" s="69">
        <f t="shared" si="0"/>
        <v>0.62</v>
      </c>
      <c r="I33" s="69">
        <f t="shared" si="1"/>
        <v>0.96094671716639057</v>
      </c>
      <c r="J33" s="69">
        <f t="shared" si="2"/>
        <v>3.9053282833609426E-2</v>
      </c>
      <c r="K33" s="70">
        <f>($C$29/$C$28)*K32</f>
        <v>0.23091770368804929</v>
      </c>
      <c r="L33" s="69">
        <f t="shared" si="3"/>
        <v>9.0180943934170029E-3</v>
      </c>
      <c r="R33" s="71">
        <v>49</v>
      </c>
      <c r="S33" s="72">
        <f t="shared" si="4"/>
        <v>0.27072600000000002</v>
      </c>
      <c r="T33" s="72">
        <f t="shared" si="5"/>
        <v>0.72927399999999998</v>
      </c>
      <c r="U33" s="72">
        <f t="shared" si="6"/>
        <v>0.97403424837582264</v>
      </c>
      <c r="V33" s="94">
        <f t="shared" si="7"/>
        <v>2.5965751624177358E-2</v>
      </c>
      <c r="W33" s="94">
        <f t="shared" si="8"/>
        <v>4.3276252706962266E-3</v>
      </c>
      <c r="X33" s="73">
        <f>($C$29/$C$28)*X32</f>
        <v>0.23091770368804929</v>
      </c>
      <c r="Y33" s="94">
        <f t="shared" si="9"/>
        <v>5.995951739589272E-3</v>
      </c>
    </row>
    <row r="34" spans="1:25">
      <c r="A34" s="24">
        <v>49</v>
      </c>
      <c r="B34" s="24">
        <v>0.49</v>
      </c>
      <c r="C34" s="25">
        <f>($C$29/$C$28)*C33</f>
        <v>0.23091770368804929</v>
      </c>
      <c r="S34" s="69"/>
    </row>
    <row r="35" spans="1:25">
      <c r="S35" s="69"/>
    </row>
  </sheetData>
  <mergeCells count="1">
    <mergeCell ref="A1:C1"/>
  </mergeCells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Interface</vt:lpstr>
      <vt:lpstr>Model</vt:lpstr>
      <vt:lpstr>Pregnancy</vt:lpstr>
      <vt:lpstr>Pregnancy.Calc</vt:lpstr>
    </vt:vector>
  </TitlesOfParts>
  <Company>RAND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FG</dc:creator>
  <cp:lastModifiedBy>The RAND Corporation</cp:lastModifiedBy>
  <dcterms:created xsi:type="dcterms:W3CDTF">2004-12-11T00:54:06Z</dcterms:created>
  <dcterms:modified xsi:type="dcterms:W3CDTF">2012-01-16T16:40:52Z</dcterms:modified>
</cp:coreProperties>
</file>