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0" yWindow="0" windowWidth="20480" windowHeight="11260"/>
  </bookViews>
  <sheets>
    <sheet name="Interface" sheetId="1" r:id="rId1"/>
    <sheet name="Model" sheetId="3" r:id="rId2"/>
    <sheet name="Pregnancy" sheetId="4" r:id="rId3"/>
    <sheet name="Pregnancy.Calc" sheetId="5" r:id="rId4"/>
  </sheets>
  <definedNames>
    <definedName name="alpha">Model!$B$1</definedName>
    <definedName name="h.hormon">Interface!#REF!</definedName>
    <definedName name="h.late">Interface!$B$6</definedName>
    <definedName name="h.mtctx">Interface!$B$17</definedName>
    <definedName name="h.prep">Interface!$B$9</definedName>
    <definedName name="h.std">Interface!$B$8</definedName>
    <definedName name="h.tx">Interface!$B$7</definedName>
    <definedName name="N">Interface!$B$24</definedName>
    <definedName name="p.conception">Model!$B$2</definedName>
    <definedName name="p.concieve">Model!$C$15</definedName>
    <definedName name="p.delivery">Model!$C$16</definedName>
    <definedName name="p.mtct">Interface!$B$16</definedName>
    <definedName name="TT">Interface!$B$3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2" i="5"/>
  <c r="S13" i="5"/>
  <c r="T13" i="5"/>
  <c r="U13" i="5"/>
  <c r="V13" i="5"/>
  <c r="B12" i="1"/>
  <c r="C15" i="3"/>
  <c r="B2" i="3"/>
  <c r="B21" i="1"/>
  <c r="B20" i="1"/>
  <c r="B7" i="1"/>
  <c r="D26" i="3"/>
  <c r="B8" i="1"/>
  <c r="B6" i="1"/>
  <c r="B3" i="1"/>
  <c r="B1" i="3"/>
  <c r="C13" i="4"/>
  <c r="C16" i="3"/>
  <c r="L2" i="3"/>
  <c r="M2" i="3"/>
  <c r="P2" i="3"/>
  <c r="B17" i="1"/>
  <c r="B16" i="1"/>
  <c r="I2" i="3"/>
  <c r="R2" i="3"/>
  <c r="S2" i="3"/>
  <c r="L3" i="3"/>
  <c r="M3" i="3"/>
  <c r="P3" i="3"/>
  <c r="I3" i="3"/>
  <c r="R3" i="3"/>
  <c r="S3" i="3"/>
  <c r="L4" i="3"/>
  <c r="M4" i="3"/>
  <c r="P4" i="3"/>
  <c r="I4" i="3"/>
  <c r="R4" i="3"/>
  <c r="S4" i="3"/>
  <c r="L5" i="3"/>
  <c r="M5" i="3"/>
  <c r="P5" i="3"/>
  <c r="I5" i="3"/>
  <c r="R5" i="3"/>
  <c r="S5" i="3"/>
  <c r="L6" i="3"/>
  <c r="M6" i="3"/>
  <c r="P6" i="3"/>
  <c r="I6" i="3"/>
  <c r="R6" i="3"/>
  <c r="S6" i="3"/>
  <c r="L7" i="3"/>
  <c r="M7" i="3"/>
  <c r="P7" i="3"/>
  <c r="I7" i="3"/>
  <c r="R7" i="3"/>
  <c r="S7" i="3"/>
  <c r="L8" i="3"/>
  <c r="M8" i="3"/>
  <c r="P8" i="3"/>
  <c r="I8" i="3"/>
  <c r="R8" i="3"/>
  <c r="S8" i="3"/>
  <c r="L9" i="3"/>
  <c r="M9" i="3"/>
  <c r="P9" i="3"/>
  <c r="I9" i="3"/>
  <c r="R9" i="3"/>
  <c r="S9" i="3"/>
  <c r="L10" i="3"/>
  <c r="M10" i="3"/>
  <c r="P10" i="3"/>
  <c r="I10" i="3"/>
  <c r="R10" i="3"/>
  <c r="S10" i="3"/>
  <c r="L11" i="3"/>
  <c r="M11" i="3"/>
  <c r="P11" i="3"/>
  <c r="I11" i="3"/>
  <c r="R11" i="3"/>
  <c r="S11" i="3"/>
  <c r="L12" i="3"/>
  <c r="M12" i="3"/>
  <c r="P12" i="3"/>
  <c r="I12" i="3"/>
  <c r="R12" i="3"/>
  <c r="S12" i="3"/>
  <c r="L13" i="3"/>
  <c r="M13" i="3"/>
  <c r="P13" i="3"/>
  <c r="I13" i="3"/>
  <c r="R13" i="3"/>
  <c r="S13" i="3"/>
  <c r="L14" i="3"/>
  <c r="M14" i="3"/>
  <c r="P14" i="3"/>
  <c r="I14" i="3"/>
  <c r="R14" i="3"/>
  <c r="S14" i="3"/>
  <c r="L15" i="3"/>
  <c r="M15" i="3"/>
  <c r="P15" i="3"/>
  <c r="I15" i="3"/>
  <c r="R15" i="3"/>
  <c r="S15" i="3"/>
  <c r="L16" i="3"/>
  <c r="M16" i="3"/>
  <c r="P16" i="3"/>
  <c r="I16" i="3"/>
  <c r="R16" i="3"/>
  <c r="S16" i="3"/>
  <c r="L17" i="3"/>
  <c r="M17" i="3"/>
  <c r="P17" i="3"/>
  <c r="I17" i="3"/>
  <c r="R17" i="3"/>
  <c r="S17" i="3"/>
  <c r="L18" i="3"/>
  <c r="M18" i="3"/>
  <c r="P18" i="3"/>
  <c r="I18" i="3"/>
  <c r="R18" i="3"/>
  <c r="S18" i="3"/>
  <c r="L19" i="3"/>
  <c r="M19" i="3"/>
  <c r="P19" i="3"/>
  <c r="I19" i="3"/>
  <c r="R19" i="3"/>
  <c r="S19" i="3"/>
  <c r="L20" i="3"/>
  <c r="M20" i="3"/>
  <c r="P20" i="3"/>
  <c r="I20" i="3"/>
  <c r="R20" i="3"/>
  <c r="S20" i="3"/>
  <c r="L21" i="3"/>
  <c r="M21" i="3"/>
  <c r="P21" i="3"/>
  <c r="I21" i="3"/>
  <c r="R21" i="3"/>
  <c r="S21" i="3"/>
  <c r="L22" i="3"/>
  <c r="M22" i="3"/>
  <c r="P22" i="3"/>
  <c r="I22" i="3"/>
  <c r="R22" i="3"/>
  <c r="S22" i="3"/>
  <c r="L23" i="3"/>
  <c r="M23" i="3"/>
  <c r="P23" i="3"/>
  <c r="I23" i="3"/>
  <c r="R23" i="3"/>
  <c r="S23" i="3"/>
  <c r="L24" i="3"/>
  <c r="M24" i="3"/>
  <c r="P24" i="3"/>
  <c r="I24" i="3"/>
  <c r="R24" i="3"/>
  <c r="S24" i="3"/>
  <c r="L25" i="3"/>
  <c r="M25" i="3"/>
  <c r="P25" i="3"/>
  <c r="I25" i="3"/>
  <c r="R25" i="3"/>
  <c r="S25" i="3"/>
  <c r="L26" i="3"/>
  <c r="M26" i="3"/>
  <c r="P26" i="3"/>
  <c r="I26" i="3"/>
  <c r="R26" i="3"/>
  <c r="S26" i="3"/>
  <c r="L27" i="3"/>
  <c r="M27" i="3"/>
  <c r="P27" i="3"/>
  <c r="I27" i="3"/>
  <c r="R27" i="3"/>
  <c r="S27" i="3"/>
  <c r="L28" i="3"/>
  <c r="M28" i="3"/>
  <c r="P28" i="3"/>
  <c r="I28" i="3"/>
  <c r="R28" i="3"/>
  <c r="S28" i="3"/>
  <c r="L29" i="3"/>
  <c r="M29" i="3"/>
  <c r="P29" i="3"/>
  <c r="I29" i="3"/>
  <c r="R29" i="3"/>
  <c r="S29" i="3"/>
  <c r="L30" i="3"/>
  <c r="M30" i="3"/>
  <c r="P30" i="3"/>
  <c r="I30" i="3"/>
  <c r="R30" i="3"/>
  <c r="S30" i="3"/>
  <c r="L31" i="3"/>
  <c r="M31" i="3"/>
  <c r="P31" i="3"/>
  <c r="I31" i="3"/>
  <c r="R31" i="3"/>
  <c r="S31" i="3"/>
  <c r="L32" i="3"/>
  <c r="M32" i="3"/>
  <c r="P32" i="3"/>
  <c r="I32" i="3"/>
  <c r="R32" i="3"/>
  <c r="S32" i="3"/>
  <c r="L33" i="3"/>
  <c r="M33" i="3"/>
  <c r="P33" i="3"/>
  <c r="I33" i="3"/>
  <c r="R33" i="3"/>
  <c r="S33" i="3"/>
  <c r="L34" i="3"/>
  <c r="M34" i="3"/>
  <c r="P34" i="3"/>
  <c r="I34" i="3"/>
  <c r="R34" i="3"/>
  <c r="S34" i="3"/>
  <c r="L35" i="3"/>
  <c r="M35" i="3"/>
  <c r="P35" i="3"/>
  <c r="I35" i="3"/>
  <c r="R35" i="3"/>
  <c r="S35" i="3"/>
  <c r="L36" i="3"/>
  <c r="M36" i="3"/>
  <c r="P36" i="3"/>
  <c r="I36" i="3"/>
  <c r="R36" i="3"/>
  <c r="S36" i="3"/>
  <c r="L37" i="3"/>
  <c r="M37" i="3"/>
  <c r="P37" i="3"/>
  <c r="I37" i="3"/>
  <c r="R37" i="3"/>
  <c r="S37" i="3"/>
  <c r="L38" i="3"/>
  <c r="M38" i="3"/>
  <c r="P38" i="3"/>
  <c r="I38" i="3"/>
  <c r="R38" i="3"/>
  <c r="S38" i="3"/>
  <c r="L39" i="3"/>
  <c r="M39" i="3"/>
  <c r="P39" i="3"/>
  <c r="I39" i="3"/>
  <c r="R39" i="3"/>
  <c r="S39" i="3"/>
  <c r="L40" i="3"/>
  <c r="M40" i="3"/>
  <c r="P40" i="3"/>
  <c r="I40" i="3"/>
  <c r="R40" i="3"/>
  <c r="S40" i="3"/>
  <c r="L41" i="3"/>
  <c r="M41" i="3"/>
  <c r="P41" i="3"/>
  <c r="I41" i="3"/>
  <c r="R41" i="3"/>
  <c r="S41" i="3"/>
  <c r="L42" i="3"/>
  <c r="M42" i="3"/>
  <c r="P42" i="3"/>
  <c r="I42" i="3"/>
  <c r="R42" i="3"/>
  <c r="S42" i="3"/>
  <c r="L43" i="3"/>
  <c r="M43" i="3"/>
  <c r="P43" i="3"/>
  <c r="I43" i="3"/>
  <c r="R43" i="3"/>
  <c r="S43" i="3"/>
  <c r="L44" i="3"/>
  <c r="M44" i="3"/>
  <c r="P44" i="3"/>
  <c r="I44" i="3"/>
  <c r="R44" i="3"/>
  <c r="S44" i="3"/>
  <c r="L45" i="3"/>
  <c r="M45" i="3"/>
  <c r="P45" i="3"/>
  <c r="I45" i="3"/>
  <c r="R45" i="3"/>
  <c r="S45" i="3"/>
  <c r="L46" i="3"/>
  <c r="M46" i="3"/>
  <c r="P46" i="3"/>
  <c r="I46" i="3"/>
  <c r="R46" i="3"/>
  <c r="S46" i="3"/>
  <c r="L47" i="3"/>
  <c r="M47" i="3"/>
  <c r="P47" i="3"/>
  <c r="I47" i="3"/>
  <c r="R47" i="3"/>
  <c r="S47" i="3"/>
  <c r="L48" i="3"/>
  <c r="M48" i="3"/>
  <c r="P48" i="3"/>
  <c r="I48" i="3"/>
  <c r="R48" i="3"/>
  <c r="S48" i="3"/>
  <c r="L49" i="3"/>
  <c r="M49" i="3"/>
  <c r="P49" i="3"/>
  <c r="I49" i="3"/>
  <c r="R49" i="3"/>
  <c r="S49" i="3"/>
  <c r="L50" i="3"/>
  <c r="M50" i="3"/>
  <c r="P50" i="3"/>
  <c r="I50" i="3"/>
  <c r="R50" i="3"/>
  <c r="S50" i="3"/>
  <c r="L51" i="3"/>
  <c r="M51" i="3"/>
  <c r="P51" i="3"/>
  <c r="I51" i="3"/>
  <c r="R51" i="3"/>
  <c r="S51" i="3"/>
  <c r="L52" i="3"/>
  <c r="M52" i="3"/>
  <c r="P52" i="3"/>
  <c r="I52" i="3"/>
  <c r="R52" i="3"/>
  <c r="S52" i="3"/>
  <c r="L53" i="3"/>
  <c r="M53" i="3"/>
  <c r="P53" i="3"/>
  <c r="I53" i="3"/>
  <c r="R53" i="3"/>
  <c r="S53" i="3"/>
  <c r="L54" i="3"/>
  <c r="M54" i="3"/>
  <c r="P54" i="3"/>
  <c r="I54" i="3"/>
  <c r="R54" i="3"/>
  <c r="S54" i="3"/>
  <c r="L55" i="3"/>
  <c r="M55" i="3"/>
  <c r="P55" i="3"/>
  <c r="I55" i="3"/>
  <c r="R55" i="3"/>
  <c r="S55" i="3"/>
  <c r="L56" i="3"/>
  <c r="M56" i="3"/>
  <c r="P56" i="3"/>
  <c r="I56" i="3"/>
  <c r="R56" i="3"/>
  <c r="S56" i="3"/>
  <c r="L57" i="3"/>
  <c r="M57" i="3"/>
  <c r="P57" i="3"/>
  <c r="I57" i="3"/>
  <c r="R57" i="3"/>
  <c r="S57" i="3"/>
  <c r="L58" i="3"/>
  <c r="M58" i="3"/>
  <c r="P58" i="3"/>
  <c r="I58" i="3"/>
  <c r="R58" i="3"/>
  <c r="S58" i="3"/>
  <c r="L59" i="3"/>
  <c r="M59" i="3"/>
  <c r="P59" i="3"/>
  <c r="I59" i="3"/>
  <c r="R59" i="3"/>
  <c r="S59" i="3"/>
  <c r="L60" i="3"/>
  <c r="M60" i="3"/>
  <c r="P60" i="3"/>
  <c r="I60" i="3"/>
  <c r="R60" i="3"/>
  <c r="S60" i="3"/>
  <c r="L61" i="3"/>
  <c r="M61" i="3"/>
  <c r="P61" i="3"/>
  <c r="I61" i="3"/>
  <c r="R61" i="3"/>
  <c r="S61" i="3"/>
  <c r="L62" i="3"/>
  <c r="M62" i="3"/>
  <c r="P62" i="3"/>
  <c r="I62" i="3"/>
  <c r="R62" i="3"/>
  <c r="S62" i="3"/>
  <c r="L63" i="3"/>
  <c r="M63" i="3"/>
  <c r="P63" i="3"/>
  <c r="I63" i="3"/>
  <c r="R63" i="3"/>
  <c r="S63" i="3"/>
  <c r="L64" i="3"/>
  <c r="M64" i="3"/>
  <c r="P64" i="3"/>
  <c r="I64" i="3"/>
  <c r="R64" i="3"/>
  <c r="S64" i="3"/>
  <c r="L65" i="3"/>
  <c r="M65" i="3"/>
  <c r="P65" i="3"/>
  <c r="I65" i="3"/>
  <c r="R65" i="3"/>
  <c r="S65" i="3"/>
  <c r="L66" i="3"/>
  <c r="M66" i="3"/>
  <c r="P66" i="3"/>
  <c r="I66" i="3"/>
  <c r="R66" i="3"/>
  <c r="S66" i="3"/>
  <c r="L67" i="3"/>
  <c r="M67" i="3"/>
  <c r="P67" i="3"/>
  <c r="I67" i="3"/>
  <c r="R67" i="3"/>
  <c r="S67" i="3"/>
  <c r="L68" i="3"/>
  <c r="M68" i="3"/>
  <c r="P68" i="3"/>
  <c r="I68" i="3"/>
  <c r="R68" i="3"/>
  <c r="S68" i="3"/>
  <c r="L69" i="3"/>
  <c r="M69" i="3"/>
  <c r="P69" i="3"/>
  <c r="I69" i="3"/>
  <c r="R69" i="3"/>
  <c r="S69" i="3"/>
  <c r="L70" i="3"/>
  <c r="M70" i="3"/>
  <c r="P70" i="3"/>
  <c r="I70" i="3"/>
  <c r="R70" i="3"/>
  <c r="S70" i="3"/>
  <c r="L71" i="3"/>
  <c r="M71" i="3"/>
  <c r="P71" i="3"/>
  <c r="I71" i="3"/>
  <c r="R71" i="3"/>
  <c r="S71" i="3"/>
  <c r="L72" i="3"/>
  <c r="M72" i="3"/>
  <c r="P72" i="3"/>
  <c r="I72" i="3"/>
  <c r="R72" i="3"/>
  <c r="S72" i="3"/>
  <c r="L73" i="3"/>
  <c r="M73" i="3"/>
  <c r="P73" i="3"/>
  <c r="I73" i="3"/>
  <c r="R73" i="3"/>
  <c r="S73" i="3"/>
  <c r="L74" i="3"/>
  <c r="M74" i="3"/>
  <c r="P74" i="3"/>
  <c r="I74" i="3"/>
  <c r="R74" i="3"/>
  <c r="S74" i="3"/>
  <c r="L75" i="3"/>
  <c r="M75" i="3"/>
  <c r="P75" i="3"/>
  <c r="I75" i="3"/>
  <c r="R75" i="3"/>
  <c r="S75" i="3"/>
  <c r="L76" i="3"/>
  <c r="M76" i="3"/>
  <c r="P76" i="3"/>
  <c r="I76" i="3"/>
  <c r="R76" i="3"/>
  <c r="S76" i="3"/>
  <c r="L77" i="3"/>
  <c r="M77" i="3"/>
  <c r="P77" i="3"/>
  <c r="I77" i="3"/>
  <c r="R77" i="3"/>
  <c r="S77" i="3"/>
  <c r="L78" i="3"/>
  <c r="M78" i="3"/>
  <c r="P78" i="3"/>
  <c r="I78" i="3"/>
  <c r="R78" i="3"/>
  <c r="S78" i="3"/>
  <c r="L79" i="3"/>
  <c r="M79" i="3"/>
  <c r="P79" i="3"/>
  <c r="I79" i="3"/>
  <c r="R79" i="3"/>
  <c r="S79" i="3"/>
  <c r="L80" i="3"/>
  <c r="M80" i="3"/>
  <c r="P80" i="3"/>
  <c r="I80" i="3"/>
  <c r="R80" i="3"/>
  <c r="S80" i="3"/>
  <c r="L81" i="3"/>
  <c r="M81" i="3"/>
  <c r="P81" i="3"/>
  <c r="I81" i="3"/>
  <c r="R81" i="3"/>
  <c r="S81" i="3"/>
  <c r="L82" i="3"/>
  <c r="M82" i="3"/>
  <c r="P82" i="3"/>
  <c r="I82" i="3"/>
  <c r="R82" i="3"/>
  <c r="S82" i="3"/>
  <c r="L83" i="3"/>
  <c r="M83" i="3"/>
  <c r="P83" i="3"/>
  <c r="I83" i="3"/>
  <c r="R83" i="3"/>
  <c r="S83" i="3"/>
  <c r="L84" i="3"/>
  <c r="M84" i="3"/>
  <c r="P84" i="3"/>
  <c r="I84" i="3"/>
  <c r="R84" i="3"/>
  <c r="S84" i="3"/>
  <c r="L85" i="3"/>
  <c r="M85" i="3"/>
  <c r="P85" i="3"/>
  <c r="I85" i="3"/>
  <c r="R85" i="3"/>
  <c r="S85" i="3"/>
  <c r="L86" i="3"/>
  <c r="M86" i="3"/>
  <c r="P86" i="3"/>
  <c r="I86" i="3"/>
  <c r="R86" i="3"/>
  <c r="S86" i="3"/>
  <c r="L87" i="3"/>
  <c r="M87" i="3"/>
  <c r="P87" i="3"/>
  <c r="I87" i="3"/>
  <c r="R87" i="3"/>
  <c r="S87" i="3"/>
  <c r="L88" i="3"/>
  <c r="M88" i="3"/>
  <c r="P88" i="3"/>
  <c r="I88" i="3"/>
  <c r="R88" i="3"/>
  <c r="S88" i="3"/>
  <c r="L89" i="3"/>
  <c r="M89" i="3"/>
  <c r="P89" i="3"/>
  <c r="I89" i="3"/>
  <c r="R89" i="3"/>
  <c r="S89" i="3"/>
  <c r="L90" i="3"/>
  <c r="M90" i="3"/>
  <c r="P90" i="3"/>
  <c r="I90" i="3"/>
  <c r="R90" i="3"/>
  <c r="S90" i="3"/>
  <c r="L91" i="3"/>
  <c r="M91" i="3"/>
  <c r="P91" i="3"/>
  <c r="I91" i="3"/>
  <c r="R91" i="3"/>
  <c r="S91" i="3"/>
  <c r="L92" i="3"/>
  <c r="M92" i="3"/>
  <c r="P92" i="3"/>
  <c r="I92" i="3"/>
  <c r="R92" i="3"/>
  <c r="S92" i="3"/>
  <c r="L93" i="3"/>
  <c r="M93" i="3"/>
  <c r="P93" i="3"/>
  <c r="I93" i="3"/>
  <c r="R93" i="3"/>
  <c r="S93" i="3"/>
  <c r="L94" i="3"/>
  <c r="M94" i="3"/>
  <c r="P94" i="3"/>
  <c r="I94" i="3"/>
  <c r="R94" i="3"/>
  <c r="S94" i="3"/>
  <c r="L95" i="3"/>
  <c r="M95" i="3"/>
  <c r="P95" i="3"/>
  <c r="I95" i="3"/>
  <c r="R95" i="3"/>
  <c r="S95" i="3"/>
  <c r="L96" i="3"/>
  <c r="M96" i="3"/>
  <c r="P96" i="3"/>
  <c r="I96" i="3"/>
  <c r="R96" i="3"/>
  <c r="S96" i="3"/>
  <c r="L97" i="3"/>
  <c r="M97" i="3"/>
  <c r="P97" i="3"/>
  <c r="I97" i="3"/>
  <c r="R97" i="3"/>
  <c r="S97" i="3"/>
  <c r="L98" i="3"/>
  <c r="M98" i="3"/>
  <c r="P98" i="3"/>
  <c r="I98" i="3"/>
  <c r="R98" i="3"/>
  <c r="S98" i="3"/>
  <c r="L99" i="3"/>
  <c r="M99" i="3"/>
  <c r="P99" i="3"/>
  <c r="I99" i="3"/>
  <c r="R99" i="3"/>
  <c r="S99" i="3"/>
  <c r="L100" i="3"/>
  <c r="M100" i="3"/>
  <c r="P100" i="3"/>
  <c r="I100" i="3"/>
  <c r="R100" i="3"/>
  <c r="S100" i="3"/>
  <c r="L101" i="3"/>
  <c r="M101" i="3"/>
  <c r="P101" i="3"/>
  <c r="I101" i="3"/>
  <c r="R101" i="3"/>
  <c r="S101" i="3"/>
  <c r="E14" i="4"/>
  <c r="E13" i="4"/>
  <c r="E12" i="4"/>
  <c r="E11" i="4"/>
  <c r="E10" i="4"/>
  <c r="E9" i="4"/>
  <c r="E8" i="4"/>
  <c r="E7" i="4"/>
  <c r="E6" i="4"/>
  <c r="E5" i="4"/>
  <c r="E2" i="4"/>
  <c r="E33" i="4"/>
  <c r="E32" i="4"/>
  <c r="E3" i="4"/>
  <c r="E27" i="4"/>
  <c r="E29" i="4"/>
  <c r="E31" i="4"/>
  <c r="E15" i="4"/>
  <c r="E18" i="4"/>
  <c r="E19" i="4"/>
  <c r="E22" i="4"/>
  <c r="E25" i="4"/>
  <c r="E30" i="4"/>
  <c r="E23" i="4"/>
  <c r="E17" i="4"/>
  <c r="E4" i="4"/>
  <c r="E28" i="4"/>
  <c r="E16" i="4"/>
  <c r="D23" i="3"/>
  <c r="D27" i="3"/>
  <c r="D28" i="3"/>
  <c r="B24" i="1"/>
  <c r="D13" i="4"/>
  <c r="D4" i="4"/>
  <c r="D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E20" i="4"/>
  <c r="F20" i="4"/>
  <c r="E21" i="4"/>
  <c r="F21" i="4"/>
  <c r="F22" i="4"/>
  <c r="F23" i="4"/>
  <c r="E24" i="4"/>
  <c r="F24" i="4"/>
  <c r="F25" i="4"/>
  <c r="E26" i="4"/>
  <c r="F26" i="4"/>
  <c r="F27" i="4"/>
  <c r="F28" i="4"/>
  <c r="F29" i="4"/>
  <c r="F30" i="4"/>
  <c r="F31" i="4"/>
  <c r="F32" i="4"/>
  <c r="F33" i="4"/>
  <c r="F2" i="4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2" i="5"/>
  <c r="T2" i="5"/>
  <c r="U2" i="5"/>
  <c r="V2" i="5"/>
  <c r="D3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X29" i="5"/>
  <c r="C29" i="4"/>
  <c r="X30" i="5"/>
  <c r="C30" i="4"/>
  <c r="X31" i="5"/>
  <c r="C31" i="4"/>
  <c r="X32" i="5"/>
  <c r="C32" i="4"/>
  <c r="X33" i="5"/>
  <c r="C33" i="4"/>
  <c r="C2" i="4"/>
  <c r="C30" i="5"/>
  <c r="C31" i="5"/>
  <c r="C32" i="5"/>
  <c r="C33" i="5"/>
  <c r="C34" i="5"/>
  <c r="K29" i="5"/>
  <c r="K30" i="5"/>
  <c r="K31" i="5"/>
  <c r="K32" i="5"/>
  <c r="K33" i="5"/>
  <c r="H33" i="5"/>
  <c r="I33" i="5"/>
  <c r="J33" i="5"/>
  <c r="L33" i="5"/>
  <c r="H32" i="5"/>
  <c r="I32" i="5"/>
  <c r="J32" i="5"/>
  <c r="L32" i="5"/>
  <c r="H31" i="5"/>
  <c r="I31" i="5"/>
  <c r="J31" i="5"/>
  <c r="L31" i="5"/>
  <c r="H30" i="5"/>
  <c r="I30" i="5"/>
  <c r="J30" i="5"/>
  <c r="L30" i="5"/>
  <c r="H29" i="5"/>
  <c r="I29" i="5"/>
  <c r="J29" i="5"/>
  <c r="L29" i="5"/>
  <c r="H28" i="5"/>
  <c r="I28" i="5"/>
  <c r="J28" i="5"/>
  <c r="L28" i="5"/>
  <c r="H27" i="5"/>
  <c r="I27" i="5"/>
  <c r="J27" i="5"/>
  <c r="L27" i="5"/>
  <c r="H26" i="5"/>
  <c r="I26" i="5"/>
  <c r="J26" i="5"/>
  <c r="L26" i="5"/>
  <c r="H25" i="5"/>
  <c r="I25" i="5"/>
  <c r="J25" i="5"/>
  <c r="L25" i="5"/>
  <c r="H24" i="5"/>
  <c r="I24" i="5"/>
  <c r="J24" i="5"/>
  <c r="L24" i="5"/>
  <c r="H23" i="5"/>
  <c r="I23" i="5"/>
  <c r="J23" i="5"/>
  <c r="L23" i="5"/>
  <c r="H22" i="5"/>
  <c r="I22" i="5"/>
  <c r="J22" i="5"/>
  <c r="L22" i="5"/>
  <c r="H21" i="5"/>
  <c r="I21" i="5"/>
  <c r="J21" i="5"/>
  <c r="L21" i="5"/>
  <c r="H20" i="5"/>
  <c r="I20" i="5"/>
  <c r="J20" i="5"/>
  <c r="L20" i="5"/>
  <c r="H19" i="5"/>
  <c r="I19" i="5"/>
  <c r="J19" i="5"/>
  <c r="L19" i="5"/>
  <c r="H18" i="5"/>
  <c r="I18" i="5"/>
  <c r="J18" i="5"/>
  <c r="L18" i="5"/>
  <c r="H17" i="5"/>
  <c r="I17" i="5"/>
  <c r="J17" i="5"/>
  <c r="L17" i="5"/>
  <c r="H16" i="5"/>
  <c r="I16" i="5"/>
  <c r="J16" i="5"/>
  <c r="L16" i="5"/>
  <c r="H15" i="5"/>
  <c r="I15" i="5"/>
  <c r="J15" i="5"/>
  <c r="L15" i="5"/>
  <c r="H14" i="5"/>
  <c r="I14" i="5"/>
  <c r="J14" i="5"/>
  <c r="L14" i="5"/>
  <c r="H13" i="5"/>
  <c r="I13" i="5"/>
  <c r="J13" i="5"/>
  <c r="L13" i="5"/>
  <c r="H12" i="5"/>
  <c r="I12" i="5"/>
  <c r="J12" i="5"/>
  <c r="L12" i="5"/>
  <c r="H11" i="5"/>
  <c r="I11" i="5"/>
  <c r="J11" i="5"/>
  <c r="L11" i="5"/>
  <c r="H10" i="5"/>
  <c r="I10" i="5"/>
  <c r="J10" i="5"/>
  <c r="L10" i="5"/>
  <c r="H9" i="5"/>
  <c r="I9" i="5"/>
  <c r="J9" i="5"/>
  <c r="L9" i="5"/>
  <c r="H8" i="5"/>
  <c r="I8" i="5"/>
  <c r="J8" i="5"/>
  <c r="L8" i="5"/>
  <c r="H7" i="5"/>
  <c r="I7" i="5"/>
  <c r="J7" i="5"/>
  <c r="L7" i="5"/>
  <c r="H6" i="5"/>
  <c r="I6" i="5"/>
  <c r="J6" i="5"/>
  <c r="L6" i="5"/>
  <c r="H5" i="5"/>
  <c r="I5" i="5"/>
  <c r="J5" i="5"/>
  <c r="L5" i="5"/>
  <c r="H4" i="5"/>
  <c r="I4" i="5"/>
  <c r="J4" i="5"/>
  <c r="L4" i="5"/>
  <c r="H3" i="5"/>
  <c r="I3" i="5"/>
  <c r="J3" i="5"/>
  <c r="L3" i="5"/>
  <c r="H2" i="5"/>
  <c r="I2" i="5"/>
  <c r="J2" i="5"/>
  <c r="L2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B110" i="3"/>
  <c r="J101" i="3"/>
  <c r="K101" i="3"/>
  <c r="O101" i="3"/>
  <c r="H101" i="3"/>
  <c r="G101" i="3"/>
  <c r="Q101" i="3"/>
  <c r="N101" i="3"/>
  <c r="J100" i="3"/>
  <c r="K100" i="3"/>
  <c r="O100" i="3"/>
  <c r="H100" i="3"/>
  <c r="G100" i="3"/>
  <c r="Q100" i="3"/>
  <c r="N100" i="3"/>
  <c r="J99" i="3"/>
  <c r="K99" i="3"/>
  <c r="O99" i="3"/>
  <c r="H99" i="3"/>
  <c r="G99" i="3"/>
  <c r="Q99" i="3"/>
  <c r="N99" i="3"/>
  <c r="J98" i="3"/>
  <c r="K98" i="3"/>
  <c r="O98" i="3"/>
  <c r="H98" i="3"/>
  <c r="G98" i="3"/>
  <c r="Q98" i="3"/>
  <c r="N98" i="3"/>
  <c r="J97" i="3"/>
  <c r="K97" i="3"/>
  <c r="O97" i="3"/>
  <c r="H97" i="3"/>
  <c r="G97" i="3"/>
  <c r="Q97" i="3"/>
  <c r="N97" i="3"/>
  <c r="J96" i="3"/>
  <c r="K96" i="3"/>
  <c r="O96" i="3"/>
  <c r="H96" i="3"/>
  <c r="G96" i="3"/>
  <c r="Q96" i="3"/>
  <c r="N96" i="3"/>
  <c r="J95" i="3"/>
  <c r="K95" i="3"/>
  <c r="O95" i="3"/>
  <c r="H95" i="3"/>
  <c r="G95" i="3"/>
  <c r="Q95" i="3"/>
  <c r="N95" i="3"/>
  <c r="J94" i="3"/>
  <c r="K94" i="3"/>
  <c r="O94" i="3"/>
  <c r="H94" i="3"/>
  <c r="G94" i="3"/>
  <c r="Q94" i="3"/>
  <c r="N94" i="3"/>
  <c r="J93" i="3"/>
  <c r="K93" i="3"/>
  <c r="O93" i="3"/>
  <c r="H93" i="3"/>
  <c r="G93" i="3"/>
  <c r="Q93" i="3"/>
  <c r="N93" i="3"/>
  <c r="J92" i="3"/>
  <c r="K92" i="3"/>
  <c r="O92" i="3"/>
  <c r="H92" i="3"/>
  <c r="G92" i="3"/>
  <c r="Q92" i="3"/>
  <c r="N92" i="3"/>
  <c r="J91" i="3"/>
  <c r="K91" i="3"/>
  <c r="O91" i="3"/>
  <c r="H91" i="3"/>
  <c r="G91" i="3"/>
  <c r="Q91" i="3"/>
  <c r="N91" i="3"/>
  <c r="J90" i="3"/>
  <c r="K90" i="3"/>
  <c r="O90" i="3"/>
  <c r="H90" i="3"/>
  <c r="G90" i="3"/>
  <c r="Q90" i="3"/>
  <c r="N90" i="3"/>
  <c r="J89" i="3"/>
  <c r="K89" i="3"/>
  <c r="O89" i="3"/>
  <c r="H89" i="3"/>
  <c r="G89" i="3"/>
  <c r="Q89" i="3"/>
  <c r="N89" i="3"/>
  <c r="J88" i="3"/>
  <c r="K88" i="3"/>
  <c r="O88" i="3"/>
  <c r="H88" i="3"/>
  <c r="G88" i="3"/>
  <c r="Q88" i="3"/>
  <c r="N88" i="3"/>
  <c r="J87" i="3"/>
  <c r="K87" i="3"/>
  <c r="O87" i="3"/>
  <c r="H87" i="3"/>
  <c r="G87" i="3"/>
  <c r="Q87" i="3"/>
  <c r="N87" i="3"/>
  <c r="J86" i="3"/>
  <c r="K86" i="3"/>
  <c r="O86" i="3"/>
  <c r="H86" i="3"/>
  <c r="G86" i="3"/>
  <c r="Q86" i="3"/>
  <c r="N86" i="3"/>
  <c r="J85" i="3"/>
  <c r="K85" i="3"/>
  <c r="O85" i="3"/>
  <c r="H85" i="3"/>
  <c r="G85" i="3"/>
  <c r="Q85" i="3"/>
  <c r="N85" i="3"/>
  <c r="J84" i="3"/>
  <c r="K84" i="3"/>
  <c r="O84" i="3"/>
  <c r="H84" i="3"/>
  <c r="G84" i="3"/>
  <c r="Q84" i="3"/>
  <c r="N84" i="3"/>
  <c r="J83" i="3"/>
  <c r="K83" i="3"/>
  <c r="O83" i="3"/>
  <c r="H83" i="3"/>
  <c r="G83" i="3"/>
  <c r="Q83" i="3"/>
  <c r="N83" i="3"/>
  <c r="J82" i="3"/>
  <c r="K82" i="3"/>
  <c r="O82" i="3"/>
  <c r="H82" i="3"/>
  <c r="G82" i="3"/>
  <c r="Q82" i="3"/>
  <c r="N82" i="3"/>
  <c r="J81" i="3"/>
  <c r="K81" i="3"/>
  <c r="O81" i="3"/>
  <c r="H81" i="3"/>
  <c r="G81" i="3"/>
  <c r="Q81" i="3"/>
  <c r="N81" i="3"/>
  <c r="J80" i="3"/>
  <c r="K80" i="3"/>
  <c r="O80" i="3"/>
  <c r="H80" i="3"/>
  <c r="G80" i="3"/>
  <c r="Q80" i="3"/>
  <c r="N80" i="3"/>
  <c r="J79" i="3"/>
  <c r="K79" i="3"/>
  <c r="O79" i="3"/>
  <c r="H79" i="3"/>
  <c r="G79" i="3"/>
  <c r="Q79" i="3"/>
  <c r="N79" i="3"/>
  <c r="J78" i="3"/>
  <c r="K78" i="3"/>
  <c r="O78" i="3"/>
  <c r="H78" i="3"/>
  <c r="G78" i="3"/>
  <c r="Q78" i="3"/>
  <c r="N78" i="3"/>
  <c r="J77" i="3"/>
  <c r="K77" i="3"/>
  <c r="O77" i="3"/>
  <c r="H77" i="3"/>
  <c r="G77" i="3"/>
  <c r="Q77" i="3"/>
  <c r="N77" i="3"/>
  <c r="J76" i="3"/>
  <c r="K76" i="3"/>
  <c r="O76" i="3"/>
  <c r="H76" i="3"/>
  <c r="G76" i="3"/>
  <c r="Q76" i="3"/>
  <c r="N76" i="3"/>
  <c r="J75" i="3"/>
  <c r="K75" i="3"/>
  <c r="O75" i="3"/>
  <c r="H75" i="3"/>
  <c r="G75" i="3"/>
  <c r="Q75" i="3"/>
  <c r="N75" i="3"/>
  <c r="J74" i="3"/>
  <c r="K74" i="3"/>
  <c r="O74" i="3"/>
  <c r="H74" i="3"/>
  <c r="G74" i="3"/>
  <c r="Q74" i="3"/>
  <c r="N74" i="3"/>
  <c r="J73" i="3"/>
  <c r="K73" i="3"/>
  <c r="O73" i="3"/>
  <c r="H73" i="3"/>
  <c r="G73" i="3"/>
  <c r="Q73" i="3"/>
  <c r="N73" i="3"/>
  <c r="J72" i="3"/>
  <c r="K72" i="3"/>
  <c r="O72" i="3"/>
  <c r="H72" i="3"/>
  <c r="G72" i="3"/>
  <c r="Q72" i="3"/>
  <c r="N72" i="3"/>
  <c r="J71" i="3"/>
  <c r="K71" i="3"/>
  <c r="O71" i="3"/>
  <c r="H71" i="3"/>
  <c r="G71" i="3"/>
  <c r="Q71" i="3"/>
  <c r="N71" i="3"/>
  <c r="J70" i="3"/>
  <c r="K70" i="3"/>
  <c r="O70" i="3"/>
  <c r="H70" i="3"/>
  <c r="G70" i="3"/>
  <c r="Q70" i="3"/>
  <c r="N70" i="3"/>
  <c r="J69" i="3"/>
  <c r="K69" i="3"/>
  <c r="O69" i="3"/>
  <c r="H69" i="3"/>
  <c r="G69" i="3"/>
  <c r="Q69" i="3"/>
  <c r="N69" i="3"/>
  <c r="J68" i="3"/>
  <c r="K68" i="3"/>
  <c r="O68" i="3"/>
  <c r="H68" i="3"/>
  <c r="G68" i="3"/>
  <c r="Q68" i="3"/>
  <c r="N68" i="3"/>
  <c r="J67" i="3"/>
  <c r="K67" i="3"/>
  <c r="O67" i="3"/>
  <c r="H67" i="3"/>
  <c r="G67" i="3"/>
  <c r="Q67" i="3"/>
  <c r="N67" i="3"/>
  <c r="J66" i="3"/>
  <c r="K66" i="3"/>
  <c r="O66" i="3"/>
  <c r="H66" i="3"/>
  <c r="G66" i="3"/>
  <c r="Q66" i="3"/>
  <c r="N66" i="3"/>
  <c r="J65" i="3"/>
  <c r="K65" i="3"/>
  <c r="O65" i="3"/>
  <c r="H65" i="3"/>
  <c r="G65" i="3"/>
  <c r="Q65" i="3"/>
  <c r="N65" i="3"/>
  <c r="J64" i="3"/>
  <c r="K64" i="3"/>
  <c r="O64" i="3"/>
  <c r="H64" i="3"/>
  <c r="G64" i="3"/>
  <c r="Q64" i="3"/>
  <c r="N64" i="3"/>
  <c r="J63" i="3"/>
  <c r="K63" i="3"/>
  <c r="O63" i="3"/>
  <c r="H63" i="3"/>
  <c r="G63" i="3"/>
  <c r="Q63" i="3"/>
  <c r="N63" i="3"/>
  <c r="J62" i="3"/>
  <c r="K62" i="3"/>
  <c r="O62" i="3"/>
  <c r="H62" i="3"/>
  <c r="G62" i="3"/>
  <c r="Q62" i="3"/>
  <c r="N62" i="3"/>
  <c r="J61" i="3"/>
  <c r="K61" i="3"/>
  <c r="O61" i="3"/>
  <c r="H61" i="3"/>
  <c r="G61" i="3"/>
  <c r="Q61" i="3"/>
  <c r="N61" i="3"/>
  <c r="J60" i="3"/>
  <c r="K60" i="3"/>
  <c r="O60" i="3"/>
  <c r="H60" i="3"/>
  <c r="G60" i="3"/>
  <c r="Q60" i="3"/>
  <c r="N60" i="3"/>
  <c r="J59" i="3"/>
  <c r="K59" i="3"/>
  <c r="O59" i="3"/>
  <c r="H59" i="3"/>
  <c r="G59" i="3"/>
  <c r="Q59" i="3"/>
  <c r="N59" i="3"/>
  <c r="J58" i="3"/>
  <c r="K58" i="3"/>
  <c r="O58" i="3"/>
  <c r="H58" i="3"/>
  <c r="G58" i="3"/>
  <c r="Q58" i="3"/>
  <c r="N58" i="3"/>
  <c r="J57" i="3"/>
  <c r="K57" i="3"/>
  <c r="O57" i="3"/>
  <c r="H57" i="3"/>
  <c r="G57" i="3"/>
  <c r="Q57" i="3"/>
  <c r="N57" i="3"/>
  <c r="J56" i="3"/>
  <c r="K56" i="3"/>
  <c r="O56" i="3"/>
  <c r="H56" i="3"/>
  <c r="G56" i="3"/>
  <c r="Q56" i="3"/>
  <c r="N56" i="3"/>
  <c r="J55" i="3"/>
  <c r="K55" i="3"/>
  <c r="O55" i="3"/>
  <c r="H55" i="3"/>
  <c r="G55" i="3"/>
  <c r="Q55" i="3"/>
  <c r="N55" i="3"/>
  <c r="J54" i="3"/>
  <c r="K54" i="3"/>
  <c r="O54" i="3"/>
  <c r="H54" i="3"/>
  <c r="G54" i="3"/>
  <c r="Q54" i="3"/>
  <c r="N54" i="3"/>
  <c r="J53" i="3"/>
  <c r="K53" i="3"/>
  <c r="O53" i="3"/>
  <c r="H53" i="3"/>
  <c r="G53" i="3"/>
  <c r="Q53" i="3"/>
  <c r="N53" i="3"/>
  <c r="J52" i="3"/>
  <c r="K52" i="3"/>
  <c r="O52" i="3"/>
  <c r="H52" i="3"/>
  <c r="G52" i="3"/>
  <c r="Q52" i="3"/>
  <c r="N52" i="3"/>
  <c r="J51" i="3"/>
  <c r="K51" i="3"/>
  <c r="O51" i="3"/>
  <c r="H51" i="3"/>
  <c r="G51" i="3"/>
  <c r="Q51" i="3"/>
  <c r="N51" i="3"/>
  <c r="J50" i="3"/>
  <c r="K50" i="3"/>
  <c r="O50" i="3"/>
  <c r="H50" i="3"/>
  <c r="G50" i="3"/>
  <c r="Q50" i="3"/>
  <c r="N50" i="3"/>
  <c r="J49" i="3"/>
  <c r="K49" i="3"/>
  <c r="O49" i="3"/>
  <c r="H49" i="3"/>
  <c r="G49" i="3"/>
  <c r="Q49" i="3"/>
  <c r="N49" i="3"/>
  <c r="J48" i="3"/>
  <c r="K48" i="3"/>
  <c r="O48" i="3"/>
  <c r="H48" i="3"/>
  <c r="G48" i="3"/>
  <c r="Q48" i="3"/>
  <c r="N48" i="3"/>
  <c r="J47" i="3"/>
  <c r="K47" i="3"/>
  <c r="O47" i="3"/>
  <c r="H47" i="3"/>
  <c r="G47" i="3"/>
  <c r="Q47" i="3"/>
  <c r="N47" i="3"/>
  <c r="J46" i="3"/>
  <c r="K46" i="3"/>
  <c r="O46" i="3"/>
  <c r="H46" i="3"/>
  <c r="G46" i="3"/>
  <c r="Q46" i="3"/>
  <c r="N46" i="3"/>
  <c r="J45" i="3"/>
  <c r="K45" i="3"/>
  <c r="O45" i="3"/>
  <c r="H45" i="3"/>
  <c r="G45" i="3"/>
  <c r="Q45" i="3"/>
  <c r="N45" i="3"/>
  <c r="J44" i="3"/>
  <c r="K44" i="3"/>
  <c r="O44" i="3"/>
  <c r="H44" i="3"/>
  <c r="G44" i="3"/>
  <c r="Q44" i="3"/>
  <c r="N44" i="3"/>
  <c r="J43" i="3"/>
  <c r="K43" i="3"/>
  <c r="O43" i="3"/>
  <c r="H43" i="3"/>
  <c r="G43" i="3"/>
  <c r="Q43" i="3"/>
  <c r="N43" i="3"/>
  <c r="J42" i="3"/>
  <c r="K42" i="3"/>
  <c r="O42" i="3"/>
  <c r="H42" i="3"/>
  <c r="G42" i="3"/>
  <c r="Q42" i="3"/>
  <c r="N42" i="3"/>
  <c r="J41" i="3"/>
  <c r="K41" i="3"/>
  <c r="O41" i="3"/>
  <c r="H41" i="3"/>
  <c r="G41" i="3"/>
  <c r="Q41" i="3"/>
  <c r="N41" i="3"/>
  <c r="J40" i="3"/>
  <c r="K40" i="3"/>
  <c r="O40" i="3"/>
  <c r="H40" i="3"/>
  <c r="G40" i="3"/>
  <c r="Q40" i="3"/>
  <c r="N40" i="3"/>
  <c r="J39" i="3"/>
  <c r="K39" i="3"/>
  <c r="O39" i="3"/>
  <c r="H39" i="3"/>
  <c r="G39" i="3"/>
  <c r="Q39" i="3"/>
  <c r="N39" i="3"/>
  <c r="J38" i="3"/>
  <c r="K38" i="3"/>
  <c r="O38" i="3"/>
  <c r="H38" i="3"/>
  <c r="G38" i="3"/>
  <c r="Q38" i="3"/>
  <c r="N38" i="3"/>
  <c r="J37" i="3"/>
  <c r="K37" i="3"/>
  <c r="O37" i="3"/>
  <c r="H37" i="3"/>
  <c r="G37" i="3"/>
  <c r="Q37" i="3"/>
  <c r="N37" i="3"/>
  <c r="J36" i="3"/>
  <c r="K36" i="3"/>
  <c r="O36" i="3"/>
  <c r="H36" i="3"/>
  <c r="G36" i="3"/>
  <c r="Q36" i="3"/>
  <c r="N36" i="3"/>
  <c r="J35" i="3"/>
  <c r="K35" i="3"/>
  <c r="O35" i="3"/>
  <c r="H35" i="3"/>
  <c r="G35" i="3"/>
  <c r="Q35" i="3"/>
  <c r="N35" i="3"/>
  <c r="J34" i="3"/>
  <c r="K34" i="3"/>
  <c r="O34" i="3"/>
  <c r="H34" i="3"/>
  <c r="G34" i="3"/>
  <c r="Q34" i="3"/>
  <c r="N34" i="3"/>
  <c r="J33" i="3"/>
  <c r="K33" i="3"/>
  <c r="O33" i="3"/>
  <c r="H33" i="3"/>
  <c r="G33" i="3"/>
  <c r="Q33" i="3"/>
  <c r="N33" i="3"/>
  <c r="J32" i="3"/>
  <c r="K32" i="3"/>
  <c r="O32" i="3"/>
  <c r="H32" i="3"/>
  <c r="G32" i="3"/>
  <c r="Q32" i="3"/>
  <c r="N32" i="3"/>
  <c r="J31" i="3"/>
  <c r="K31" i="3"/>
  <c r="O31" i="3"/>
  <c r="H31" i="3"/>
  <c r="G31" i="3"/>
  <c r="Q31" i="3"/>
  <c r="N31" i="3"/>
  <c r="J30" i="3"/>
  <c r="K30" i="3"/>
  <c r="O30" i="3"/>
  <c r="H30" i="3"/>
  <c r="G30" i="3"/>
  <c r="Q30" i="3"/>
  <c r="N30" i="3"/>
  <c r="J29" i="3"/>
  <c r="K29" i="3"/>
  <c r="O29" i="3"/>
  <c r="H29" i="3"/>
  <c r="G29" i="3"/>
  <c r="Q29" i="3"/>
  <c r="N29" i="3"/>
  <c r="J28" i="3"/>
  <c r="K28" i="3"/>
  <c r="O28" i="3"/>
  <c r="H28" i="3"/>
  <c r="G28" i="3"/>
  <c r="Q28" i="3"/>
  <c r="N28" i="3"/>
  <c r="J27" i="3"/>
  <c r="K27" i="3"/>
  <c r="O27" i="3"/>
  <c r="H27" i="3"/>
  <c r="G27" i="3"/>
  <c r="Q27" i="3"/>
  <c r="N27" i="3"/>
  <c r="J26" i="3"/>
  <c r="K26" i="3"/>
  <c r="O26" i="3"/>
  <c r="H26" i="3"/>
  <c r="G26" i="3"/>
  <c r="Q26" i="3"/>
  <c r="N26" i="3"/>
  <c r="J25" i="3"/>
  <c r="K25" i="3"/>
  <c r="O25" i="3"/>
  <c r="H25" i="3"/>
  <c r="G25" i="3"/>
  <c r="Q25" i="3"/>
  <c r="N25" i="3"/>
  <c r="J24" i="3"/>
  <c r="K24" i="3"/>
  <c r="O24" i="3"/>
  <c r="H24" i="3"/>
  <c r="G24" i="3"/>
  <c r="Q24" i="3"/>
  <c r="N24" i="3"/>
  <c r="J23" i="3"/>
  <c r="K23" i="3"/>
  <c r="O23" i="3"/>
  <c r="H23" i="3"/>
  <c r="G23" i="3"/>
  <c r="Q23" i="3"/>
  <c r="N23" i="3"/>
  <c r="J22" i="3"/>
  <c r="K22" i="3"/>
  <c r="O22" i="3"/>
  <c r="H22" i="3"/>
  <c r="G22" i="3"/>
  <c r="Q22" i="3"/>
  <c r="N22" i="3"/>
  <c r="J21" i="3"/>
  <c r="K21" i="3"/>
  <c r="O21" i="3"/>
  <c r="H21" i="3"/>
  <c r="G21" i="3"/>
  <c r="Q21" i="3"/>
  <c r="N21" i="3"/>
  <c r="J20" i="3"/>
  <c r="K20" i="3"/>
  <c r="O20" i="3"/>
  <c r="H20" i="3"/>
  <c r="G20" i="3"/>
  <c r="Q20" i="3"/>
  <c r="N20" i="3"/>
  <c r="J19" i="3"/>
  <c r="K19" i="3"/>
  <c r="O19" i="3"/>
  <c r="H19" i="3"/>
  <c r="G19" i="3"/>
  <c r="Q19" i="3"/>
  <c r="N19" i="3"/>
  <c r="J18" i="3"/>
  <c r="K18" i="3"/>
  <c r="O18" i="3"/>
  <c r="H18" i="3"/>
  <c r="G18" i="3"/>
  <c r="Q18" i="3"/>
  <c r="N18" i="3"/>
  <c r="J17" i="3"/>
  <c r="K17" i="3"/>
  <c r="O17" i="3"/>
  <c r="H17" i="3"/>
  <c r="G17" i="3"/>
  <c r="Q17" i="3"/>
  <c r="N17" i="3"/>
  <c r="J16" i="3"/>
  <c r="K16" i="3"/>
  <c r="O16" i="3"/>
  <c r="H16" i="3"/>
  <c r="G16" i="3"/>
  <c r="Q16" i="3"/>
  <c r="N16" i="3"/>
  <c r="J15" i="3"/>
  <c r="K15" i="3"/>
  <c r="O15" i="3"/>
  <c r="H15" i="3"/>
  <c r="G15" i="3"/>
  <c r="Q15" i="3"/>
  <c r="N15" i="3"/>
  <c r="J14" i="3"/>
  <c r="K14" i="3"/>
  <c r="O14" i="3"/>
  <c r="H14" i="3"/>
  <c r="G14" i="3"/>
  <c r="Q14" i="3"/>
  <c r="N14" i="3"/>
  <c r="J13" i="3"/>
  <c r="K13" i="3"/>
  <c r="O13" i="3"/>
  <c r="H13" i="3"/>
  <c r="G13" i="3"/>
  <c r="Q13" i="3"/>
  <c r="N13" i="3"/>
  <c r="J12" i="3"/>
  <c r="K12" i="3"/>
  <c r="O12" i="3"/>
  <c r="H12" i="3"/>
  <c r="G12" i="3"/>
  <c r="Q12" i="3"/>
  <c r="N12" i="3"/>
  <c r="J11" i="3"/>
  <c r="K11" i="3"/>
  <c r="O11" i="3"/>
  <c r="H11" i="3"/>
  <c r="G11" i="3"/>
  <c r="Q11" i="3"/>
  <c r="N11" i="3"/>
  <c r="J10" i="3"/>
  <c r="K10" i="3"/>
  <c r="O10" i="3"/>
  <c r="H10" i="3"/>
  <c r="G10" i="3"/>
  <c r="Q10" i="3"/>
  <c r="N10" i="3"/>
  <c r="J9" i="3"/>
  <c r="K9" i="3"/>
  <c r="O9" i="3"/>
  <c r="H9" i="3"/>
  <c r="G9" i="3"/>
  <c r="Q9" i="3"/>
  <c r="N9" i="3"/>
  <c r="J8" i="3"/>
  <c r="K8" i="3"/>
  <c r="O8" i="3"/>
  <c r="H8" i="3"/>
  <c r="G8" i="3"/>
  <c r="Q8" i="3"/>
  <c r="N8" i="3"/>
  <c r="J7" i="3"/>
  <c r="K7" i="3"/>
  <c r="O7" i="3"/>
  <c r="H7" i="3"/>
  <c r="G7" i="3"/>
  <c r="Q7" i="3"/>
  <c r="N7" i="3"/>
  <c r="J6" i="3"/>
  <c r="K6" i="3"/>
  <c r="O6" i="3"/>
  <c r="H6" i="3"/>
  <c r="G6" i="3"/>
  <c r="Q6" i="3"/>
  <c r="N6" i="3"/>
  <c r="J5" i="3"/>
  <c r="K5" i="3"/>
  <c r="O5" i="3"/>
  <c r="H5" i="3"/>
  <c r="G5" i="3"/>
  <c r="Q5" i="3"/>
  <c r="N5" i="3"/>
  <c r="J4" i="3"/>
  <c r="K4" i="3"/>
  <c r="O4" i="3"/>
  <c r="H4" i="3"/>
  <c r="G4" i="3"/>
  <c r="Q4" i="3"/>
  <c r="N4" i="3"/>
  <c r="J3" i="3"/>
  <c r="K3" i="3"/>
  <c r="O3" i="3"/>
  <c r="H3" i="3"/>
  <c r="G3" i="3"/>
  <c r="Q3" i="3"/>
  <c r="N3" i="3"/>
  <c r="J2" i="3"/>
  <c r="K2" i="3"/>
  <c r="O2" i="3"/>
  <c r="H2" i="3"/>
  <c r="G2" i="3"/>
  <c r="Q2" i="3"/>
  <c r="N2" i="3"/>
  <c r="B29" i="1"/>
  <c r="C29" i="1"/>
  <c r="D29" i="1"/>
  <c r="E29" i="1"/>
  <c r="F29" i="1"/>
  <c r="A30" i="1"/>
  <c r="B30" i="1"/>
  <c r="C30" i="1"/>
  <c r="D30" i="1"/>
  <c r="E30" i="1"/>
  <c r="F30" i="1"/>
  <c r="G2" i="4"/>
</calcChain>
</file>

<file path=xl/comments1.xml><?xml version="1.0" encoding="utf-8"?>
<comments xmlns="http://schemas.openxmlformats.org/spreadsheetml/2006/main">
  <authors>
    <author>IST</author>
    <author>CSD</author>
  </authors>
  <commentList>
    <comment ref="A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of transmission during a single unprotected set act between an infected male and uninfected female when the male is past the primary infection but his CD4 count is greater than 350 cells/microL</t>
        </r>
      </text>
    </comment>
    <comment ref="J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Viral load and transmission probabilities for individuals infected with wild-type strains. Viral load is high during primary infection, low after primary infection (when the CD4 count is greater than 350 cells/microL) and high once the CD4 count drops below 350 cells/microL.  Viral load ranges were estimated from empirical studies (S27, S32, S45-S50).
</t>
        </r>
        <r>
          <rPr>
            <b/>
            <sz val="10"/>
            <color indexed="81"/>
            <rFont val="Tahoma"/>
          </rPr>
          <t xml:space="preserve">This provides a range of 0.0017 to 0.0031
</t>
        </r>
        <r>
          <rPr>
            <sz val="10"/>
            <color indexed="81"/>
            <rFont val="Tahoma"/>
          </rPr>
          <t xml:space="preserve">
See: Gray, R.H. and Wawer, R.J. Probability of Heterosexual HIV-1 Transmission per Coital Act in Sub-Saharan Africa, JID (2012)
Provides an additional lower bound "The unadjusted pre-act risk of unprotected male-to-female transmission
(MTF) was 0.0019 (95% CI 0.0010 to 0.0037)." -&gt; </t>
        </r>
        <r>
          <rPr>
            <b/>
            <sz val="10"/>
            <color indexed="81"/>
            <rFont val="Tahoma"/>
          </rPr>
          <t>Lower bound of 0.0010</t>
        </r>
        <r>
          <rPr>
            <sz val="10"/>
            <color indexed="81"/>
            <rFont val="Tahoma"/>
          </rPr>
          <t xml:space="preserve">
See</t>
        </r>
      </text>
    </comment>
    <comment ref="A6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in a later stage of infection whereby his has less than 350 cells/microL</t>
        </r>
      </text>
    </comment>
    <comment ref="J6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Take the min and max of the ratio between treatment and primary infection.  Range is 1.29 to 2.35, mean is 1.82</t>
        </r>
      </text>
    </comment>
    <comment ref="A7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on ART and is compliant.</t>
        </r>
      </text>
    </comment>
    <comment ref="J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 xml:space="preserve">See: Cohen et al. (2011) </t>
        </r>
        <r>
          <rPr>
            <sz val="10"/>
            <color indexed="81"/>
            <rFont val="Tahoma"/>
          </rPr>
          <t xml:space="preserve">Prevention of HIV-1 Infection with Early Antiretroviral Therapy.  Table 2, Hazard for total linked transmission.  
</t>
        </r>
        <r>
          <rPr>
            <b/>
            <sz val="10"/>
            <color indexed="81"/>
            <rFont val="Tahoma"/>
          </rPr>
          <t>reduction factor is thus 0.01-0.27 with peak at 0.04.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From Previous NY Times Article:</t>
        </r>
        <r>
          <rPr>
            <sz val="10"/>
            <color indexed="81"/>
            <rFont val="Tahoma"/>
          </rPr>
          <t xml:space="preserve"> ART (Treatment As Prevention) (HPN 052) 96%
(HR  0.037) 95% CIs for HR, 0.005-0.272; exact log-rank test statistic, 13, p&lt;1.15 10-7
*Total of 39 cases of HIV infection among the previously uninfected partners. Of those, 28 were linked through genetic analysis to the HIV-infected partner. Of the 28 linked infections, 27 infections occurred among the 877 couples in which the HIV-infected partner was off ART. Only one case of HIV infection occurred among those couples where the HIV-infected partner was on ART
Ref-HPTN 052, unpublished abstract
</t>
        </r>
      </text>
    </comment>
    <comment ref="A8" authorId="0">
      <text>
        <r>
          <rPr>
            <b/>
            <sz val="10"/>
            <color indexed="81"/>
            <rFont val="Tahoma"/>
          </rPr>
          <t>multiplicative factor of the base transmissibility that yields the overall transmissibility if either the male or the female has other STDs.</t>
        </r>
      </text>
    </comment>
    <comment ref="J8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 Sex Transm Inf 1999;75:3–17
</t>
        </r>
        <r>
          <rPr>
            <b/>
            <sz val="10"/>
            <color indexed="81"/>
            <rFont val="Tahoma"/>
          </rPr>
          <t>range is 2 to 23</t>
        </r>
        <r>
          <rPr>
            <sz val="10"/>
            <color indexed="81"/>
            <rFont val="Tahoma"/>
          </rPr>
          <t xml:space="preserve">
Table 4 gives the peak for HSV2 at 4.1. 
</t>
        </r>
        <r>
          <rPr>
            <b/>
            <sz val="10"/>
            <color indexed="81"/>
            <rFont val="Tahoma"/>
          </rPr>
          <t>We use a peak of 2.3</t>
        </r>
        <r>
          <rPr>
            <sz val="10"/>
            <color indexed="81"/>
            <rFont val="Tahoma"/>
          </rPr>
          <t xml:space="preserve"> from Gray, R.H. and Wawer, R.J. Probability of Heterosexual HIV-1 Transmission per Coital Act in Sub-Saharan Africa, JID (2012). This provides a range of 2 to 2.3</t>
        </r>
      </text>
    </comment>
    <comment ref="A9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female is on PrEP.</t>
        </r>
      </text>
    </comment>
    <comment ref="J9" authorId="0">
      <text>
        <r>
          <rPr>
            <b/>
            <sz val="10"/>
            <color indexed="81"/>
            <rFont val="Tahoma"/>
          </rPr>
          <t xml:space="preserve">IST:
Factor = 1- efficacy.
The PrEP IPREX study shows that efficacy ranges from 15.4% to 87.5%
with peak at 43.8%:
Myers and Mayer (2011) http://dx.doi.org/10.1089/apc.2010.0222
</t>
        </r>
        <r>
          <rPr>
            <sz val="10"/>
            <color indexed="81"/>
            <rFont val="Tahoma"/>
          </rPr>
          <t xml:space="preserve">
PreP (IPREX)-
OVERALL RESULT 43.8% 95% CI 
15.4 to 62.6%; p=.005
PreP (IPREX)-
50% or more adherence 50.2% 95% CI 17.9-69.7%; P=0.006
PreP (IPREX)-
90% or more adherence 72.8% 95% CI 40.7-87.5%; P=0.001
</t>
        </r>
        <r>
          <rPr>
            <i/>
            <u/>
            <sz val="10"/>
            <color indexed="81"/>
            <rFont val="Tahoma"/>
            <family val="2"/>
          </rPr>
          <t>Thus 1-0.438 = 0.562 for a peak 
1-0.154 =  0.8460 for a maximum
1-0.875 = 0.1250 for a minimum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Tenofovir Gel 39% overall
Quarraisha et al. (2010) http://dx.doi.org/10.1126/science.1193748</t>
        </r>
        <r>
          <rPr>
            <sz val="10"/>
            <color indexed="81"/>
            <rFont val="Tahoma"/>
          </rPr>
          <t xml:space="preserve">
54% (adherence &gt;80%)
38% (intermediate 50-80%)
28% (low &lt; 50%) 5.6 per 100 women-years (person time of
study observation) (38 out of 680.6 women-years) compared with 9.1 per 100 women-years (60 out of
660.7 women-years) in the placebo gel arm (incidence rate ratio = 0.61; P = 0.017 Ref: Effectiveness and Safety of Tenofovir Gel, an Antiretroviral Microbicide, for the Prevention of HIV Infection in WomenScience 3 September 2010: 
Vol. 329 no. 5996 pp. 1168-1174
(see Figure 2 and Table 2)
</t>
        </r>
        <r>
          <rPr>
            <i/>
            <u/>
            <sz val="10"/>
            <color indexed="81"/>
            <rFont val="Tahoma"/>
            <family val="2"/>
          </rPr>
          <t>1-0.39 = 0. 61 which is included in the range above (0.125 to 0.846)</t>
        </r>
      </text>
    </comment>
    <comment ref="A16" authorId="0">
      <text>
        <r>
          <rPr>
            <b/>
            <sz val="10"/>
            <color indexed="81"/>
            <rFont val="Tahoma"/>
          </rPr>
          <t xml:space="preserve">Probability that a pregnant  HIV+ve woman will infect her baby during pregnancy. </t>
        </r>
      </text>
    </comment>
    <comment ref="J16" authorId="0">
      <text>
        <r>
          <rPr>
            <b/>
            <sz val="10"/>
            <color indexed="81"/>
            <rFont val="Tahoma"/>
          </rPr>
          <t xml:space="preserve">IST:
see:  Cock et al. (2000) Prevention of Mother-to-Child HIV Transmission in Resource-Poor Countries
http://jama.ama-assn.org/content/283/9/1175.long
</t>
        </r>
        <r>
          <rPr>
            <sz val="10"/>
            <color indexed="81"/>
            <rFont val="Tahoma"/>
          </rPr>
          <t xml:space="preserve">10 to 20%
</t>
        </r>
        <r>
          <rPr>
            <b/>
            <sz val="10"/>
            <color indexed="81"/>
            <rFont val="Tahoma"/>
          </rPr>
          <t>However we now use: mode of 0.255 and range 0.184 to  0.325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
</t>
        </r>
      </text>
    </comment>
    <comment ref="A17" authorId="1">
      <text>
        <r>
          <rPr>
            <b/>
            <sz val="8"/>
            <color indexed="81"/>
            <rFont val="Tahoma"/>
          </rPr>
          <t>Multaplicative factor that lowers the mother to child probability of transmission  during pregnancy due to the mother being on ART.</t>
        </r>
      </text>
    </comment>
    <comment ref="J1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see:</t>
        </r>
        <r>
          <rPr>
            <sz val="10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</rPr>
          <t>Zutlevics, T. (2006). "Should ART be offered to HIV-serodiscordant and HIV-seroconcordant couples: an ethical discussion?" Hum Reprod 21(8): 1956-1960.</t>
        </r>
        <r>
          <rPr>
            <sz val="10"/>
            <color indexed="81"/>
            <rFont val="Tahoma"/>
          </rPr>
          <t xml:space="preserve">
This paper states that with treatment - risks fall to 1 to 2% thus the multiplicative reduction factor that multiplies the MTCT prob is between 0.05 and 0.2. Thus, a factor of 1/5 to 1/10
</t>
        </r>
        <r>
          <rPr>
            <b/>
            <sz val="10"/>
            <color indexed="81"/>
            <rFont val="Tahoma"/>
          </rPr>
          <t>However now we use mode of 0.325 and range 0.179 to 0.593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</t>
        </r>
      </text>
    </comment>
    <comment ref="A24" authorId="0">
      <text>
        <r>
          <rPr>
            <b/>
            <sz val="10"/>
            <color indexed="81"/>
            <rFont val="Tahoma"/>
          </rPr>
          <t>Number of unprotected sex acts between an infected male and an uninfected female - prior to the woman being tested for either pregancy and HIV infection.</t>
        </r>
      </text>
    </comment>
  </commentList>
</comments>
</file>

<file path=xl/comments2.xml><?xml version="1.0" encoding="utf-8"?>
<comments xmlns="http://schemas.openxmlformats.org/spreadsheetml/2006/main">
  <authors>
    <author>The RAND Corporation</author>
  </authors>
  <commentList>
    <comment ref="D10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Transmission scroller
</t>
        </r>
      </text>
    </comment>
    <comment ref="C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Late infection?</t>
        </r>
      </text>
    </comment>
    <comment ref="D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Lae Infection Scrller
</t>
        </r>
      </text>
    </comment>
    <comment ref="C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Treatment?</t>
        </r>
      </text>
    </comment>
    <comment ref="D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 scroller</t>
        </r>
      </text>
    </comment>
    <comment ref="C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STD?</t>
        </r>
      </text>
    </comment>
    <comment ref="D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 scroller
</t>
        </r>
      </text>
    </comment>
    <comment ref="C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Prep?</t>
        </r>
      </text>
    </comment>
    <comment ref="D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 eff scroller
</t>
        </r>
      </text>
    </comment>
    <comment ref="C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conception
</t>
        </r>
      </text>
    </comment>
    <comment ref="D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Age</t>
        </r>
      </text>
    </comment>
    <comment ref="C16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delivery
</t>
        </r>
      </text>
    </comment>
  </commentList>
</comments>
</file>

<file path=xl/comments3.xml><?xml version="1.0" encoding="utf-8"?>
<comments xmlns="http://schemas.openxmlformats.org/spreadsheetml/2006/main">
  <authors>
    <author>IST</author>
    <author>The RAND Corporation</author>
  </authors>
  <commentList>
    <comment ref="B1" authorId="0">
      <text>
        <r>
          <rPr>
            <b/>
            <sz val="10"/>
            <color indexed="81"/>
            <rFont val="Tahoma"/>
          </rPr>
          <t>IST:
NOTE - here we are assuming that the probability of conception per sex act = probability of conception during the 3 days of a females fertility in a cycle.
THIS is a bad assumption!! Need to change.</t>
        </r>
      </text>
    </comment>
    <comment ref="C1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  <comment ref="D1" authorId="1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 = prob of conception per sex act (column B) during one cycle. Here we need the number of sex acts per cycle.
T = threshold probability of conception. That is the minimum probability desired of conceiving. This is defined in Model sheet - cell B20
T=1-(1-p)^N
thus N= log(1-T)/log(1-p)
We then add 0.5 and round.</t>
        </r>
      </text>
    </comment>
  </commentList>
</comments>
</file>

<file path=xl/comments4.xml><?xml version="1.0" encoding="utf-8"?>
<comments xmlns="http://schemas.openxmlformats.org/spreadsheetml/2006/main">
  <authors>
    <author>The RAND Corporation</author>
    <author>IST</author>
  </authors>
  <commentList>
    <comment ref="W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Assumes six sex acts over the three day window.  This is a best guess based upon Subject Matter Expert (SME)
</t>
        </r>
      </text>
    </comment>
    <comment ref="B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per sexual act that the woman becomes preganant.
See Van Noord-Zaadstra et al., 1991</t>
        </r>
      </text>
    </comment>
    <comment ref="C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</commentList>
</comments>
</file>

<file path=xl/sharedStrings.xml><?xml version="1.0" encoding="utf-8"?>
<sst xmlns="http://schemas.openxmlformats.org/spreadsheetml/2006/main" count="100" uniqueCount="89">
  <si>
    <t>delta</t>
  </si>
  <si>
    <t>TT</t>
  </si>
  <si>
    <t>start.year</t>
  </si>
  <si>
    <t>duration</t>
  </si>
  <si>
    <t>pay.period</t>
  </si>
  <si>
    <t>cur.elast</t>
  </si>
  <si>
    <t>cost</t>
  </si>
  <si>
    <t>MC</t>
  </si>
  <si>
    <t>VA</t>
  </si>
  <si>
    <t>Transmissibility per Act Parameters (alpha)</t>
  </si>
  <si>
    <t>Factors impacting transmission</t>
  </si>
  <si>
    <t>Pregnancy Parameters</t>
  </si>
  <si>
    <t>Mother to Child Transmission during Pregnency</t>
  </si>
  <si>
    <t>MTCT prob.</t>
  </si>
  <si>
    <t>Number of Sexual acts before tests</t>
  </si>
  <si>
    <t>N</t>
  </si>
  <si>
    <t>other STDs</t>
  </si>
  <si>
    <t xml:space="preserve">Treatment  </t>
  </si>
  <si>
    <t>PrEP</t>
  </si>
  <si>
    <t>Base Transmissibility</t>
  </si>
  <si>
    <t xml:space="preserve">Late Stage Infection  </t>
  </si>
  <si>
    <t xml:space="preserve"> overall transmissibility </t>
  </si>
  <si>
    <t xml:space="preserve"> overall prob. to concieve</t>
  </si>
  <si>
    <t>acts</t>
  </si>
  <si>
    <t>SANITY CHECK</t>
  </si>
  <si>
    <t>SCENARIO 4A</t>
  </si>
  <si>
    <t>SCENARIO 4B</t>
  </si>
  <si>
    <t>SCENARIO 5A</t>
  </si>
  <si>
    <t>SCENARIO 5B</t>
  </si>
  <si>
    <t>HIV-ve &amp; baby</t>
  </si>
  <si>
    <t>HIV+ve &amp; -ve baby</t>
  </si>
  <si>
    <t>HIV+ve &amp; +ve baby</t>
  </si>
  <si>
    <t>HIV-ve</t>
  </si>
  <si>
    <t>HIV+ve</t>
  </si>
  <si>
    <t>age</t>
  </si>
  <si>
    <t>Prob of conception</t>
  </si>
  <si>
    <t>Prob of delivery</t>
  </si>
  <si>
    <t>Age</t>
  </si>
  <si>
    <t>Treatment factor</t>
  </si>
  <si>
    <t>0.56 to 0.61</t>
  </si>
  <si>
    <t>N conception</t>
  </si>
  <si>
    <t xml:space="preserve">N HIV </t>
  </si>
  <si>
    <t>Total HIV-ve</t>
  </si>
  <si>
    <t>Total HIV+ve</t>
  </si>
  <si>
    <t>HIV+ below threshold</t>
  </si>
  <si>
    <t>reference row</t>
  </si>
  <si>
    <t>N Conception both constraints</t>
  </si>
  <si>
    <t>PREVIOUS CONCEPTION NUMBERS (ANNUAL)</t>
  </si>
  <si>
    <t>Annual P(Conception), Risa Pregnancy Calculator</t>
  </si>
  <si>
    <t>P(conceive), Annual</t>
  </si>
  <si>
    <t>P(not conceive), Annual</t>
  </si>
  <si>
    <t>p(not conceive), monthly</t>
  </si>
  <si>
    <t>p(conceive), monthly</t>
  </si>
  <si>
    <t>p(delivery)</t>
  </si>
  <si>
    <t>p(conceive_monthly)*p(delivery)</t>
  </si>
  <si>
    <t>AGE</t>
  </si>
  <si>
    <t>P(CONCEPTION)_ANNUAL</t>
  </si>
  <si>
    <t>odds of pregnancy at age18-25 is 88% in one year
26-30 years, 80%
31-35 is 65%
36-40 is 55%
41-45 is 38%</t>
  </si>
  <si>
    <t>We use one minus these values to get the probability of not conceiving in a year</t>
  </si>
  <si>
    <t>To get the monthly probability of not conceiving in a year: let P = probability of not conceiving in a year and p = probability of not conceiving in a month then P = p^12.  Solve for p = P^(1/12).</t>
  </si>
  <si>
    <t>The monthly probability of conceiving is then 1-p(not conceive) = 1-P^(1/12)</t>
  </si>
  <si>
    <t>&gt; AGE = c(21.5,28,33,38,43)</t>
  </si>
  <si>
    <t>&gt; P.CONCEIVE = c(.88,.8,.65,.55,.38)</t>
  </si>
  <si>
    <t>&gt; lm.mod = lm(P.CONCEIVE~AGE)</t>
  </si>
  <si>
    <t>&gt; summary(lm.mod)</t>
  </si>
  <si>
    <t>Call:</t>
  </si>
  <si>
    <t>lm(formula = P.CONCEIVE ~ AGE)</t>
  </si>
  <si>
    <t>Residuals:</t>
  </si>
  <si>
    <t xml:space="preserve">        1         2         3         4         5 </t>
  </si>
  <si>
    <t xml:space="preserve">-0.033996  0.038055  0.005018  0.021980 -0.031057 </t>
  </si>
  <si>
    <t>Coefficients:</t>
  </si>
  <si>
    <t xml:space="preserve">             Estimate Std. Error t value Pr(&gt;|t|)    </t>
  </si>
  <si>
    <t>(Intercept)  1.416934   0.073677   19.23 0.000307 ***</t>
  </si>
  <si>
    <t xml:space="preserve">AGE         -0.023392   0.002196  -10.65 0.001768 ** </t>
  </si>
  <si>
    <t>---</t>
  </si>
  <si>
    <t xml:space="preserve">Signif. codes:  0 ‘***’ 0.001 ‘**’ 0.01 ‘*’ 0.05 ‘.’ 0.1 ‘ ’ 1 </t>
  </si>
  <si>
    <t>Residual standard error: 0.03686 on 3 degrees of freedom</t>
  </si>
  <si>
    <t>Multiple R-squared: 0.9742,</t>
  </si>
  <si>
    <t xml:space="preserve">Adjusted R-squared: 0.9657 </t>
  </si>
  <si>
    <t xml:space="preserve">F-statistic: 113.5 on 1 and 3 DF,  p-value: 0.001768 </t>
  </si>
  <si>
    <t xml:space="preserve">Desired Probability of Conception </t>
  </si>
  <si>
    <t xml:space="preserve">Desired Maximum Tolerance of HIV infection </t>
  </si>
  <si>
    <t>Controls</t>
  </si>
  <si>
    <t>Slider bar values</t>
  </si>
  <si>
    <t>1.29 to 2.35</t>
  </si>
  <si>
    <t xml:space="preserve">Median Reference Value </t>
  </si>
  <si>
    <t>p(conceive), per sex act</t>
  </si>
  <si>
    <t>p(conceive, per sex act)*p(delivery)</t>
  </si>
  <si>
    <t>0.0010 to 0.0031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</si>
</sst>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5" x14ac:knownFonts="1"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b/>
      <sz val="11"/>
      <color indexed="10"/>
      <name val="Times New Roman"/>
      <family val="1"/>
    </font>
    <font>
      <b/>
      <sz val="11"/>
      <color indexed="57"/>
      <name val="Times New Roman"/>
      <family val="1"/>
    </font>
    <font>
      <b/>
      <sz val="11"/>
      <color indexed="48"/>
      <name val="Times New Roman"/>
      <family val="1"/>
    </font>
    <font>
      <b/>
      <sz val="11"/>
      <color indexed="61"/>
      <name val="Times New Roman"/>
      <family val="1"/>
    </font>
    <font>
      <b/>
      <sz val="11"/>
      <color indexed="14"/>
      <name val="Times New Roman"/>
      <family val="1"/>
    </font>
    <font>
      <b/>
      <sz val="8"/>
      <color indexed="81"/>
      <name val="Tahoma"/>
    </font>
    <font>
      <b/>
      <sz val="11"/>
      <color indexed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0"/>
      <color indexed="8"/>
      <name val="Arial"/>
    </font>
    <font>
      <b/>
      <sz val="12"/>
      <color indexed="8"/>
      <name val="Arial"/>
      <family val="2"/>
    </font>
    <font>
      <i/>
      <u/>
      <sz val="10"/>
      <color indexed="81"/>
      <name val="Tahoma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7" tint="-0.499984740745262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4">
    <xf numFmtId="0" fontId="0" fillId="0" borderId="0" xfId="0"/>
    <xf numFmtId="2" fontId="0" fillId="2" borderId="0" xfId="0" applyNumberFormat="1" applyFill="1"/>
    <xf numFmtId="2" fontId="3" fillId="2" borderId="0" xfId="0" applyNumberFormat="1" applyFont="1" applyFill="1"/>
    <xf numFmtId="2" fontId="4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7" fillId="2" borderId="0" xfId="0" applyNumberFormat="1" applyFont="1" applyFill="1"/>
    <xf numFmtId="3" fontId="7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2" fontId="9" fillId="2" borderId="0" xfId="0" applyNumberFormat="1" applyFont="1" applyFill="1"/>
    <xf numFmtId="164" fontId="9" fillId="2" borderId="0" xfId="0" applyNumberFormat="1" applyFont="1" applyFill="1"/>
    <xf numFmtId="4" fontId="6" fillId="2" borderId="0" xfId="0" applyNumberFormat="1" applyFont="1" applyFill="1"/>
    <xf numFmtId="0" fontId="0" fillId="3" borderId="0" xfId="0" applyFill="1"/>
    <xf numFmtId="0" fontId="0" fillId="4" borderId="3" xfId="0" applyFill="1" applyBorder="1"/>
    <xf numFmtId="0" fontId="11" fillId="5" borderId="1" xfId="0" applyFont="1" applyFill="1" applyBorder="1"/>
    <xf numFmtId="11" fontId="11" fillId="6" borderId="1" xfId="0" applyNumberFormat="1" applyFont="1" applyFill="1" applyBorder="1"/>
    <xf numFmtId="10" fontId="0" fillId="5" borderId="3" xfId="0" applyNumberFormat="1" applyFill="1" applyBorder="1"/>
    <xf numFmtId="10" fontId="0" fillId="6" borderId="0" xfId="0" applyNumberFormat="1" applyFill="1"/>
    <xf numFmtId="10" fontId="0" fillId="4" borderId="3" xfId="0" applyNumberFormat="1" applyFill="1" applyBorder="1"/>
    <xf numFmtId="0" fontId="14" fillId="7" borderId="0" xfId="0" applyFont="1" applyFill="1"/>
    <xf numFmtId="2" fontId="14" fillId="7" borderId="0" xfId="0" applyNumberFormat="1" applyFont="1" applyFill="1"/>
    <xf numFmtId="0" fontId="15" fillId="7" borderId="0" xfId="0" applyFont="1" applyFill="1"/>
    <xf numFmtId="0" fontId="14" fillId="7" borderId="3" xfId="0" applyFont="1" applyFill="1" applyBorder="1"/>
    <xf numFmtId="2" fontId="14" fillId="7" borderId="3" xfId="0" applyNumberFormat="1" applyFont="1" applyFill="1" applyBorder="1"/>
    <xf numFmtId="0" fontId="14" fillId="7" borderId="2" xfId="0" applyFont="1" applyFill="1" applyBorder="1"/>
    <xf numFmtId="2" fontId="14" fillId="7" borderId="2" xfId="0" applyNumberFormat="1" applyFont="1" applyFill="1" applyBorder="1"/>
    <xf numFmtId="0" fontId="15" fillId="7" borderId="1" xfId="0" applyFont="1" applyFill="1" applyBorder="1"/>
    <xf numFmtId="2" fontId="15" fillId="7" borderId="1" xfId="0" applyNumberFormat="1" applyFont="1" applyFill="1" applyBorder="1"/>
    <xf numFmtId="1" fontId="5" fillId="2" borderId="0" xfId="0" applyNumberFormat="1" applyFont="1" applyFill="1"/>
    <xf numFmtId="165" fontId="3" fillId="2" borderId="0" xfId="0" applyNumberFormat="1" applyFont="1" applyFill="1"/>
    <xf numFmtId="2" fontId="17" fillId="2" borderId="0" xfId="0" applyNumberFormat="1" applyFont="1" applyFill="1"/>
    <xf numFmtId="2" fontId="18" fillId="2" borderId="0" xfId="0" applyNumberFormat="1" applyFont="1" applyFill="1" applyAlignment="1">
      <alignment horizontal="right"/>
    </xf>
    <xf numFmtId="2" fontId="15" fillId="2" borderId="0" xfId="0" applyNumberFormat="1" applyFont="1" applyFill="1"/>
    <xf numFmtId="0" fontId="14" fillId="7" borderId="5" xfId="0" applyFont="1" applyFill="1" applyBorder="1"/>
    <xf numFmtId="2" fontId="14" fillId="7" borderId="5" xfId="0" applyNumberFormat="1" applyFont="1" applyFill="1" applyBorder="1"/>
    <xf numFmtId="0" fontId="0" fillId="8" borderId="0" xfId="0" applyFill="1"/>
    <xf numFmtId="2" fontId="0" fillId="9" borderId="0" xfId="0" applyNumberFormat="1" applyFill="1"/>
    <xf numFmtId="0" fontId="0" fillId="10" borderId="0" xfId="0" applyFill="1"/>
    <xf numFmtId="0" fontId="11" fillId="10" borderId="0" xfId="0" applyFont="1" applyFill="1"/>
    <xf numFmtId="0" fontId="11" fillId="11" borderId="1" xfId="0" applyFont="1" applyFill="1" applyBorder="1"/>
    <xf numFmtId="10" fontId="11" fillId="9" borderId="7" xfId="0" applyNumberFormat="1" applyFont="1" applyFill="1" applyBorder="1"/>
    <xf numFmtId="10" fontId="11" fillId="11" borderId="7" xfId="0" applyNumberFormat="1" applyFont="1" applyFill="1" applyBorder="1"/>
    <xf numFmtId="10" fontId="11" fillId="12" borderId="7" xfId="0" applyNumberFormat="1" applyFont="1" applyFill="1" applyBorder="1"/>
    <xf numFmtId="0" fontId="11" fillId="13" borderId="6" xfId="0" applyFont="1" applyFill="1" applyBorder="1"/>
    <xf numFmtId="0" fontId="0" fillId="11" borderId="2" xfId="0" applyFill="1" applyBorder="1"/>
    <xf numFmtId="10" fontId="0" fillId="9" borderId="8" xfId="0" applyNumberFormat="1" applyFill="1" applyBorder="1"/>
    <xf numFmtId="10" fontId="0" fillId="11" borderId="8" xfId="0" applyNumberFormat="1" applyFill="1" applyBorder="1"/>
    <xf numFmtId="10" fontId="0" fillId="12" borderId="0" xfId="0" applyNumberFormat="1" applyFill="1"/>
    <xf numFmtId="10" fontId="0" fillId="13" borderId="0" xfId="0" applyNumberFormat="1" applyFill="1"/>
    <xf numFmtId="10" fontId="0" fillId="10" borderId="0" xfId="0" applyNumberFormat="1" applyFill="1"/>
    <xf numFmtId="0" fontId="0" fillId="13" borderId="0" xfId="0" applyFill="1"/>
    <xf numFmtId="0" fontId="11" fillId="11" borderId="9" xfId="0" applyFont="1" applyFill="1" applyBorder="1"/>
    <xf numFmtId="10" fontId="11" fillId="9" borderId="10" xfId="0" applyNumberFormat="1" applyFont="1" applyFill="1" applyBorder="1"/>
    <xf numFmtId="10" fontId="11" fillId="11" borderId="10" xfId="0" applyNumberFormat="1" applyFont="1" applyFill="1" applyBorder="1"/>
    <xf numFmtId="0" fontId="0" fillId="11" borderId="3" xfId="0" applyFill="1" applyBorder="1"/>
    <xf numFmtId="10" fontId="0" fillId="9" borderId="11" xfId="0" applyNumberFormat="1" applyFill="1" applyBorder="1"/>
    <xf numFmtId="10" fontId="0" fillId="11" borderId="11" xfId="0" applyNumberFormat="1" applyFill="1" applyBorder="1"/>
    <xf numFmtId="1" fontId="14" fillId="7" borderId="0" xfId="0" applyNumberFormat="1" applyFont="1" applyFill="1"/>
    <xf numFmtId="0" fontId="19" fillId="15" borderId="0" xfId="0" applyFont="1" applyFill="1"/>
    <xf numFmtId="0" fontId="15" fillId="16" borderId="3" xfId="0" applyFont="1" applyFill="1" applyBorder="1"/>
    <xf numFmtId="0" fontId="19" fillId="16" borderId="3" xfId="0" applyFont="1" applyFill="1" applyBorder="1"/>
    <xf numFmtId="0" fontId="19" fillId="17" borderId="4" xfId="0" applyFont="1" applyFill="1" applyBorder="1"/>
    <xf numFmtId="0" fontId="0" fillId="17" borderId="0" xfId="0" applyFill="1"/>
    <xf numFmtId="0" fontId="15" fillId="18" borderId="3" xfId="0" applyFont="1" applyFill="1" applyBorder="1"/>
    <xf numFmtId="0" fontId="19" fillId="18" borderId="3" xfId="0" applyFont="1" applyFill="1" applyBorder="1"/>
    <xf numFmtId="0" fontId="0" fillId="15" borderId="0" xfId="0" applyFill="1" applyAlignment="1">
      <alignment wrapText="1"/>
    </xf>
    <xf numFmtId="0" fontId="14" fillId="16" borderId="3" xfId="0" applyFont="1" applyFill="1" applyBorder="1"/>
    <xf numFmtId="0" fontId="0" fillId="16" borderId="3" xfId="0" applyFill="1" applyBorder="1"/>
    <xf numFmtId="2" fontId="14" fillId="16" borderId="3" xfId="0" applyNumberFormat="1" applyFont="1" applyFill="1" applyBorder="1"/>
    <xf numFmtId="0" fontId="14" fillId="18" borderId="3" xfId="0" applyFont="1" applyFill="1" applyBorder="1"/>
    <xf numFmtId="0" fontId="0" fillId="18" borderId="3" xfId="0" applyFill="1" applyBorder="1"/>
    <xf numFmtId="2" fontId="14" fillId="18" borderId="3" xfId="0" applyNumberFormat="1" applyFont="1" applyFill="1" applyBorder="1"/>
    <xf numFmtId="0" fontId="0" fillId="15" borderId="0" xfId="0" applyFill="1"/>
    <xf numFmtId="2" fontId="15" fillId="14" borderId="1" xfId="0" applyNumberFormat="1" applyFont="1" applyFill="1" applyBorder="1"/>
    <xf numFmtId="2" fontId="14" fillId="14" borderId="2" xfId="0" applyNumberFormat="1" applyFont="1" applyFill="1" applyBorder="1"/>
    <xf numFmtId="0" fontId="15" fillId="18" borderId="1" xfId="0" applyFont="1" applyFill="1" applyBorder="1"/>
    <xf numFmtId="0" fontId="14" fillId="18" borderId="2" xfId="0" applyFont="1" applyFill="1" applyBorder="1"/>
    <xf numFmtId="0" fontId="15" fillId="20" borderId="1" xfId="0" applyFont="1" applyFill="1" applyBorder="1"/>
    <xf numFmtId="1" fontId="14" fillId="20" borderId="2" xfId="0" applyNumberFormat="1" applyFont="1" applyFill="1" applyBorder="1"/>
    <xf numFmtId="1" fontId="14" fillId="20" borderId="3" xfId="0" applyNumberFormat="1" applyFont="1" applyFill="1" applyBorder="1"/>
    <xf numFmtId="0" fontId="15" fillId="21" borderId="1" xfId="0" applyFont="1" applyFill="1" applyBorder="1"/>
    <xf numFmtId="0" fontId="14" fillId="21" borderId="3" xfId="0" applyFont="1" applyFill="1" applyBorder="1"/>
    <xf numFmtId="1" fontId="15" fillId="22" borderId="1" xfId="0" applyNumberFormat="1" applyFont="1" applyFill="1" applyBorder="1"/>
    <xf numFmtId="1" fontId="14" fillId="22" borderId="2" xfId="0" applyNumberFormat="1" applyFont="1" applyFill="1" applyBorder="1"/>
    <xf numFmtId="1" fontId="14" fillId="22" borderId="3" xfId="0" applyNumberFormat="1" applyFont="1" applyFill="1" applyBorder="1"/>
    <xf numFmtId="2" fontId="24" fillId="2" borderId="0" xfId="0" applyNumberFormat="1" applyFont="1" applyFill="1"/>
    <xf numFmtId="9" fontId="24" fillId="2" borderId="0" xfId="0" applyNumberFormat="1" applyFont="1" applyFill="1"/>
    <xf numFmtId="0" fontId="0" fillId="23" borderId="0" xfId="0" applyFill="1"/>
    <xf numFmtId="0" fontId="11" fillId="23" borderId="0" xfId="0" applyFont="1" applyFill="1"/>
    <xf numFmtId="1" fontId="0" fillId="23" borderId="0" xfId="0" applyNumberFormat="1" applyFill="1"/>
    <xf numFmtId="0" fontId="0" fillId="20" borderId="0" xfId="0" applyFill="1"/>
    <xf numFmtId="166" fontId="19" fillId="18" borderId="3" xfId="0" applyNumberFormat="1" applyFont="1" applyFill="1" applyBorder="1"/>
    <xf numFmtId="166" fontId="0" fillId="18" borderId="3" xfId="0" applyNumberFormat="1" applyFill="1" applyBorder="1"/>
    <xf numFmtId="166" fontId="0" fillId="0" borderId="0" xfId="0" applyNumberFormat="1"/>
    <xf numFmtId="166" fontId="15" fillId="19" borderId="1" xfId="0" applyNumberFormat="1" applyFont="1" applyFill="1" applyBorder="1"/>
    <xf numFmtId="166" fontId="14" fillId="19" borderId="2" xfId="0" applyNumberFormat="1" applyFont="1" applyFill="1" applyBorder="1"/>
    <xf numFmtId="166" fontId="14" fillId="7" borderId="5" xfId="0" applyNumberFormat="1" applyFont="1" applyFill="1" applyBorder="1"/>
    <xf numFmtId="166" fontId="14" fillId="7" borderId="0" xfId="0" applyNumberFormat="1" applyFont="1" applyFill="1"/>
    <xf numFmtId="165" fontId="19" fillId="18" borderId="3" xfId="0" applyNumberFormat="1" applyFont="1" applyFill="1" applyBorder="1"/>
    <xf numFmtId="165" fontId="0" fillId="18" borderId="3" xfId="0" applyNumberFormat="1" applyFill="1" applyBorder="1"/>
    <xf numFmtId="165" fontId="0" fillId="0" borderId="0" xfId="0" applyNumberFormat="1"/>
    <xf numFmtId="0" fontId="19" fillId="14" borderId="12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Successful Pregnancy</a:t>
            </a:r>
          </a:p>
        </c:rich>
      </c:tx>
      <c:layout>
        <c:manualLayout>
          <c:xMode val="edge"/>
          <c:yMode val="edge"/>
          <c:x val="0.223463540521122"/>
          <c:y val="0.0326797508520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13460274219"/>
          <c:y val="0.176470729031615"/>
          <c:w val="0.832401477754126"/>
          <c:h val="0.614379575147103"/>
        </c:manualLayout>
      </c:layout>
      <c:lineChart>
        <c:grouping val="standard"/>
        <c:varyColors val="0"/>
        <c:ser>
          <c:idx val="1"/>
          <c:order val="0"/>
          <c:tx>
            <c:strRef>
              <c:f>Model!$G$1</c:f>
              <c:strCache>
                <c:ptCount val="1"/>
                <c:pt idx="0">
                  <c:v>HIV-ve &amp; baby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Model!$G$2:$G$101</c:f>
              <c:numCache>
                <c:formatCode>0.00%</c:formatCode>
                <c:ptCount val="100"/>
                <c:pt idx="0">
                  <c:v>0.0325969106750091</c:v>
                </c:pt>
                <c:pt idx="1">
                  <c:v>0.0639996419266372</c:v>
                </c:pt>
                <c:pt idx="2">
                  <c:v>0.0942519368372101</c:v>
                </c:pt>
                <c:pt idx="3">
                  <c:v>0.123395936169348</c:v>
                </c:pt>
                <c:pt idx="4">
                  <c:v>0.151472237059323</c:v>
                </c:pt>
                <c:pt idx="5">
                  <c:v>0.17851994956047</c:v>
                </c:pt>
                <c:pt idx="6">
                  <c:v>0.20457675111539</c:v>
                </c:pt>
                <c:pt idx="7">
                  <c:v>0.229678939032833</c:v>
                </c:pt>
                <c:pt idx="8">
                  <c:v>0.253861481042332</c:v>
                </c:pt>
                <c:pt idx="9">
                  <c:v>0.277158063997015</c:v>
                </c:pt>
                <c:pt idx="10">
                  <c:v>0.299601140792416</c:v>
                </c:pt>
                <c:pt idx="11">
                  <c:v>0.321221975566639</c:v>
                </c:pt>
                <c:pt idx="12">
                  <c:v>0.342050687244837</c:v>
                </c:pt>
                <c:pt idx="13">
                  <c:v>0.362116291488633</c:v>
                </c:pt>
                <c:pt idx="14">
                  <c:v>0.381446741108935</c:v>
                </c:pt>
                <c:pt idx="15">
                  <c:v>0.400068964998411</c:v>
                </c:pt>
                <c:pt idx="16">
                  <c:v>0.418008905637868</c:v>
                </c:pt>
                <c:pt idx="17">
                  <c:v>0.435291555228752</c:v>
                </c:pt>
                <c:pt idx="18">
                  <c:v>0.451940990502116</c:v>
                </c:pt>
                <c:pt idx="19">
                  <c:v>0.467980406252516</c:v>
                </c:pt>
                <c:pt idx="20">
                  <c:v>0.483432147643568</c:v>
                </c:pt>
                <c:pt idx="21">
                  <c:v>0.498317741330126</c:v>
                </c:pt>
                <c:pt idx="22">
                  <c:v>0.51265792544046</c:v>
                </c:pt>
                <c:pt idx="23">
                  <c:v>0.526472678460178</c:v>
                </c:pt>
                <c:pt idx="24">
                  <c:v>0.539781247058117</c:v>
                </c:pt>
                <c:pt idx="25">
                  <c:v>0.552602172892973</c:v>
                </c:pt>
                <c:pt idx="26">
                  <c:v>0.564953318437987</c:v>
                </c:pt>
                <c:pt idx="27">
                  <c:v>0.576851891859679</c:v>
                </c:pt>
                <c:pt idx="28">
                  <c:v>0.588314470985259</c:v>
                </c:pt>
                <c:pt idx="29">
                  <c:v>0.599357026392108</c:v>
                </c:pt>
                <c:pt idx="30">
                  <c:v>0.609994943651489</c:v>
                </c:pt>
                <c:pt idx="31">
                  <c:v>0.620243044757461</c:v>
                </c:pt>
                <c:pt idx="32">
                  <c:v>0.630115608770846</c:v>
                </c:pt>
                <c:pt idx="33">
                  <c:v>0.639626391707012</c:v>
                </c:pt>
                <c:pt idx="34">
                  <c:v>0.648788645695147</c:v>
                </c:pt>
                <c:pt idx="35">
                  <c:v>0.657615137435737</c:v>
                </c:pt>
                <c:pt idx="36">
                  <c:v>0.666118165981936</c:v>
                </c:pt>
                <c:pt idx="37">
                  <c:v>0.6743095798696</c:v>
                </c:pt>
                <c:pt idx="38">
                  <c:v>0.682200793619844</c:v>
                </c:pt>
                <c:pt idx="39">
                  <c:v>0.689802803637111</c:v>
                </c:pt>
                <c:pt idx="40">
                  <c:v>0.697126203524882</c:v>
                </c:pt>
                <c:pt idx="41">
                  <c:v>0.704181198840377</c:v>
                </c:pt>
                <c:pt idx="42">
                  <c:v>0.710977621308781</c:v>
                </c:pt>
                <c:pt idx="43">
                  <c:v>0.717524942516804</c:v>
                </c:pt>
                <c:pt idx="44">
                  <c:v>0.723832287104638</c:v>
                </c:pt>
                <c:pt idx="45">
                  <c:v>0.729908445474694</c:v>
                </c:pt>
                <c:pt idx="46">
                  <c:v>0.735761886034813</c:v>
                </c:pt>
                <c:pt idx="47">
                  <c:v>0.741400766993006</c:v>
                </c:pt>
                <c:pt idx="48">
                  <c:v>0.746832947720145</c:v>
                </c:pt>
                <c:pt idx="49">
                  <c:v>0.752065999696442</c:v>
                </c:pt>
                <c:pt idx="50">
                  <c:v>0.757107217056958</c:v>
                </c:pt>
                <c:pt idx="51">
                  <c:v>0.761963626750815</c:v>
                </c:pt>
                <c:pt idx="52">
                  <c:v>0.766641998328288</c:v>
                </c:pt>
                <c:pt idx="53">
                  <c:v>0.771148853369384</c:v>
                </c:pt>
                <c:pt idx="54">
                  <c:v>0.775490474567054</c:v>
                </c:pt>
                <c:pt idx="55">
                  <c:v>0.779672914477684</c:v>
                </c:pt>
                <c:pt idx="56">
                  <c:v>0.783702003951054</c:v>
                </c:pt>
                <c:pt idx="57">
                  <c:v>0.787583360251501</c:v>
                </c:pt>
                <c:pt idx="58">
                  <c:v>0.791322394881611</c:v>
                </c:pt>
                <c:pt idx="59">
                  <c:v>0.794924321119315</c:v>
                </c:pt>
                <c:pt idx="60">
                  <c:v>0.798394161278915</c:v>
                </c:pt>
                <c:pt idx="61">
                  <c:v>0.801736753706119</c:v>
                </c:pt>
                <c:pt idx="62">
                  <c:v>0.804956759516861</c:v>
                </c:pt>
                <c:pt idx="63">
                  <c:v>0.808058669089269</c:v>
                </c:pt>
                <c:pt idx="64">
                  <c:v>0.81104680831783</c:v>
                </c:pt>
                <c:pt idx="65">
                  <c:v>0.813925344638471</c:v>
                </c:pt>
                <c:pt idx="66">
                  <c:v>0.816698292832928</c:v>
                </c:pt>
                <c:pt idx="67">
                  <c:v>0.819369520620511</c:v>
                </c:pt>
                <c:pt idx="68">
                  <c:v>0.821942754045034</c:v>
                </c:pt>
                <c:pt idx="69">
                  <c:v>0.824421582664422</c:v>
                </c:pt>
                <c:pt idx="70">
                  <c:v>0.826809464550225</c:v>
                </c:pt>
                <c:pt idx="71">
                  <c:v>0.829109731103992</c:v>
                </c:pt>
                <c:pt idx="72">
                  <c:v>0.831325591697229</c:v>
                </c:pt>
                <c:pt idx="73">
                  <c:v>0.833460138141384</c:v>
                </c:pt>
                <c:pt idx="74">
                  <c:v>0.835516348994102</c:v>
                </c:pt>
                <c:pt idx="75">
                  <c:v>0.837497093707741</c:v>
                </c:pt>
                <c:pt idx="76">
                  <c:v>0.839405136625922</c:v>
                </c:pt>
                <c:pt idx="77">
                  <c:v>0.841243140833692</c:v>
                </c:pt>
                <c:pt idx="78">
                  <c:v>0.843013671866646</c:v>
                </c:pt>
                <c:pt idx="79">
                  <c:v>0.844719201284186</c:v>
                </c:pt>
                <c:pt idx="80">
                  <c:v>0.846362110111898</c:v>
                </c:pt>
                <c:pt idx="81">
                  <c:v>0.847944692157823</c:v>
                </c:pt>
                <c:pt idx="82">
                  <c:v>0.849469157207255</c:v>
                </c:pt>
                <c:pt idx="83">
                  <c:v>0.850937634100519</c:v>
                </c:pt>
                <c:pt idx="84">
                  <c:v>0.852352173698005</c:v>
                </c:pt>
                <c:pt idx="85">
                  <c:v>0.853714751736586</c:v>
                </c:pt>
                <c:pt idx="86">
                  <c:v>0.855027271581417</c:v>
                </c:pt>
                <c:pt idx="87">
                  <c:v>0.856291566876926</c:v>
                </c:pt>
                <c:pt idx="88">
                  <c:v>0.8575094041007</c:v>
                </c:pt>
                <c:pt idx="89">
                  <c:v>0.858682485023825</c:v>
                </c:pt>
                <c:pt idx="90">
                  <c:v>0.8598124490811</c:v>
                </c:pt>
                <c:pt idx="91">
                  <c:v>0.860900875654429</c:v>
                </c:pt>
                <c:pt idx="92">
                  <c:v>0.861949286272574</c:v>
                </c:pt>
                <c:pt idx="93">
                  <c:v>0.862959146730332</c:v>
                </c:pt>
                <c:pt idx="94">
                  <c:v>0.863931869130078</c:v>
                </c:pt>
                <c:pt idx="95">
                  <c:v>0.864868813848538</c:v>
                </c:pt>
                <c:pt idx="96">
                  <c:v>0.865771291431506</c:v>
                </c:pt>
                <c:pt idx="97">
                  <c:v>0.866640564419169</c:v>
                </c:pt>
                <c:pt idx="98">
                  <c:v>0.867477849104557</c:v>
                </c:pt>
                <c:pt idx="99">
                  <c:v>0.868284317227596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Model!$H$1</c:f>
              <c:strCache>
                <c:ptCount val="1"/>
                <c:pt idx="0">
                  <c:v>HIV+ve &amp; -ve baby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Model!$H$2:$H$101</c:f>
              <c:numCache>
                <c:formatCode>0.00%</c:formatCode>
                <c:ptCount val="100"/>
                <c:pt idx="0">
                  <c:v>1.28277569981836E-7</c:v>
                </c:pt>
                <c:pt idx="1">
                  <c:v>5.03712581835482E-7</c:v>
                </c:pt>
                <c:pt idx="2">
                  <c:v>1.11272481781079E-6</c:v>
                </c:pt>
                <c:pt idx="3">
                  <c:v>1.94239728313907E-6</c:v>
                </c:pt>
                <c:pt idx="4">
                  <c:v>2.98044584030678E-6</c:v>
                </c:pt>
                <c:pt idx="5">
                  <c:v>4.21519017799748E-6</c:v>
                </c:pt>
                <c:pt idx="6">
                  <c:v>5.63552605772922E-6</c:v>
                </c:pt>
                <c:pt idx="7">
                  <c:v>7.23089878348162E-6</c:v>
                </c:pt>
                <c:pt idx="8">
                  <c:v>8.991277841893E-6</c:v>
                </c:pt>
                <c:pt idx="9">
                  <c:v>1.09071326630322E-5</c:v>
                </c:pt>
                <c:pt idx="10">
                  <c:v>1.29694094536222E-5</c:v>
                </c:pt>
                <c:pt idx="11">
                  <c:v>1.51695090564825E-5</c:v>
                </c:pt>
                <c:pt idx="12">
                  <c:v>1.74992657924598E-5</c:v>
                </c:pt>
                <c:pt idx="13">
                  <c:v>1.99509272421468E-5</c:v>
                </c:pt>
                <c:pt idx="14">
                  <c:v>2.25171349273187E-5</c:v>
                </c:pt>
                <c:pt idx="15">
                  <c:v>2.51909058531661E-5</c:v>
                </c:pt>
                <c:pt idx="16">
                  <c:v>2.7965614873978E-5</c:v>
                </c:pt>
                <c:pt idx="17">
                  <c:v>3.08349778469803E-5</c:v>
                </c:pt>
                <c:pt idx="18">
                  <c:v>3.37930355402505E-5</c:v>
                </c:pt>
                <c:pt idx="19">
                  <c:v>3.68341382619169E-5</c:v>
                </c:pt>
                <c:pt idx="20">
                  <c:v>3.99529311792692E-5</c:v>
                </c:pt>
                <c:pt idx="21">
                  <c:v>4.31443402984865E-5</c:v>
                </c:pt>
                <c:pt idx="22">
                  <c:v>4.6403559075323E-5</c:v>
                </c:pt>
                <c:pt idx="23">
                  <c:v>4.97260356305105E-5</c:v>
                </c:pt>
                <c:pt idx="24">
                  <c:v>5.31074605420458E-5</c:v>
                </c:pt>
                <c:pt idx="25">
                  <c:v>5.65437551908498E-5</c:v>
                </c:pt>
                <c:pt idx="26">
                  <c:v>6.00310606347431E-5</c:v>
                </c:pt>
                <c:pt idx="27">
                  <c:v>6.35657269872833E-5</c:v>
                </c:pt>
                <c:pt idx="28">
                  <c:v>6.71443032808876E-5</c:v>
                </c:pt>
                <c:pt idx="29">
                  <c:v>7.07635277911896E-5</c:v>
                </c:pt>
                <c:pt idx="30">
                  <c:v>7.44203188036633E-5</c:v>
                </c:pt>
                <c:pt idx="31">
                  <c:v>7.81117658030595E-5</c:v>
                </c:pt>
                <c:pt idx="32">
                  <c:v>8.18351210662658E-5</c:v>
                </c:pt>
                <c:pt idx="33">
                  <c:v>8.55877916415661E-5</c:v>
                </c:pt>
                <c:pt idx="34">
                  <c:v>8.93673316972529E-5</c:v>
                </c:pt>
                <c:pt idx="35">
                  <c:v>9.31714352226258E-5</c:v>
                </c:pt>
                <c:pt idx="36">
                  <c:v>9.69979290670356E-5</c:v>
                </c:pt>
                <c:pt idx="37">
                  <c:v>0.000100844766300426</c:v>
                </c:pt>
                <c:pt idx="38">
                  <c:v>0.00010471001988254</c:v>
                </c:pt>
                <c:pt idx="39">
                  <c:v>0.00010859187662684</c:v>
                </c:pt>
                <c:pt idx="40">
                  <c:v>0.000112488631444736</c:v>
                </c:pt>
                <c:pt idx="41">
                  <c:v>0.000116398681859786</c:v>
                </c:pt>
                <c:pt idx="42">
                  <c:v>0.000120320522778107</c:v>
                </c:pt>
                <c:pt idx="43">
                  <c:v>0.000124252741504608</c:v>
                </c:pt>
                <c:pt idx="44">
                  <c:v>0.000128194012993282</c:v>
                </c:pt>
                <c:pt idx="45">
                  <c:v>0.000132143095321721</c:v>
                </c:pt>
                <c:pt idx="46">
                  <c:v>0.000136098825379294</c:v>
                </c:pt>
                <c:pt idx="47">
                  <c:v>0.000140060114760507</c:v>
                </c:pt>
                <c:pt idx="48">
                  <c:v>0.000144025945852158</c:v>
                </c:pt>
                <c:pt idx="49">
                  <c:v>0.000147995368107926</c:v>
                </c:pt>
                <c:pt idx="50">
                  <c:v>0.000151967494500342</c:v>
                </c:pt>
                <c:pt idx="51">
                  <c:v>0.000155941498143414</c:v>
                </c:pt>
                <c:pt idx="52">
                  <c:v>0.000159916609076234</c:v>
                </c:pt>
                <c:pt idx="53">
                  <c:v>0.000163892111202647</c:v>
                </c:pt>
                <c:pt idx="54">
                  <c:v>0.000167867339378319</c:v>
                </c:pt>
                <c:pt idx="55">
                  <c:v>0.000171841676639017</c:v>
                </c:pt>
                <c:pt idx="56">
                  <c:v>0.000175814551563044</c:v>
                </c:pt>
                <c:pt idx="57">
                  <c:v>0.000179785435763053</c:v>
                </c:pt>
                <c:pt idx="58">
                  <c:v>0.000183753841500379</c:v>
                </c:pt>
                <c:pt idx="59">
                  <c:v>0.000187719319415349</c:v>
                </c:pt>
                <c:pt idx="60">
                  <c:v>0.000191681456371176</c:v>
                </c:pt>
                <c:pt idx="61">
                  <c:v>0.000195639873402394</c:v>
                </c:pt>
                <c:pt idx="62">
                  <c:v>0.000199594223766382</c:v>
                </c:pt>
                <c:pt idx="63">
                  <c:v>0.000203544191091127</c:v>
                </c:pt>
                <c:pt idx="64">
                  <c:v>0.000207489487615581</c:v>
                </c:pt>
                <c:pt idx="65">
                  <c:v>0.000211429852518188</c:v>
                </c:pt>
                <c:pt idx="66">
                  <c:v>0.000215365050329381</c:v>
                </c:pt>
                <c:pt idx="67">
                  <c:v>0.000219294869424549</c:v>
                </c:pt>
                <c:pt idx="68">
                  <c:v>0.000223219120592932</c:v>
                </c:pt>
                <c:pt idx="69">
                  <c:v>0.000227137635679501</c:v>
                </c:pt>
                <c:pt idx="70">
                  <c:v>0.000231050266296651</c:v>
                </c:pt>
                <c:pt idx="71">
                  <c:v>0.000234956882601726</c:v>
                </c:pt>
                <c:pt idx="72">
                  <c:v>0.000238857372137184</c:v>
                </c:pt>
                <c:pt idx="73">
                  <c:v>0.000242751638731363</c:v>
                </c:pt>
                <c:pt idx="74">
                  <c:v>0.00024663960145664</c:v>
                </c:pt>
                <c:pt idx="75">
                  <c:v>0.000250521193641426</c:v>
                </c:pt>
                <c:pt idx="76">
                  <c:v>0.000254396361934556</c:v>
                </c:pt>
                <c:pt idx="77">
                  <c:v>0.000258265065418616</c:v>
                </c:pt>
                <c:pt idx="78">
                  <c:v>0.000262127274770975</c:v>
                </c:pt>
                <c:pt idx="79">
                  <c:v>0.000265982971469466</c:v>
                </c:pt>
                <c:pt idx="80">
                  <c:v>0.000269832147040129</c:v>
                </c:pt>
                <c:pt idx="81">
                  <c:v>0.000273674802345961</c:v>
                </c:pt>
                <c:pt idx="82">
                  <c:v>0.000277510946914688</c:v>
                </c:pt>
                <c:pt idx="83">
                  <c:v>0.000281340598302559</c:v>
                </c:pt>
                <c:pt idx="84">
                  <c:v>0.000285163781493411</c:v>
                </c:pt>
                <c:pt idx="85">
                  <c:v>0.000288980528331162</c:v>
                </c:pt>
                <c:pt idx="86">
                  <c:v>0.000292790876983592</c:v>
                </c:pt>
                <c:pt idx="87">
                  <c:v>0.00029659487143668</c:v>
                </c:pt>
                <c:pt idx="88">
                  <c:v>0.0003003925610167</c:v>
                </c:pt>
                <c:pt idx="89">
                  <c:v>0.000304183999940152</c:v>
                </c:pt>
                <c:pt idx="90">
                  <c:v>0.000307969246889831</c:v>
                </c:pt>
                <c:pt idx="91">
                  <c:v>0.000311748364613944</c:v>
                </c:pt>
                <c:pt idx="92">
                  <c:v>0.000315521419550684</c:v>
                </c:pt>
                <c:pt idx="93">
                  <c:v>0.000319288481472944</c:v>
                </c:pt>
                <c:pt idx="94">
                  <c:v>0.000323049623154789</c:v>
                </c:pt>
                <c:pt idx="95">
                  <c:v>0.000326804920058976</c:v>
                </c:pt>
                <c:pt idx="96">
                  <c:v>0.000330554450041231</c:v>
                </c:pt>
                <c:pt idx="97">
                  <c:v>0.000334298293074257</c:v>
                </c:pt>
                <c:pt idx="98">
                  <c:v>0.000338036530988376</c:v>
                </c:pt>
                <c:pt idx="99">
                  <c:v>0.000341769247227584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Model!$I$1</c:f>
              <c:strCache>
                <c:ptCount val="1"/>
                <c:pt idx="0">
                  <c:v>HIV+ve &amp; +ve baby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Model!$I$2:$I$101</c:f>
              <c:numCache>
                <c:formatCode>0.00%</c:formatCode>
                <c:ptCount val="100"/>
                <c:pt idx="0">
                  <c:v>1.84091881449061E-8</c:v>
                </c:pt>
                <c:pt idx="1">
                  <c:v>7.22880834995461E-8</c:v>
                </c:pt>
                <c:pt idx="2">
                  <c:v>1.59687781172388E-7</c:v>
                </c:pt>
                <c:pt idx="3">
                  <c:v>2.78754555784967E-7</c:v>
                </c:pt>
                <c:pt idx="4">
                  <c:v>4.27725503668955E-7</c:v>
                </c:pt>
                <c:pt idx="5">
                  <c:v>6.04924376602268E-7</c:v>
                </c:pt>
                <c:pt idx="6">
                  <c:v>8.08757598907967E-7</c:v>
                </c:pt>
                <c:pt idx="7">
                  <c:v>1.03771046006512E-6</c:v>
                </c:pt>
                <c:pt idx="8">
                  <c:v>1.29034347530883E-6</c:v>
                </c:pt>
                <c:pt idx="9">
                  <c:v>1.56528890704465E-6</c:v>
                </c:pt>
                <c:pt idx="10">
                  <c:v>1.86124744017106E-6</c:v>
                </c:pt>
                <c:pt idx="11">
                  <c:v>2.1769850046753E-6</c:v>
                </c:pt>
                <c:pt idx="12">
                  <c:v>2.51132973922665E-6</c:v>
                </c:pt>
                <c:pt idx="13">
                  <c:v>2.86316908963913E-6</c:v>
                </c:pt>
                <c:pt idx="14">
                  <c:v>3.2314470364534E-6</c:v>
                </c:pt>
                <c:pt idx="15">
                  <c:v>3.61516144605186E-6</c:v>
                </c:pt>
                <c:pt idx="16">
                  <c:v>4.01336153994768E-6</c:v>
                </c:pt>
                <c:pt idx="17">
                  <c:v>4.42514547718242E-6</c:v>
                </c:pt>
                <c:pt idx="18">
                  <c:v>4.84965804494161E-6</c:v>
                </c:pt>
                <c:pt idx="19">
                  <c:v>5.28608845268218E-6</c:v>
                </c:pt>
                <c:pt idx="20">
                  <c:v>5.73366822526962E-6</c:v>
                </c:pt>
                <c:pt idx="21">
                  <c:v>6.19166919092059E-6</c:v>
                </c:pt>
                <c:pt idx="22">
                  <c:v>6.65940155969473E-6</c:v>
                </c:pt>
                <c:pt idx="23">
                  <c:v>7.13621208876967E-6</c:v>
                </c:pt>
                <c:pt idx="24">
                  <c:v>7.62148233050514E-6</c:v>
                </c:pt>
                <c:pt idx="25">
                  <c:v>8.11462695992184E-6</c:v>
                </c:pt>
                <c:pt idx="26">
                  <c:v>8.61509217799915E-6</c:v>
                </c:pt>
                <c:pt idx="27">
                  <c:v>9.12235418742602E-6</c:v>
                </c:pt>
                <c:pt idx="28">
                  <c:v>9.6359177378518E-6</c:v>
                </c:pt>
                <c:pt idx="29">
                  <c:v>1.01553147373291E-5</c:v>
                </c:pt>
                <c:pt idx="30">
                  <c:v>1.06801029272267E-5</c:v>
                </c:pt>
                <c:pt idx="31">
                  <c:v>1.12098646178204E-5</c:v>
                </c:pt>
                <c:pt idx="32">
                  <c:v>1.17442054817797E-5</c:v>
                </c:pt>
                <c:pt idx="33">
                  <c:v>1.22827534031064E-5</c:v>
                </c:pt>
                <c:pt idx="34">
                  <c:v>1.28251573790798E-5</c:v>
                </c:pt>
                <c:pt idx="35">
                  <c:v>1.33710864727725E-5</c:v>
                </c:pt>
                <c:pt idx="36">
                  <c:v>1.392022881408E-5</c:v>
                </c:pt>
                <c:pt idx="37">
                  <c:v>1.44722906468879E-5</c:v>
                </c:pt>
                <c:pt idx="38">
                  <c:v>1.50269954205361E-5</c:v>
                </c:pt>
                <c:pt idx="39">
                  <c:v>1.55840829235773E-5</c:v>
                </c:pt>
                <c:pt idx="40">
                  <c:v>1.61433084577637E-5</c:v>
                </c:pt>
                <c:pt idx="41">
                  <c:v>1.67044420507755E-5</c:v>
                </c:pt>
                <c:pt idx="42">
                  <c:v>1.72672677057203E-5</c:v>
                </c:pt>
                <c:pt idx="43">
                  <c:v>1.783158268591E-5</c:v>
                </c:pt>
                <c:pt idx="44">
                  <c:v>1.83971968332268E-5</c:v>
                </c:pt>
                <c:pt idx="45">
                  <c:v>1.89639319186689E-5</c:v>
                </c:pt>
                <c:pt idx="46">
                  <c:v>1.9531621023558E-5</c:v>
                </c:pt>
                <c:pt idx="47">
                  <c:v>2.01001079501928E-5</c:v>
                </c:pt>
                <c:pt idx="48">
                  <c:v>2.06692466603154E-5</c:v>
                </c:pt>
                <c:pt idx="49">
                  <c:v>2.12389007404742E-5</c:v>
                </c:pt>
                <c:pt idx="50">
                  <c:v>2.1808942892845E-5</c:v>
                </c:pt>
                <c:pt idx="51">
                  <c:v>2.23792544505413E-5</c:v>
                </c:pt>
                <c:pt idx="52">
                  <c:v>2.2949724916029E-5</c:v>
                </c:pt>
                <c:pt idx="53">
                  <c:v>2.3520251521935E-5</c:v>
                </c:pt>
                <c:pt idx="54">
                  <c:v>2.4090738813012E-5</c:v>
                </c:pt>
                <c:pt idx="55">
                  <c:v>2.46610982483666E-5</c:v>
                </c:pt>
                <c:pt idx="56">
                  <c:v>2.52312478229412E-5</c:v>
                </c:pt>
                <c:pt idx="57">
                  <c:v>2.58011117075622E-5</c:v>
                </c:pt>
                <c:pt idx="58">
                  <c:v>2.63706199065724E-5</c:v>
                </c:pt>
                <c:pt idx="59">
                  <c:v>2.69397079321056E-5</c:v>
                </c:pt>
                <c:pt idx="60">
                  <c:v>2.75083164946627E-5</c:v>
                </c:pt>
                <c:pt idx="61">
                  <c:v>2.80763912086911E-5</c:v>
                </c:pt>
                <c:pt idx="62">
                  <c:v>2.86438823129571E-5</c:v>
                </c:pt>
                <c:pt idx="63">
                  <c:v>2.921074440473E-5</c:v>
                </c:pt>
                <c:pt idx="64">
                  <c:v>2.97769361872561E-5</c:v>
                </c:pt>
                <c:pt idx="65">
                  <c:v>3.03424202298829E-5</c:v>
                </c:pt>
                <c:pt idx="66">
                  <c:v>3.09071627402371E-5</c:v>
                </c:pt>
                <c:pt idx="67">
                  <c:v>3.14711333479484E-5</c:v>
                </c:pt>
                <c:pt idx="68">
                  <c:v>3.20343048992716E-5</c:v>
                </c:pt>
                <c:pt idx="69">
                  <c:v>3.25966532621812E-5</c:v>
                </c:pt>
                <c:pt idx="70">
                  <c:v>3.31581571414862E-5</c:v>
                </c:pt>
                <c:pt idx="71">
                  <c:v>3.37187979033924E-5</c:v>
                </c:pt>
                <c:pt idx="72">
                  <c:v>3.42785594090526E-5</c:v>
                </c:pt>
                <c:pt idx="73">
                  <c:v>3.48374278568166E-5</c:v>
                </c:pt>
                <c:pt idx="74">
                  <c:v>3.53953916327139E-5</c:v>
                </c:pt>
                <c:pt idx="75">
                  <c:v>3.59524411686666E-5</c:v>
                </c:pt>
                <c:pt idx="76">
                  <c:v>3.65085688082181E-5</c:v>
                </c:pt>
                <c:pt idx="77">
                  <c:v>3.70637686792868E-5</c:v>
                </c:pt>
                <c:pt idx="78">
                  <c:v>3.76180365737649E-5</c:v>
                </c:pt>
                <c:pt idx="79">
                  <c:v>3.81713698335254E-5</c:v>
                </c:pt>
                <c:pt idx="80">
                  <c:v>3.87237672424657E-5</c:v>
                </c:pt>
                <c:pt idx="81">
                  <c:v>3.92752289244346E-5</c:v>
                </c:pt>
                <c:pt idx="82">
                  <c:v>3.98257562467621E-5</c:v>
                </c:pt>
                <c:pt idx="83">
                  <c:v>4.0375351728955E-5</c:v>
                </c:pt>
                <c:pt idx="84">
                  <c:v>4.09240189564586E-5</c:v>
                </c:pt>
                <c:pt idx="85">
                  <c:v>4.1471762499212E-5</c:v>
                </c:pt>
                <c:pt idx="86">
                  <c:v>4.2018587834695E-5</c:v>
                </c:pt>
                <c:pt idx="87">
                  <c:v>4.25645012753611E-5</c:v>
                </c:pt>
                <c:pt idx="88">
                  <c:v>4.31095099000525E-5</c:v>
                </c:pt>
                <c:pt idx="89">
                  <c:v>4.365362148941E-5</c:v>
                </c:pt>
                <c:pt idx="90">
                  <c:v>4.41968444650358E-5</c:v>
                </c:pt>
                <c:pt idx="91">
                  <c:v>4.4739187831961E-5</c:v>
                </c:pt>
                <c:pt idx="92">
                  <c:v>4.52806611247694E-5</c:v>
                </c:pt>
                <c:pt idx="93">
                  <c:v>4.58212743566089E-5</c:v>
                </c:pt>
                <c:pt idx="94">
                  <c:v>4.63610379713277E-5</c:v>
                </c:pt>
                <c:pt idx="95">
                  <c:v>4.68999627986295E-5</c:v>
                </c:pt>
                <c:pt idx="96">
                  <c:v>4.74380600116346E-5</c:v>
                </c:pt>
                <c:pt idx="97">
                  <c:v>4.79753410872719E-5</c:v>
                </c:pt>
                <c:pt idx="98">
                  <c:v>4.8511817769058E-5</c:v>
                </c:pt>
                <c:pt idx="99">
                  <c:v>4.9047502032089E-5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31208"/>
        <c:axId val="414141144"/>
      </c:lineChart>
      <c:catAx>
        <c:axId val="41413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45064737019604"/>
              <c:y val="0.89215748031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14114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14141144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30353817504655"/>
              <c:y val="0.3431376189916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131208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D2D2A8" mc:Ignorable="a14" a14:legacySpreadsheetColorIndex="26">
                <a:gamma/>
                <a:shade val="82353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634422792123"/>
          <c:y val="0.212418380538254"/>
          <c:w val="0.240223317057435"/>
          <c:h val="0.14052297567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13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Unsuccessful Pregnancy</a:t>
            </a:r>
          </a:p>
        </c:rich>
      </c:tx>
      <c:layout>
        <c:manualLayout>
          <c:xMode val="edge"/>
          <c:yMode val="edge"/>
          <c:x val="0.205936920222635"/>
          <c:y val="0.03278688524590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67717996289"/>
          <c:y val="0.177049180327869"/>
          <c:w val="0.831168831168831"/>
          <c:h val="0.613114754098361"/>
        </c:manualLayout>
      </c:layout>
      <c:lineChart>
        <c:grouping val="standard"/>
        <c:varyColors val="0"/>
        <c:ser>
          <c:idx val="1"/>
          <c:order val="0"/>
          <c:tx>
            <c:strRef>
              <c:f>Model!$O$1</c:f>
              <c:strCache>
                <c:ptCount val="1"/>
                <c:pt idx="0">
                  <c:v>HIV-ve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Model!$O$2:$O$101</c:f>
              <c:numCache>
                <c:formatCode>0.00%</c:formatCode>
                <c:ptCount val="100"/>
                <c:pt idx="0">
                  <c:v>0.967398589324991</c:v>
                </c:pt>
                <c:pt idx="1">
                  <c:v>0.935991358093613</c:v>
                </c:pt>
                <c:pt idx="2">
                  <c:v>0.90573456322354</c:v>
                </c:pt>
                <c:pt idx="3">
                  <c:v>0.876586063952152</c:v>
                </c:pt>
                <c:pt idx="4">
                  <c:v>0.848505263143176</c:v>
                </c:pt>
                <c:pt idx="5">
                  <c:v>0.821453050743278</c:v>
                </c:pt>
                <c:pt idx="6">
                  <c:v>0.795391749309857</c:v>
                </c:pt>
                <c:pt idx="7">
                  <c:v>0.770285061534162</c:v>
                </c:pt>
                <c:pt idx="8">
                  <c:v>0.74609801968666</c:v>
                </c:pt>
                <c:pt idx="9">
                  <c:v>0.722796936914224</c:v>
                </c:pt>
                <c:pt idx="10">
                  <c:v>0.70034936032132</c:v>
                </c:pt>
                <c:pt idx="11">
                  <c:v>0.678724025769841</c:v>
                </c:pt>
                <c:pt idx="12">
                  <c:v>0.657890814334637</c:v>
                </c:pt>
                <c:pt idx="13">
                  <c:v>0.637820710354084</c:v>
                </c:pt>
                <c:pt idx="14">
                  <c:v>0.618485761017275</c:v>
                </c:pt>
                <c:pt idx="15">
                  <c:v>0.599859037431539</c:v>
                </c:pt>
                <c:pt idx="16">
                  <c:v>0.581914597116071</c:v>
                </c:pt>
                <c:pt idx="17">
                  <c:v>0.564627447869424</c:v>
                </c:pt>
                <c:pt idx="18">
                  <c:v>0.547973512960547</c:v>
                </c:pt>
                <c:pt idx="19">
                  <c:v>0.531929597594881</c:v>
                </c:pt>
                <c:pt idx="20">
                  <c:v>0.516473356608812</c:v>
                </c:pt>
                <c:pt idx="21">
                  <c:v>0.501583263347485</c:v>
                </c:pt>
                <c:pt idx="22">
                  <c:v>0.48723857968263</c:v>
                </c:pt>
                <c:pt idx="23">
                  <c:v>0.473419327128639</c:v>
                </c:pt>
                <c:pt idx="24">
                  <c:v>0.460106259016674</c:v>
                </c:pt>
                <c:pt idx="25">
                  <c:v>0.447280833688042</c:v>
                </c:pt>
                <c:pt idx="26">
                  <c:v>0.434925188669498</c:v>
                </c:pt>
                <c:pt idx="27">
                  <c:v>0.423022115794524</c:v>
                </c:pt>
                <c:pt idx="28">
                  <c:v>0.41155503723591</c:v>
                </c:pt>
                <c:pt idx="29">
                  <c:v>0.400507982416273</c:v>
                </c:pt>
                <c:pt idx="30">
                  <c:v>0.389865565764352</c:v>
                </c:pt>
                <c:pt idx="31">
                  <c:v>0.379612965286089</c:v>
                </c:pt>
                <c:pt idx="32">
                  <c:v>0.369735901920658</c:v>
                </c:pt>
                <c:pt idx="33">
                  <c:v>0.360220619652695</c:v>
                </c:pt>
                <c:pt idx="34">
                  <c:v>0.351053866353008</c:v>
                </c:pt>
                <c:pt idx="35">
                  <c:v>0.342222875321114</c:v>
                </c:pt>
                <c:pt idx="36">
                  <c:v>0.333715347503857</c:v>
                </c:pt>
                <c:pt idx="37">
                  <c:v>0.325519434365383</c:v>
                </c:pt>
                <c:pt idx="38">
                  <c:v>0.317623721384575</c:v>
                </c:pt>
                <c:pt idx="39">
                  <c:v>0.310017212156991</c:v>
                </c:pt>
                <c:pt idx="40">
                  <c:v>0.302689313079148</c:v>
                </c:pt>
                <c:pt idx="41">
                  <c:v>0.295629818593829</c:v>
                </c:pt>
                <c:pt idx="42">
                  <c:v>0.288828896975846</c:v>
                </c:pt>
                <c:pt idx="43">
                  <c:v>0.282277076638492</c:v>
                </c:pt>
                <c:pt idx="44">
                  <c:v>0.275965232941572</c:v>
                </c:pt>
                <c:pt idx="45">
                  <c:v>0.269884575482675</c:v>
                </c:pt>
                <c:pt idx="46">
                  <c:v>0.264026635853961</c:v>
                </c:pt>
                <c:pt idx="47">
                  <c:v>0.25838325584742</c:v>
                </c:pt>
                <c:pt idx="48">
                  <c:v>0.252946576092179</c:v>
                </c:pt>
                <c:pt idx="49">
                  <c:v>0.247709025108024</c:v>
                </c:pt>
                <c:pt idx="50">
                  <c:v>0.242663308759897</c:v>
                </c:pt>
                <c:pt idx="51">
                  <c:v>0.237802400098674</c:v>
                </c:pt>
                <c:pt idx="52">
                  <c:v>0.23311952957408</c:v>
                </c:pt>
                <c:pt idx="53">
                  <c:v>0.228608175606109</c:v>
                </c:pt>
                <c:pt idx="54">
                  <c:v>0.224262055501808</c:v>
                </c:pt>
                <c:pt idx="55">
                  <c:v>0.220075116704793</c:v>
                </c:pt>
                <c:pt idx="56">
                  <c:v>0.216041528365283</c:v>
                </c:pt>
                <c:pt idx="57">
                  <c:v>0.21215567321894</c:v>
                </c:pt>
                <c:pt idx="58">
                  <c:v>0.20841213976318</c:v>
                </c:pt>
                <c:pt idx="59">
                  <c:v>0.20480571472007</c:v>
                </c:pt>
                <c:pt idx="60">
                  <c:v>0.201331375775309</c:v>
                </c:pt>
                <c:pt idx="61">
                  <c:v>0.197984284583188</c:v>
                </c:pt>
                <c:pt idx="62">
                  <c:v>0.194759780027774</c:v>
                </c:pt>
                <c:pt idx="63">
                  <c:v>0.191653371730938</c:v>
                </c:pt>
                <c:pt idx="64">
                  <c:v>0.188660733798193</c:v>
                </c:pt>
                <c:pt idx="65">
                  <c:v>0.185777698793613</c:v>
                </c:pt>
                <c:pt idx="66">
                  <c:v>0.18300025193546</c:v>
                </c:pt>
                <c:pt idx="67">
                  <c:v>0.180324525504426</c:v>
                </c:pt>
                <c:pt idx="68">
                  <c:v>0.177746793456696</c:v>
                </c:pt>
                <c:pt idx="69">
                  <c:v>0.175263466234344</c:v>
                </c:pt>
                <c:pt idx="70">
                  <c:v>0.172871085765821</c:v>
                </c:pt>
                <c:pt idx="71">
                  <c:v>0.170566320649577</c:v>
                </c:pt>
                <c:pt idx="72">
                  <c:v>0.168345961514107</c:v>
                </c:pt>
                <c:pt idx="73">
                  <c:v>0.166206916547963</c:v>
                </c:pt>
                <c:pt idx="74">
                  <c:v>0.164146207193499</c:v>
                </c:pt>
                <c:pt idx="75">
                  <c:v>0.162160963998358</c:v>
                </c:pt>
                <c:pt idx="76">
                  <c:v>0.160248422618916</c:v>
                </c:pt>
                <c:pt idx="77">
                  <c:v>0.15840591997013</c:v>
                </c:pt>
                <c:pt idx="78">
                  <c:v>0.156630890516403</c:v>
                </c:pt>
                <c:pt idx="79">
                  <c:v>0.154920862698332</c:v>
                </c:pt>
                <c:pt idx="80">
                  <c:v>0.153273455490332</c:v>
                </c:pt>
                <c:pt idx="81">
                  <c:v>0.151686375084362</c:v>
                </c:pt>
                <c:pt idx="82">
                  <c:v>0.150157411695128</c:v>
                </c:pt>
                <c:pt idx="83">
                  <c:v>0.148684436482303</c:v>
                </c:pt>
                <c:pt idx="84">
                  <c:v>0.1472653985855</c:v>
                </c:pt>
                <c:pt idx="85">
                  <c:v>0.145898322267844</c:v>
                </c:pt>
                <c:pt idx="86">
                  <c:v>0.14458130416418</c:v>
                </c:pt>
                <c:pt idx="87">
                  <c:v>0.14331251063008</c:v>
                </c:pt>
                <c:pt idx="88">
                  <c:v>0.142090175187958</c:v>
                </c:pt>
                <c:pt idx="89">
                  <c:v>0.140912596066726</c:v>
                </c:pt>
                <c:pt idx="90">
                  <c:v>0.139778133831586</c:v>
                </c:pt>
                <c:pt idx="91">
                  <c:v>0.138685209100634</c:v>
                </c:pt>
                <c:pt idx="92">
                  <c:v>0.137632300345107</c:v>
                </c:pt>
                <c:pt idx="93">
                  <c:v>0.136617941770209</c:v>
                </c:pt>
                <c:pt idx="94">
                  <c:v>0.135640721273565</c:v>
                </c:pt>
                <c:pt idx="95">
                  <c:v>0.134699278478448</c:v>
                </c:pt>
                <c:pt idx="96">
                  <c:v>0.133792302839065</c:v>
                </c:pt>
                <c:pt idx="97">
                  <c:v>0.132918531815228</c:v>
                </c:pt>
                <c:pt idx="98">
                  <c:v>0.132076749113906</c:v>
                </c:pt>
                <c:pt idx="99">
                  <c:v>0.131265782995176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Model!$P$1</c:f>
              <c:strCache>
                <c:ptCount val="1"/>
                <c:pt idx="0">
                  <c:v>HIV+ve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Model!$P$2:$P$101</c:f>
              <c:numCache>
                <c:formatCode>0.00%</c:formatCode>
                <c:ptCount val="100"/>
                <c:pt idx="0">
                  <c:v>4.35331324183612E-6</c:v>
                </c:pt>
                <c:pt idx="1">
                  <c:v>8.42397908456682E-6</c:v>
                </c:pt>
                <c:pt idx="2">
                  <c:v>1.22275266509448E-5</c:v>
                </c:pt>
                <c:pt idx="3">
                  <c:v>1.57787266612282E-5</c:v>
                </c:pt>
                <c:pt idx="4">
                  <c:v>1.909162615671E-5</c:v>
                </c:pt>
                <c:pt idx="5">
                  <c:v>2.21795816969287E-5</c:v>
                </c:pt>
                <c:pt idx="6">
                  <c:v>2.50552910961541E-5</c:v>
                </c:pt>
                <c:pt idx="7">
                  <c:v>2.77308237611497E-5</c:v>
                </c:pt>
                <c:pt idx="8">
                  <c:v>3.0217649690042E-5</c:v>
                </c:pt>
                <c:pt idx="9">
                  <c:v>3.25266671903566E-5</c:v>
                </c:pt>
                <c:pt idx="10">
                  <c:v>3.46682293706941E-5</c:v>
                </c:pt>
                <c:pt idx="11">
                  <c:v>3.66521694582479E-5</c:v>
                </c:pt>
                <c:pt idx="12">
                  <c:v>3.84878249937238E-5</c:v>
                </c:pt>
                <c:pt idx="13">
                  <c:v>4.01840609507152E-5</c:v>
                </c:pt>
                <c:pt idx="14">
                  <c:v>4.17492918269063E-5</c:v>
                </c:pt>
                <c:pt idx="15">
                  <c:v>4.31915027509461E-5</c:v>
                </c:pt>
                <c:pt idx="16">
                  <c:v>4.45182696471434E-5</c:v>
                </c:pt>
                <c:pt idx="17">
                  <c:v>4.57367784992309E-5</c:v>
                </c:pt>
                <c:pt idx="18">
                  <c:v>4.68538437520564E-5</c:v>
                </c:pt>
                <c:pt idx="19">
                  <c:v>4.78759258882568E-5</c:v>
                </c:pt>
                <c:pt idx="20">
                  <c:v>4.88091482155659E-5</c:v>
                </c:pt>
                <c:pt idx="21">
                  <c:v>4.965931289981E-5</c:v>
                </c:pt>
                <c:pt idx="22">
                  <c:v>5.04319162750641E-5</c:v>
                </c:pt>
                <c:pt idx="23">
                  <c:v>5.1132163463863E-5</c:v>
                </c:pt>
                <c:pt idx="24">
                  <c:v>5.17649823357392E-5</c:v>
                </c:pt>
                <c:pt idx="25">
                  <c:v>5.23350368347509E-5</c:v>
                </c:pt>
                <c:pt idx="26">
                  <c:v>5.28467397024314E-5</c:v>
                </c:pt>
                <c:pt idx="27">
                  <c:v>5.3304264622312E-5</c:v>
                </c:pt>
                <c:pt idx="28">
                  <c:v>5.37115578126591E-5</c:v>
                </c:pt>
                <c:pt idx="29">
                  <c:v>5.40723490898978E-5</c:v>
                </c:pt>
                <c:pt idx="30">
                  <c:v>5.43901624270741E-5</c:v>
                </c:pt>
                <c:pt idx="31">
                  <c:v>5.46683260293834E-5</c:v>
                </c:pt>
                <c:pt idx="32">
                  <c:v>5.49099819473798E-5</c:v>
                </c:pt>
                <c:pt idx="33">
                  <c:v>5.51180952487774E-5</c:v>
                </c:pt>
                <c:pt idx="34">
                  <c:v>5.52954627682266E-5</c:v>
                </c:pt>
                <c:pt idx="35">
                  <c:v>5.54447214532442E-5</c:v>
                </c:pt>
                <c:pt idx="36">
                  <c:v>5.55683563249167E-5</c:v>
                </c:pt>
                <c:pt idx="37">
                  <c:v>5.56687080694147E-5</c:v>
                </c:pt>
                <c:pt idx="38">
                  <c:v>5.57479802775453E-5</c:v>
                </c:pt>
                <c:pt idx="39">
                  <c:v>5.58082463477369E-5</c:v>
                </c:pt>
                <c:pt idx="40">
                  <c:v>5.58514560667152E-5</c:v>
                </c:pt>
                <c:pt idx="41">
                  <c:v>5.58794418833539E-5</c:v>
                </c:pt>
                <c:pt idx="42">
                  <c:v>5.58939248884299E-5</c:v>
                </c:pt>
                <c:pt idx="43">
                  <c:v>5.58965205139414E-5</c:v>
                </c:pt>
                <c:pt idx="44">
                  <c:v>5.58887439641266E-5</c:v>
                </c:pt>
                <c:pt idx="45">
                  <c:v>5.5872015390505E-5</c:v>
                </c:pt>
                <c:pt idx="46">
                  <c:v>5.58476648221639E-5</c:v>
                </c:pt>
                <c:pt idx="47">
                  <c:v>5.5816936862744E-5</c:v>
                </c:pt>
                <c:pt idx="48">
                  <c:v>5.57809951637043E-5</c:v>
                </c:pt>
                <c:pt idx="49">
                  <c:v>5.57409266849279E-5</c:v>
                </c:pt>
                <c:pt idx="50">
                  <c:v>5.56977457515973E-5</c:v>
                </c:pt>
                <c:pt idx="51">
                  <c:v>5.56523979170361E-5</c:v>
                </c:pt>
                <c:pt idx="52">
                  <c:v>5.56057636395735E-5</c:v>
                </c:pt>
                <c:pt idx="53">
                  <c:v>5.55586617827395E-5</c:v>
                </c:pt>
                <c:pt idx="54">
                  <c:v>5.55118529462252E-5</c:v>
                </c:pt>
                <c:pt idx="55">
                  <c:v>5.54660426354906E-5</c:v>
                </c:pt>
                <c:pt idx="56">
                  <c:v>5.54218842771786E-5</c:v>
                </c:pt>
                <c:pt idx="57">
                  <c:v>5.53799820878108E-5</c:v>
                </c:pt>
                <c:pt idx="58">
                  <c:v>5.5340893802153E-5</c:v>
                </c:pt>
                <c:pt idx="59">
                  <c:v>5.53051332674116E-5</c:v>
                </c:pt>
                <c:pt idx="60">
                  <c:v>5.52731729103166E-5</c:v>
                </c:pt>
                <c:pt idx="61">
                  <c:v>5.52454460817751E-5</c:v>
                </c:pt>
                <c:pt idx="62">
                  <c:v>5.52223492857528E-5</c:v>
                </c:pt>
                <c:pt idx="63">
                  <c:v>5.52042442971057E-5</c:v>
                </c:pt>
                <c:pt idx="64">
                  <c:v>5.51914601737449E-5</c:v>
                </c:pt>
                <c:pt idx="65">
                  <c:v>5.51842951679912E-5</c:v>
                </c:pt>
                <c:pt idx="66">
                  <c:v>5.51830185417847E-5</c:v>
                </c:pt>
                <c:pt idx="67">
                  <c:v>5.51878722903281E-5</c:v>
                </c:pt>
                <c:pt idx="68">
                  <c:v>5.51990727782376E-5</c:v>
                </c:pt>
                <c:pt idx="69">
                  <c:v>5.52168122924573E-5</c:v>
                </c:pt>
                <c:pt idx="70">
                  <c:v>5.5241260515895E-5</c:v>
                </c:pt>
                <c:pt idx="71">
                  <c:v>5.52725659253316E-5</c:v>
                </c:pt>
                <c:pt idx="72">
                  <c:v>5.53108571171583E-5</c:v>
                </c:pt>
                <c:pt idx="73">
                  <c:v>5.53562440645748E-5</c:v>
                </c:pt>
                <c:pt idx="74">
                  <c:v>5.54088193093981E-5</c:v>
                </c:pt>
                <c:pt idx="75">
                  <c:v>5.5468659091406E-5</c:v>
                </c:pt>
                <c:pt idx="76">
                  <c:v>5.55358244184409E-5</c:v>
                </c:pt>
                <c:pt idx="77">
                  <c:v>5.56103620798883E-5</c:v>
                </c:pt>
                <c:pt idx="78">
                  <c:v>5.56923056064861E-5</c:v>
                </c:pt>
                <c:pt idx="79">
                  <c:v>5.57816761788631E-5</c:v>
                </c:pt>
                <c:pt idx="80">
                  <c:v>5.58784834871911E-5</c:v>
                </c:pt>
                <c:pt idx="81">
                  <c:v>5.59827265445148E-5</c:v>
                </c:pt>
                <c:pt idx="82">
                  <c:v>5.60943944559987E-5</c:v>
                </c:pt>
                <c:pt idx="83">
                  <c:v>5.62134671459999E-5</c:v>
                </c:pt>
                <c:pt idx="84">
                  <c:v>5.63399160452348E-5</c:v>
                </c:pt>
                <c:pt idx="85">
                  <c:v>5.64737047399565E-5</c:v>
                </c:pt>
                <c:pt idx="86">
                  <c:v>5.6614789584907E-5</c:v>
                </c:pt>
                <c:pt idx="87">
                  <c:v>5.67631202819866E-5</c:v>
                </c:pt>
                <c:pt idx="88">
                  <c:v>5.69186404260774E-5</c:v>
                </c:pt>
                <c:pt idx="89">
                  <c:v>5.70812880199303E-5</c:v>
                </c:pt>
                <c:pt idx="90">
                  <c:v>5.72509959595898E-5</c:v>
                </c:pt>
                <c:pt idx="91">
                  <c:v>5.74276924914859E-5</c:v>
                </c:pt>
                <c:pt idx="92">
                  <c:v>5.7611301643285E-5</c:v>
                </c:pt>
                <c:pt idx="93">
                  <c:v>5.7801743629058E-5</c:v>
                </c:pt>
                <c:pt idx="94">
                  <c:v>5.79989352305587E-5</c:v>
                </c:pt>
                <c:pt idx="95">
                  <c:v>5.82027901558815E-5</c:v>
                </c:pt>
                <c:pt idx="96">
                  <c:v>5.8413219376069E-5</c:v>
                </c:pt>
                <c:pt idx="97">
                  <c:v>5.8630131441489E-5</c:v>
                </c:pt>
                <c:pt idx="98">
                  <c:v>5.88534327786356E-5</c:v>
                </c:pt>
                <c:pt idx="99">
                  <c:v>5.90830279683068E-5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555512"/>
        <c:axId val="443564072"/>
      </c:lineChart>
      <c:catAx>
        <c:axId val="44355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52690166975881"/>
              <c:y val="0.891803278688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56407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4356407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2987012987013"/>
              <c:y val="0.3442622950819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555512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C2C29B" mc:Ignorable="a14" a14:legacySpreadsheetColorIndex="26">
                <a:gamma/>
                <a:shade val="7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168831168831"/>
          <c:y val="0.216393442622951"/>
          <c:w val="0.128014842300557"/>
          <c:h val="0.0950819672131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189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Outcome probabilities after N sex acts</a:t>
            </a:r>
          </a:p>
        </c:rich>
      </c:tx>
      <c:layout>
        <c:manualLayout>
          <c:xMode val="edge"/>
          <c:yMode val="edge"/>
          <c:x val="0.248201297229933"/>
          <c:y val="0.1143790849673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892027099597"/>
          <c:y val="0.320261693427745"/>
          <c:w val="0.571942194902293"/>
          <c:h val="0.4117650344071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Interface!$B$29:$F$29</c:f>
              <c:strCache>
                <c:ptCount val="5"/>
                <c:pt idx="0">
                  <c:v>HIV-ve &amp; baby</c:v>
                </c:pt>
                <c:pt idx="1">
                  <c:v>HIV+ve &amp; -ve baby</c:v>
                </c:pt>
                <c:pt idx="2">
                  <c:v>HIV+ve &amp; +ve baby</c:v>
                </c:pt>
                <c:pt idx="3">
                  <c:v>HIV-ve</c:v>
                </c:pt>
                <c:pt idx="4">
                  <c:v>HIV+ve</c:v>
                </c:pt>
              </c:strCache>
            </c:strRef>
          </c:cat>
          <c:val>
            <c:numRef>
              <c:f>Interface!$B$30:$F$30</c:f>
              <c:numCache>
                <c:formatCode>General</c:formatCode>
                <c:ptCount val="5"/>
                <c:pt idx="0">
                  <c:v>0.467980406252516</c:v>
                </c:pt>
                <c:pt idx="1">
                  <c:v>3.68341382619169E-5</c:v>
                </c:pt>
                <c:pt idx="2">
                  <c:v>5.28608845268218E-6</c:v>
                </c:pt>
                <c:pt idx="3">
                  <c:v>0.531929597594881</c:v>
                </c:pt>
                <c:pt idx="4">
                  <c:v>4.78759258882568E-5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942021186201"/>
          <c:y val="0.297385878235809"/>
          <c:w val="0.172661728884609"/>
          <c:h val="0.441176727909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76765E" mc:Ignorable="a14" a14:legacySpreadsheetColorIndex="26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P(CONCEPTION)_ANNUAL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21.5</c:v>
              </c:pt>
              <c:pt idx="1">
                <c:v>28.0</c:v>
              </c:pt>
              <c:pt idx="2">
                <c:v>33.0</c:v>
              </c:pt>
              <c:pt idx="3">
                <c:v>38.0</c:v>
              </c:pt>
              <c:pt idx="4">
                <c:v>43.0</c:v>
              </c:pt>
            </c:numLit>
          </c:cat>
          <c:val>
            <c:numLit>
              <c:formatCode>General</c:formatCode>
              <c:ptCount val="5"/>
              <c:pt idx="0">
                <c:v>0.88</c:v>
              </c:pt>
              <c:pt idx="1">
                <c:v>0.8</c:v>
              </c:pt>
              <c:pt idx="2">
                <c:v>0.65</c:v>
              </c:pt>
              <c:pt idx="3">
                <c:v>0.55</c:v>
              </c:pt>
              <c:pt idx="4">
                <c:v>0.38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51256"/>
        <c:axId val="33753944"/>
      </c:lineChart>
      <c:catAx>
        <c:axId val="3375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53944"/>
        <c:crosses val="autoZero"/>
        <c:auto val="1"/>
        <c:lblAlgn val="ctr"/>
        <c:lblOffset val="100"/>
        <c:noMultiLvlLbl val="0"/>
      </c:catAx>
      <c:valAx>
        <c:axId val="3375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Model!$C$11" lockText="1" noThreeD="1"/>
</file>

<file path=xl/ctrlProps/ctrlProp10.xml><?xml version="1.0" encoding="utf-8"?>
<formControlPr xmlns="http://schemas.microsoft.com/office/spreadsheetml/2009/9/main" objectType="Scroll" dx="16" fmlaLink="Model!$D$12" horiz="1" max="27" min="10" page="10" val="18"/>
</file>

<file path=xl/ctrlProps/ctrlProp11.xml><?xml version="1.0" encoding="utf-8"?>
<formControlPr xmlns="http://schemas.microsoft.com/office/spreadsheetml/2009/9/main" objectType="Scroll" dx="16" fmlaLink="Model!$D$13" horiz="1" max="2300" min="200" page="10" val="1193"/>
</file>

<file path=xl/ctrlProps/ctrlProp12.xml><?xml version="1.0" encoding="utf-8"?>
<formControlPr xmlns="http://schemas.microsoft.com/office/spreadsheetml/2009/9/main" objectType="Scroll" dx="16" fmlaLink="Model!$D$14" horiz="1" max="846" min="125" page="10" val="125"/>
</file>

<file path=xl/ctrlProps/ctrlProp13.xml><?xml version="1.0" encoding="utf-8"?>
<formControlPr xmlns="http://schemas.microsoft.com/office/spreadsheetml/2009/9/main" objectType="Scroll" dx="16" fmlaLink="Model!$D$15" horiz="1" max="49" min="18" page="10" val="20"/>
</file>

<file path=xl/ctrlProps/ctrlProp14.xml><?xml version="1.0" encoding="utf-8"?>
<formControlPr xmlns="http://schemas.microsoft.com/office/spreadsheetml/2009/9/main" objectType="Scroll" dx="16" fmlaLink="Model!$D$18" horiz="1" max="325" min="184" page="10" val="251"/>
</file>

<file path=xl/ctrlProps/ctrlProp15.xml><?xml version="1.0" encoding="utf-8"?>
<formControlPr xmlns="http://schemas.microsoft.com/office/spreadsheetml/2009/9/main" objectType="CheckBox" fmlaLink="Model!$C$22" lockText="1" noThreeD="1"/>
</file>

<file path=xl/ctrlProps/ctrlProp16.xml><?xml version="1.0" encoding="utf-8"?>
<formControlPr xmlns="http://schemas.microsoft.com/office/spreadsheetml/2009/9/main" objectType="CheckBox" fmlaLink="Model!$C$23" lockText="1" noThreeD="1"/>
</file>

<file path=xl/ctrlProps/ctrlProp17.xml><?xml version="1.0" encoding="utf-8"?>
<formControlPr xmlns="http://schemas.microsoft.com/office/spreadsheetml/2009/9/main" objectType="Scroll" dx="16" fmlaLink="Model!$C$24" horiz="1" inc="5" max="100" min="50" page="10" val="71"/>
</file>

<file path=xl/ctrlProps/ctrlProp18.xml><?xml version="1.0" encoding="utf-8"?>
<formControlPr xmlns="http://schemas.microsoft.com/office/spreadsheetml/2009/9/main" objectType="Scroll" dx="16" fmlaLink="Model!$C$25" horiz="1" max="20" page="10" val="3"/>
</file>

<file path=xl/ctrlProps/ctrlProp2.xml><?xml version="1.0" encoding="utf-8"?>
<formControlPr xmlns="http://schemas.microsoft.com/office/spreadsheetml/2009/9/main" objectType="CheckBox" checked="Checked" fmlaLink="Model!$C$12" lockText="1" noThreeD="1"/>
</file>

<file path=xl/ctrlProps/ctrlProp3.xml><?xml version="1.0" encoding="utf-8"?>
<formControlPr xmlns="http://schemas.microsoft.com/office/spreadsheetml/2009/9/main" objectType="CheckBox" fmlaLink="Model!$C$13" lockText="1" noThreeD="1"/>
</file>

<file path=xl/ctrlProps/ctrlProp4.xml><?xml version="1.0" encoding="utf-8"?>
<formControlPr xmlns="http://schemas.microsoft.com/office/spreadsheetml/2009/9/main" objectType="CheckBox" checked="Checked" fmlaLink="Model!$C$14" lockText="1" noThreeD="1"/>
</file>

<file path=xl/ctrlProps/ctrlProp5.xml><?xml version="1.0" encoding="utf-8"?>
<formControlPr xmlns="http://schemas.microsoft.com/office/spreadsheetml/2009/9/main" objectType="CheckBox" checked="Checked" fmlaLink="Model!$C$19" lockText="1" noThreeD="1"/>
</file>

<file path=xl/ctrlProps/ctrlProp6.xml><?xml version="1.0" encoding="utf-8"?>
<formControlPr xmlns="http://schemas.microsoft.com/office/spreadsheetml/2009/9/main" objectType="Scroll" dx="16" fmlaLink="Model!$D$10" horiz="1" max="31" min="10" page="10" val="20"/>
</file>

<file path=xl/ctrlProps/ctrlProp7.xml><?xml version="1.0" encoding="utf-8"?>
<formControlPr xmlns="http://schemas.microsoft.com/office/spreadsheetml/2009/9/main" objectType="Scroll" dx="16" fmlaLink="Model!$D$11" horiz="1" max="235" min="129" page="10" val="179"/>
</file>

<file path=xl/ctrlProps/ctrlProp8.xml><?xml version="1.0" encoding="utf-8"?>
<formControlPr xmlns="http://schemas.microsoft.com/office/spreadsheetml/2009/9/main" objectType="Scroll" dx="16" fmlaLink="Model!$D$19" horiz="1" max="60" min="18" page="10" val="50"/>
</file>

<file path=xl/ctrlProps/ctrlProp9.xml><?xml version="1.0" encoding="utf-8"?>
<formControlPr xmlns="http://schemas.microsoft.com/office/spreadsheetml/2009/9/main" objectType="Scroll" dx="16" fmlaLink="Model!$D$24" horiz="1" max="100" min="1" page="10" val="2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127000</xdr:rowOff>
    </xdr:from>
    <xdr:to>
      <xdr:col>28</xdr:col>
      <xdr:colOff>330200</xdr:colOff>
      <xdr:row>22</xdr:row>
      <xdr:rowOff>190500</xdr:rowOff>
    </xdr:to>
    <xdr:graphicFrame macro="">
      <xdr:nvGraphicFramePr>
        <xdr:cNvPr id="113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25</xdr:row>
      <xdr:rowOff>101600</xdr:rowOff>
    </xdr:from>
    <xdr:to>
      <xdr:col>29</xdr:col>
      <xdr:colOff>12700</xdr:colOff>
      <xdr:row>50</xdr:row>
      <xdr:rowOff>76200</xdr:rowOff>
    </xdr:to>
    <xdr:graphicFrame macro="">
      <xdr:nvGraphicFramePr>
        <xdr:cNvPr id="1139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25</xdr:row>
      <xdr:rowOff>76200</xdr:rowOff>
    </xdr:from>
    <xdr:to>
      <xdr:col>10</xdr:col>
      <xdr:colOff>203200</xdr:colOff>
      <xdr:row>50</xdr:row>
      <xdr:rowOff>63500</xdr:rowOff>
    </xdr:to>
    <xdr:graphicFrame macro="">
      <xdr:nvGraphicFramePr>
        <xdr:cNvPr id="1140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5</xdr:row>
          <xdr:rowOff>63500</xdr:rowOff>
        </xdr:from>
        <xdr:to>
          <xdr:col>0</xdr:col>
          <xdr:colOff>1676400</xdr:colOff>
          <xdr:row>6</xdr:row>
          <xdr:rowOff>12700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6</xdr:row>
          <xdr:rowOff>38100</xdr:rowOff>
        </xdr:from>
        <xdr:to>
          <xdr:col>0</xdr:col>
          <xdr:colOff>1676400</xdr:colOff>
          <xdr:row>6</xdr:row>
          <xdr:rowOff>254000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7</xdr:row>
          <xdr:rowOff>50800</xdr:rowOff>
        </xdr:from>
        <xdr:to>
          <xdr:col>0</xdr:col>
          <xdr:colOff>1676400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8</xdr:row>
          <xdr:rowOff>50800</xdr:rowOff>
        </xdr:from>
        <xdr:to>
          <xdr:col>0</xdr:col>
          <xdr:colOff>1676400</xdr:colOff>
          <xdr:row>9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15</xdr:row>
          <xdr:rowOff>139700</xdr:rowOff>
        </xdr:from>
        <xdr:to>
          <xdr:col>0</xdr:col>
          <xdr:colOff>1676400</xdr:colOff>
          <xdr:row>16</xdr:row>
          <xdr:rowOff>152400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38100</xdr:rowOff>
        </xdr:from>
        <xdr:to>
          <xdr:col>8</xdr:col>
          <xdr:colOff>342900</xdr:colOff>
          <xdr:row>3</xdr:row>
          <xdr:rowOff>63500</xdr:rowOff>
        </xdr:to>
        <xdr:sp macro="" textlink="">
          <xdr:nvSpPr>
            <xdr:cNvPr id="1121" name="Scroll Bar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50800</xdr:rowOff>
        </xdr:from>
        <xdr:to>
          <xdr:col>8</xdr:col>
          <xdr:colOff>342900</xdr:colOff>
          <xdr:row>5</xdr:row>
          <xdr:rowOff>241300</xdr:rowOff>
        </xdr:to>
        <xdr:sp macro="" textlink="">
          <xdr:nvSpPr>
            <xdr:cNvPr id="1125" name="Scroll Bar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63500</xdr:rowOff>
        </xdr:from>
        <xdr:to>
          <xdr:col>8</xdr:col>
          <xdr:colOff>381000</xdr:colOff>
          <xdr:row>17</xdr:row>
          <xdr:rowOff>50800</xdr:rowOff>
        </xdr:to>
        <xdr:sp macro="" textlink="">
          <xdr:nvSpPr>
            <xdr:cNvPr id="1135" name="Scroll Bar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23</xdr:row>
          <xdr:rowOff>12700</xdr:rowOff>
        </xdr:from>
        <xdr:to>
          <xdr:col>8</xdr:col>
          <xdr:colOff>355600</xdr:colOff>
          <xdr:row>24</xdr:row>
          <xdr:rowOff>12700</xdr:rowOff>
        </xdr:to>
        <xdr:sp macro="" textlink="">
          <xdr:nvSpPr>
            <xdr:cNvPr id="1136" name="Scroll Bar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50800</xdr:rowOff>
        </xdr:from>
        <xdr:to>
          <xdr:col>8</xdr:col>
          <xdr:colOff>342900</xdr:colOff>
          <xdr:row>6</xdr:row>
          <xdr:rowOff>241300</xdr:rowOff>
        </xdr:to>
        <xdr:sp macro="" textlink="">
          <xdr:nvSpPr>
            <xdr:cNvPr id="1126" name="Scroll Bar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76200</xdr:rowOff>
        </xdr:from>
        <xdr:to>
          <xdr:col>8</xdr:col>
          <xdr:colOff>342900</xdr:colOff>
          <xdr:row>8</xdr:row>
          <xdr:rowOff>0</xdr:rowOff>
        </xdr:to>
        <xdr:sp macro="" textlink="">
          <xdr:nvSpPr>
            <xdr:cNvPr id="1127" name="Scroll Bar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88900</xdr:rowOff>
        </xdr:from>
        <xdr:to>
          <xdr:col>8</xdr:col>
          <xdr:colOff>342900</xdr:colOff>
          <xdr:row>9</xdr:row>
          <xdr:rowOff>12700</xdr:rowOff>
        </xdr:to>
        <xdr:sp macro="" textlink="">
          <xdr:nvSpPr>
            <xdr:cNvPr id="1134" name="Scroll Bar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12700</xdr:rowOff>
        </xdr:from>
        <xdr:to>
          <xdr:col>8</xdr:col>
          <xdr:colOff>342900</xdr:colOff>
          <xdr:row>12</xdr:row>
          <xdr:rowOff>38100</xdr:rowOff>
        </xdr:to>
        <xdr:sp macro="" textlink="">
          <xdr:nvSpPr>
            <xdr:cNvPr id="1132" name="Scroll Bar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0</xdr:rowOff>
        </xdr:from>
        <xdr:to>
          <xdr:col>8</xdr:col>
          <xdr:colOff>381000</xdr:colOff>
          <xdr:row>15</xdr:row>
          <xdr:rowOff>190500</xdr:rowOff>
        </xdr:to>
        <xdr:sp macro="" textlink="">
          <xdr:nvSpPr>
            <xdr:cNvPr id="1133" name="Scroll Bar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19</xdr:row>
          <xdr:rowOff>12700</xdr:rowOff>
        </xdr:from>
        <xdr:to>
          <xdr:col>1</xdr:col>
          <xdr:colOff>342900</xdr:colOff>
          <xdr:row>20</xdr:row>
          <xdr:rowOff>38100</xdr:rowOff>
        </xdr:to>
        <xdr:sp macro="" textlink="">
          <xdr:nvSpPr>
            <xdr:cNvPr id="2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20</xdr:row>
          <xdr:rowOff>50800</xdr:rowOff>
        </xdr:from>
        <xdr:to>
          <xdr:col>1</xdr:col>
          <xdr:colOff>342900</xdr:colOff>
          <xdr:row>21</xdr:row>
          <xdr:rowOff>88900</xdr:rowOff>
        </xdr:to>
        <xdr:sp macro="" textlink="">
          <xdr:nvSpPr>
            <xdr:cNvPr id="3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25400</xdr:rowOff>
        </xdr:from>
        <xdr:to>
          <xdr:col>8</xdr:col>
          <xdr:colOff>381000</xdr:colOff>
          <xdr:row>20</xdr:row>
          <xdr:rowOff>12700</xdr:rowOff>
        </xdr:to>
        <xdr:sp macro="" textlink="">
          <xdr:nvSpPr>
            <xdr:cNvPr id="1141" name="Scroll Bar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20</xdr:row>
          <xdr:rowOff>76200</xdr:rowOff>
        </xdr:from>
        <xdr:to>
          <xdr:col>8</xdr:col>
          <xdr:colOff>381000</xdr:colOff>
          <xdr:row>21</xdr:row>
          <xdr:rowOff>50800</xdr:rowOff>
        </xdr:to>
        <xdr:sp macro="" textlink="">
          <xdr:nvSpPr>
            <xdr:cNvPr id="1142" name="Scroll Bar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778934</xdr:colOff>
      <xdr:row>33</xdr:row>
      <xdr:rowOff>143933</xdr:rowOff>
    </xdr:from>
    <xdr:to>
      <xdr:col>24</xdr:col>
      <xdr:colOff>2345267</xdr:colOff>
      <xdr:row>56</xdr:row>
      <xdr:rowOff>93133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trlProp" Target="../ctrlProps/ctrlProp18.xml"/><Relationship Id="rId21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indexed="27"/>
  </sheetPr>
  <dimension ref="A1:Q39"/>
  <sheetViews>
    <sheetView tabSelected="1" topLeftCell="G2" workbookViewId="0">
      <selection activeCell="B24" sqref="B24"/>
    </sheetView>
  </sheetViews>
  <sheetFormatPr baseColWidth="10" defaultColWidth="4.6640625" defaultRowHeight="12" x14ac:dyDescent="0"/>
  <cols>
    <col min="1" max="1" width="38.33203125" style="1" customWidth="1"/>
    <col min="2" max="2" width="9.83203125" style="1" customWidth="1"/>
    <col min="3" max="3" width="5.1640625" style="1" bestFit="1" customWidth="1"/>
    <col min="4" max="7" width="3.83203125" style="1" customWidth="1"/>
    <col min="8" max="8" width="9.5" style="1" hidden="1" customWidth="1"/>
    <col min="9" max="9" width="11.5" style="1" customWidth="1"/>
    <col min="10" max="10" width="20.83203125" style="1" customWidth="1"/>
    <col min="11" max="11" width="9.5" style="1" bestFit="1" customWidth="1"/>
    <col min="12" max="16" width="5" style="1" bestFit="1" customWidth="1"/>
    <col min="17" max="17" width="6.1640625" style="1" bestFit="1" customWidth="1"/>
    <col min="18" max="26" width="5" style="1" bestFit="1" customWidth="1"/>
    <col min="27" max="16384" width="4.6640625" style="1"/>
  </cols>
  <sheetData>
    <row r="1" spans="1:10" ht="23.25" customHeight="1">
      <c r="J1" s="34" t="s">
        <v>85</v>
      </c>
    </row>
    <row r="2" spans="1:10" ht="13">
      <c r="B2" s="2" t="s">
        <v>9</v>
      </c>
      <c r="J2" s="32"/>
    </row>
    <row r="3" spans="1:10" ht="13">
      <c r="A3" s="2" t="s">
        <v>19</v>
      </c>
      <c r="B3" s="31">
        <f>Model!D10/10000</f>
        <v>2E-3</v>
      </c>
      <c r="H3" s="1" t="s">
        <v>1</v>
      </c>
      <c r="J3" s="33" t="s">
        <v>88</v>
      </c>
    </row>
    <row r="4" spans="1:10">
      <c r="J4" s="33"/>
    </row>
    <row r="5" spans="1:10" ht="13">
      <c r="B5" s="3" t="s">
        <v>10</v>
      </c>
      <c r="J5" s="33"/>
    </row>
    <row r="6" spans="1:10" ht="21" customHeight="1">
      <c r="A6" s="3" t="s">
        <v>20</v>
      </c>
      <c r="B6" s="3">
        <f>IF(Model!C11,Model!D11/100,1)</f>
        <v>1</v>
      </c>
      <c r="J6" s="33" t="s">
        <v>84</v>
      </c>
    </row>
    <row r="7" spans="1:10" ht="21" customHeight="1">
      <c r="A7" s="3" t="s">
        <v>17</v>
      </c>
      <c r="B7" s="3">
        <f>IF(Model!C12,Model!D12/1000,1)</f>
        <v>1.7999999999999999E-2</v>
      </c>
      <c r="H7" s="1" t="s">
        <v>4</v>
      </c>
      <c r="J7" s="33">
        <v>0.04</v>
      </c>
    </row>
    <row r="8" spans="1:10" ht="21" customHeight="1">
      <c r="A8" s="3" t="s">
        <v>16</v>
      </c>
      <c r="B8" s="3">
        <f>IF(Model!C13,Model!D13/100,1)</f>
        <v>1</v>
      </c>
      <c r="H8" s="1" t="s">
        <v>2</v>
      </c>
      <c r="J8" s="33">
        <v>2.2999999999999998</v>
      </c>
    </row>
    <row r="9" spans="1:10" ht="21" customHeight="1">
      <c r="A9" s="3" t="s">
        <v>18</v>
      </c>
      <c r="B9" s="3">
        <f>IF(Model!C14,Model!D14/1000,1)</f>
        <v>0.125</v>
      </c>
      <c r="H9" s="1" t="s">
        <v>3</v>
      </c>
      <c r="J9" s="33" t="s">
        <v>39</v>
      </c>
    </row>
    <row r="10" spans="1:10">
      <c r="J10" s="33"/>
    </row>
    <row r="11" spans="1:10" ht="13">
      <c r="B11" s="4" t="s">
        <v>11</v>
      </c>
      <c r="J11" s="33"/>
    </row>
    <row r="12" spans="1:10" ht="13">
      <c r="A12" s="4" t="s">
        <v>37</v>
      </c>
      <c r="B12" s="30">
        <f>Model!D15</f>
        <v>20</v>
      </c>
      <c r="H12" s="1" t="s">
        <v>5</v>
      </c>
      <c r="J12" s="33"/>
    </row>
    <row r="13" spans="1:10" ht="13">
      <c r="A13" s="4"/>
      <c r="B13" s="4"/>
      <c r="H13" s="1" t="s">
        <v>0</v>
      </c>
      <c r="J13" s="33"/>
    </row>
    <row r="14" spans="1:10">
      <c r="J14" s="33"/>
    </row>
    <row r="15" spans="1:10" ht="13">
      <c r="B15" s="5" t="s">
        <v>12</v>
      </c>
      <c r="J15" s="33"/>
    </row>
    <row r="16" spans="1:10" ht="16" customHeight="1">
      <c r="A16" s="5" t="s">
        <v>13</v>
      </c>
      <c r="B16" s="13">
        <f>Model!D18/1000</f>
        <v>0.251</v>
      </c>
      <c r="H16" s="1" t="s">
        <v>6</v>
      </c>
      <c r="J16" s="33">
        <v>0.255</v>
      </c>
    </row>
    <row r="17" spans="1:10" ht="16" customHeight="1">
      <c r="A17" s="5" t="s">
        <v>38</v>
      </c>
      <c r="B17" s="5">
        <f>IF(Model!C19,Model!D19/100,1)</f>
        <v>0.5</v>
      </c>
      <c r="H17" s="1" t="s">
        <v>7</v>
      </c>
      <c r="J17" s="33">
        <v>0.32</v>
      </c>
    </row>
    <row r="18" spans="1:10" ht="13">
      <c r="A18" s="5"/>
      <c r="B18" s="5"/>
      <c r="H18" s="1" t="s">
        <v>8</v>
      </c>
      <c r="J18" s="33"/>
    </row>
    <row r="19" spans="1:10" ht="13">
      <c r="A19" s="5"/>
      <c r="B19" s="5"/>
      <c r="J19" s="33"/>
    </row>
    <row r="20" spans="1:10" ht="16" customHeight="1">
      <c r="A20" s="87" t="s">
        <v>80</v>
      </c>
      <c r="B20" s="88">
        <f>Model!C24/100</f>
        <v>0.71</v>
      </c>
      <c r="I20" s="38"/>
      <c r="J20" s="33"/>
    </row>
    <row r="21" spans="1:10" ht="17" customHeight="1">
      <c r="A21" s="87" t="s">
        <v>81</v>
      </c>
      <c r="B21" s="88">
        <f>Model!C25/100</f>
        <v>0.03</v>
      </c>
      <c r="J21" s="33"/>
    </row>
    <row r="22" spans="1:10" ht="21" customHeight="1">
      <c r="J22" s="33"/>
    </row>
    <row r="23" spans="1:10" ht="16" customHeight="1">
      <c r="B23" s="6" t="s">
        <v>14</v>
      </c>
      <c r="J23" s="33"/>
    </row>
    <row r="24" spans="1:10" ht="15" customHeight="1">
      <c r="A24" s="6" t="s">
        <v>15</v>
      </c>
      <c r="B24" s="7">
        <f>Model!D28</f>
        <v>20</v>
      </c>
      <c r="J24" s="33"/>
    </row>
    <row r="25" spans="1:10" ht="13">
      <c r="A25" s="6"/>
      <c r="B25" s="7"/>
    </row>
    <row r="29" spans="1:10" ht="16" thickBot="1">
      <c r="B29" s="16" t="str">
        <f>Model!G1</f>
        <v>HIV-ve &amp; baby</v>
      </c>
      <c r="C29" s="16" t="str">
        <f>Model!H1</f>
        <v>HIV+ve &amp; -ve baby</v>
      </c>
      <c r="D29" s="16" t="str">
        <f>Model!I1</f>
        <v>HIV+ve &amp; +ve baby</v>
      </c>
      <c r="E29" s="17" t="str">
        <f>Model!O1</f>
        <v>HIV-ve</v>
      </c>
      <c r="F29" s="17" t="str">
        <f>Model!P1</f>
        <v>HIV+ve</v>
      </c>
    </row>
    <row r="30" spans="1:10">
      <c r="A30" s="1">
        <f>N</f>
        <v>20</v>
      </c>
      <c r="B30" s="14">
        <f>LOOKUP(N,Model!$F:$F,Model!G:G)</f>
        <v>0.46798040625251652</v>
      </c>
      <c r="C30" s="14">
        <f>LOOKUP(N,Model!$F:$F,Model!H:H)</f>
        <v>3.6834138261916862E-5</v>
      </c>
      <c r="D30" s="14">
        <f>LOOKUP(N,Model!$F:$F,Model!I:I)</f>
        <v>5.2860884526821793E-6</v>
      </c>
      <c r="E30" s="14">
        <f>LOOKUP(N,Model!$F:$F,Model!O:O)</f>
        <v>0.53192959759488057</v>
      </c>
      <c r="F30" s="14">
        <f>LOOKUP(N,Model!$F:$F,Model!P:P)</f>
        <v>4.7875925888256823E-5</v>
      </c>
    </row>
    <row r="31" spans="1:10">
      <c r="B31" s="8"/>
    </row>
    <row r="32" spans="1:10">
      <c r="B32" s="9"/>
    </row>
    <row r="33" spans="2:17">
      <c r="B33" s="10"/>
    </row>
    <row r="37" spans="2:17" ht="13">
      <c r="K37" s="11"/>
      <c r="Q37" s="12"/>
    </row>
    <row r="38" spans="2:17" ht="13">
      <c r="K38" s="11"/>
      <c r="Q38" s="12"/>
    </row>
    <row r="39" spans="2:17" ht="13">
      <c r="K39" s="11"/>
      <c r="Q39" s="12"/>
    </row>
  </sheetData>
  <phoneticPr fontId="0" type="noConversion"/>
  <pageMargins left="0.75" right="0.75" top="1" bottom="1" header="0.5" footer="0.5"/>
  <pageSetup paperSize="138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8" r:id="rId3" name="Check Box 84">
              <controlPr defaultSize="0" autoFill="0" autoLine="0" autoPict="0">
                <anchor moveWithCells="1">
                  <from>
                    <xdr:col>0</xdr:col>
                    <xdr:colOff>1282700</xdr:colOff>
                    <xdr:row>5</xdr:row>
                    <xdr:rowOff>63500</xdr:rowOff>
                  </from>
                  <to>
                    <xdr:col>0</xdr:col>
                    <xdr:colOff>1676400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9" r:id="rId4" name="Check Box 85">
              <controlPr defaultSize="0" autoFill="0" autoLine="0" autoPict="0">
                <anchor moveWithCells="1">
                  <from>
                    <xdr:col>0</xdr:col>
                    <xdr:colOff>1282700</xdr:colOff>
                    <xdr:row>6</xdr:row>
                    <xdr:rowOff>38100</xdr:rowOff>
                  </from>
                  <to>
                    <xdr:col>0</xdr:col>
                    <xdr:colOff>1676400</xdr:colOff>
                    <xdr:row>6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0" r:id="rId5" name="Check Box 86">
              <controlPr defaultSize="0" autoFill="0" autoLine="0" autoPict="0">
                <anchor moveWithCells="1">
                  <from>
                    <xdr:col>0</xdr:col>
                    <xdr:colOff>1282700</xdr:colOff>
                    <xdr:row>7</xdr:row>
                    <xdr:rowOff>50800</xdr:rowOff>
                  </from>
                  <to>
                    <xdr:col>0</xdr:col>
                    <xdr:colOff>1676400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1" r:id="rId6" name="Check Box 87">
              <controlPr defaultSize="0" autoFill="0" autoLine="0" autoPict="0">
                <anchor moveWithCells="1">
                  <from>
                    <xdr:col>0</xdr:col>
                    <xdr:colOff>1282700</xdr:colOff>
                    <xdr:row>8</xdr:row>
                    <xdr:rowOff>50800</xdr:rowOff>
                  </from>
                  <to>
                    <xdr:col>0</xdr:col>
                    <xdr:colOff>1676400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2" r:id="rId7" name="Check Box 88">
              <controlPr defaultSize="0" autoFill="0" autoLine="0" autoPict="0">
                <anchor moveWithCells="1">
                  <from>
                    <xdr:col>0</xdr:col>
                    <xdr:colOff>1282700</xdr:colOff>
                    <xdr:row>15</xdr:row>
                    <xdr:rowOff>139700</xdr:rowOff>
                  </from>
                  <to>
                    <xdr:col>0</xdr:col>
                    <xdr:colOff>1676400</xdr:colOff>
                    <xdr:row>16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8" name="Scroll Bar 97">
              <controlPr defaultSize="0" autoPict="0">
                <anchor moveWithCells="1">
                  <from>
                    <xdr:col>3</xdr:col>
                    <xdr:colOff>38100</xdr:colOff>
                    <xdr:row>2</xdr:row>
                    <xdr:rowOff>38100</xdr:rowOff>
                  </from>
                  <to>
                    <xdr:col>8</xdr:col>
                    <xdr:colOff>342900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5" r:id="rId9" name="Scroll Bar 101">
              <controlPr defaultSize="0" autoPict="0">
                <anchor moveWithCells="1">
                  <from>
                    <xdr:col>3</xdr:col>
                    <xdr:colOff>38100</xdr:colOff>
                    <xdr:row>5</xdr:row>
                    <xdr:rowOff>50800</xdr:rowOff>
                  </from>
                  <to>
                    <xdr:col>8</xdr:col>
                    <xdr:colOff>342900</xdr:colOff>
                    <xdr:row>5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10" name="Scroll Bar 111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63500</xdr:rowOff>
                  </from>
                  <to>
                    <xdr:col>8</xdr:col>
                    <xdr:colOff>381000</xdr:colOff>
                    <xdr:row>17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11" name="Scroll Bar 112">
              <controlPr defaultSize="0" autoPict="0">
                <anchor moveWithCells="1">
                  <from>
                    <xdr:col>3</xdr:col>
                    <xdr:colOff>50800</xdr:colOff>
                    <xdr:row>23</xdr:row>
                    <xdr:rowOff>12700</xdr:rowOff>
                  </from>
                  <to>
                    <xdr:col>8</xdr:col>
                    <xdr:colOff>355600</xdr:colOff>
                    <xdr:row>24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" r:id="rId12" name="Scroll Bar 102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50800</xdr:rowOff>
                  </from>
                  <to>
                    <xdr:col>8</xdr:col>
                    <xdr:colOff>342900</xdr:colOff>
                    <xdr:row>6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13" name="Scroll Bar 103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76200</xdr:rowOff>
                  </from>
                  <to>
                    <xdr:col>8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14" name="Scroll Bar 110">
              <controlPr defaultSize="0" autoPict="0">
                <anchor moveWithCells="1">
                  <from>
                    <xdr:col>3</xdr:col>
                    <xdr:colOff>38100</xdr:colOff>
                    <xdr:row>8</xdr:row>
                    <xdr:rowOff>88900</xdr:rowOff>
                  </from>
                  <to>
                    <xdr:col>8</xdr:col>
                    <xdr:colOff>342900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2" r:id="rId15" name="Scroll Bar 108">
              <controlPr defaultSize="0" autoPict="0">
                <anchor moveWithCells="1">
                  <from>
                    <xdr:col>3</xdr:col>
                    <xdr:colOff>38100</xdr:colOff>
                    <xdr:row>11</xdr:row>
                    <xdr:rowOff>12700</xdr:rowOff>
                  </from>
                  <to>
                    <xdr:col>8</xdr:col>
                    <xdr:colOff>342900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16" name="Scroll Bar 109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0</xdr:rowOff>
                  </from>
                  <to>
                    <xdr:col>8</xdr:col>
                    <xdr:colOff>381000</xdr:colOff>
                    <xdr:row>15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" r:id="rId17" name="Check Box 114">
              <controlPr defaultSize="0" autoFill="0" autoLine="0" autoPict="0">
                <anchor moveWithCells="1">
                  <from>
                    <xdr:col>0</xdr:col>
                    <xdr:colOff>2870200</xdr:colOff>
                    <xdr:row>19</xdr:row>
                    <xdr:rowOff>12700</xdr:rowOff>
                  </from>
                  <to>
                    <xdr:col>1</xdr:col>
                    <xdr:colOff>342900</xdr:colOff>
                    <xdr:row>20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" r:id="rId18" name="Check Box 115">
              <controlPr defaultSize="0" autoFill="0" autoLine="0" autoPict="0">
                <anchor moveWithCells="1">
                  <from>
                    <xdr:col>0</xdr:col>
                    <xdr:colOff>2870200</xdr:colOff>
                    <xdr:row>20</xdr:row>
                    <xdr:rowOff>50800</xdr:rowOff>
                  </from>
                  <to>
                    <xdr:col>1</xdr:col>
                    <xdr:colOff>342900</xdr:colOff>
                    <xdr:row>21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19" name="Scroll Bar 117">
              <controlPr defaultSize="0" autoPict="0">
                <anchor moveWithCells="1">
                  <from>
                    <xdr:col>3</xdr:col>
                    <xdr:colOff>76200</xdr:colOff>
                    <xdr:row>19</xdr:row>
                    <xdr:rowOff>25400</xdr:rowOff>
                  </from>
                  <to>
                    <xdr:col>8</xdr:col>
                    <xdr:colOff>381000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2" r:id="rId20" name="Scroll Bar 118">
              <controlPr defaultSize="0" autoPict="0">
                <anchor moveWithCells="1">
                  <from>
                    <xdr:col>3</xdr:col>
                    <xdr:colOff>76200</xdr:colOff>
                    <xdr:row>20</xdr:row>
                    <xdr:rowOff>76200</xdr:rowOff>
                  </from>
                  <to>
                    <xdr:col>8</xdr:col>
                    <xdr:colOff>381000</xdr:colOff>
                    <xdr:row>21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indexed="31"/>
  </sheetPr>
  <dimension ref="A1:S111"/>
  <sheetViews>
    <sheetView topLeftCell="A2" workbookViewId="0">
      <selection activeCell="D14" sqref="D14"/>
    </sheetView>
  </sheetViews>
  <sheetFormatPr baseColWidth="10" defaultColWidth="9.1640625" defaultRowHeight="12" x14ac:dyDescent="0"/>
  <cols>
    <col min="1" max="1" width="31.5" style="14" customWidth="1"/>
    <col min="2" max="2" width="12.1640625" style="14" bestFit="1" customWidth="1"/>
    <col min="3" max="3" width="9.1640625" style="92" customWidth="1"/>
    <col min="4" max="4" width="17.1640625" style="92" bestFit="1" customWidth="1"/>
    <col min="5" max="5" width="9.1640625" style="14"/>
    <col min="6" max="6" width="18.5" style="15" customWidth="1"/>
    <col min="7" max="13" width="18.5" style="18" customWidth="1"/>
    <col min="14" max="14" width="18.5" style="20" customWidth="1"/>
    <col min="15" max="16" width="15.5" style="19" customWidth="1"/>
    <col min="17" max="18" width="16.33203125" style="37" customWidth="1"/>
    <col min="19" max="16384" width="9.1640625" style="14"/>
  </cols>
  <sheetData>
    <row r="1" spans="1:19" ht="16" thickBot="1">
      <c r="A1" s="40" t="s">
        <v>21</v>
      </c>
      <c r="B1" s="39">
        <f>MIN(1,TT*h.late*h.tx*h.std*h.prep)</f>
        <v>4.5000000000000001E-6</v>
      </c>
      <c r="C1" s="89"/>
      <c r="D1" s="89"/>
      <c r="E1" s="39"/>
      <c r="F1" s="41" t="s">
        <v>23</v>
      </c>
      <c r="G1" s="42" t="s">
        <v>29</v>
      </c>
      <c r="H1" s="42" t="s">
        <v>30</v>
      </c>
      <c r="I1" s="42" t="s">
        <v>31</v>
      </c>
      <c r="J1" s="42" t="s">
        <v>25</v>
      </c>
      <c r="K1" s="42" t="s">
        <v>26</v>
      </c>
      <c r="L1" s="42" t="s">
        <v>27</v>
      </c>
      <c r="M1" s="42" t="s">
        <v>28</v>
      </c>
      <c r="N1" s="43" t="s">
        <v>24</v>
      </c>
      <c r="O1" s="44" t="s">
        <v>32</v>
      </c>
      <c r="P1" s="44" t="s">
        <v>33</v>
      </c>
      <c r="Q1" s="45" t="s">
        <v>42</v>
      </c>
      <c r="R1" s="45" t="s">
        <v>43</v>
      </c>
      <c r="S1" s="40" t="s">
        <v>44</v>
      </c>
    </row>
    <row r="2" spans="1:19" ht="15">
      <c r="A2" s="40" t="s">
        <v>22</v>
      </c>
      <c r="B2" s="39">
        <f>MIN(p.concieve,1)</f>
        <v>3.6625907148053048E-2</v>
      </c>
      <c r="C2" s="89"/>
      <c r="D2" s="89"/>
      <c r="E2" s="39"/>
      <c r="F2" s="46">
        <v>1</v>
      </c>
      <c r="G2" s="47">
        <f t="shared" ref="G2:G33" si="0">p.delivery*(1-(1-p.conception)^F2)*(1-alpha)^F2</f>
        <v>3.2596910675009069E-2</v>
      </c>
      <c r="H2" s="47">
        <f t="shared" ref="H2:H33" si="1" xml:space="preserve"> p.delivery*(1-h.mtctx*p.mtct)*(1-(1-p.conception)^F2)*(1-(1-alpha)^F2)</f>
        <v>1.2827756998183584E-7</v>
      </c>
      <c r="I2" s="47">
        <f t="shared" ref="I2:I33" si="2">p.delivery*(h.mtctx*p.mtct)*(1-(1-p.conception)^F2)*(1-(1-alpha)^F2)</f>
        <v>1.8409188144906115E-8</v>
      </c>
      <c r="J2" s="47">
        <f t="shared" ref="J2:J33" si="3">(1-p.delivery)*(1-(1-p.conception)^F2)*(1-alpha)^F2</f>
        <v>4.0288316564617947E-3</v>
      </c>
      <c r="K2" s="47">
        <f t="shared" ref="K2:K33" si="4">((1-p.conception)^F2)*(1-alpha)^F2</f>
        <v>0.96336975766852917</v>
      </c>
      <c r="L2" s="47">
        <f t="shared" ref="L2:L33" si="5">(1-p.delivery)*(1-(1-p.conception)^F2)*(1-(1-alpha)^F2)</f>
        <v>1.8129824038136644E-8</v>
      </c>
      <c r="M2" s="47">
        <f t="shared" ref="M2:M33" si="6">(1-p.conception)^F2*(1-(1-alpha)^F2)</f>
        <v>4.3351834177979888E-6</v>
      </c>
      <c r="N2" s="48">
        <f>SUM(G2:M2)</f>
        <v>1</v>
      </c>
      <c r="O2" s="49">
        <f>SUM(J2:K2)</f>
        <v>0.96739858932499101</v>
      </c>
      <c r="P2" s="49">
        <f>SUM(L2:M2)</f>
        <v>4.3533132418361252E-6</v>
      </c>
      <c r="Q2" s="50">
        <f>O2+H2+G2</f>
        <v>0.99999562827757005</v>
      </c>
      <c r="R2" s="50">
        <f>P2+I2</f>
        <v>4.371722429981031E-6</v>
      </c>
      <c r="S2" s="51">
        <f>IF(R2&lt;Interface!$B$21,R2,0)</f>
        <v>4.371722429981031E-6</v>
      </c>
    </row>
    <row r="3" spans="1:19">
      <c r="A3" s="39"/>
      <c r="B3" s="39"/>
      <c r="C3" s="89"/>
      <c r="D3" s="89"/>
      <c r="E3" s="39"/>
      <c r="F3" s="46">
        <v>2</v>
      </c>
      <c r="G3" s="47">
        <f t="shared" si="0"/>
        <v>6.3999641926637221E-2</v>
      </c>
      <c r="H3" s="47">
        <f t="shared" si="1"/>
        <v>5.0371258183548243E-7</v>
      </c>
      <c r="I3" s="47">
        <f t="shared" si="2"/>
        <v>7.2288083499546087E-8</v>
      </c>
      <c r="J3" s="47">
        <f t="shared" si="3"/>
        <v>7.9100681032922386E-3</v>
      </c>
      <c r="K3" s="47">
        <f t="shared" si="4"/>
        <v>0.92808128999032069</v>
      </c>
      <c r="L3" s="47">
        <f t="shared" si="5"/>
        <v>7.1191093468374305E-8</v>
      </c>
      <c r="M3" s="47">
        <f t="shared" si="6"/>
        <v>8.3527879910984507E-6</v>
      </c>
      <c r="N3" s="48">
        <f t="shared" ref="N3:N66" si="7">SUM(G3:M3)</f>
        <v>1</v>
      </c>
      <c r="O3" s="49">
        <f t="shared" ref="O3:O66" si="8">SUM(J3:K3)</f>
        <v>0.93599135809361289</v>
      </c>
      <c r="P3" s="49">
        <f t="shared" ref="P3:P66" si="9">SUM(L3:M3)</f>
        <v>8.4239790845668244E-6</v>
      </c>
      <c r="Q3" s="50">
        <f t="shared" ref="Q3:Q66" si="10">O3+H3+G3</f>
        <v>0.99999150373283197</v>
      </c>
      <c r="R3" s="50">
        <f t="shared" ref="R3:R66" si="11">P3+I3</f>
        <v>8.4962671680663699E-6</v>
      </c>
      <c r="S3" s="51">
        <f>IF(R3&lt;Interface!$B$21,R3,0)</f>
        <v>8.4962671680663699E-6</v>
      </c>
    </row>
    <row r="4" spans="1:19">
      <c r="A4" s="39"/>
      <c r="B4" s="39"/>
      <c r="C4" s="89"/>
      <c r="D4" s="89"/>
      <c r="E4" s="39"/>
      <c r="F4" s="46">
        <v>3</v>
      </c>
      <c r="G4" s="47">
        <f t="shared" si="0"/>
        <v>9.4251936837210171E-2</v>
      </c>
      <c r="H4" s="47">
        <f t="shared" si="1"/>
        <v>1.1127248178107855E-6</v>
      </c>
      <c r="I4" s="47">
        <f t="shared" si="2"/>
        <v>1.5968778117238832E-7</v>
      </c>
      <c r="J4" s="47">
        <f t="shared" si="3"/>
        <v>1.1649115788868672E-2</v>
      </c>
      <c r="K4" s="47">
        <f t="shared" si="4"/>
        <v>0.89408544743467122</v>
      </c>
      <c r="L4" s="47">
        <f t="shared" si="5"/>
        <v>1.5726447852601025E-7</v>
      </c>
      <c r="M4" s="47">
        <f t="shared" si="6"/>
        <v>1.2070262172418799E-5</v>
      </c>
      <c r="N4" s="48">
        <f t="shared" si="7"/>
        <v>1</v>
      </c>
      <c r="O4" s="49">
        <f t="shared" si="8"/>
        <v>0.90573456322353985</v>
      </c>
      <c r="P4" s="49">
        <f t="shared" si="9"/>
        <v>1.2227526650944809E-5</v>
      </c>
      <c r="Q4" s="50">
        <f t="shared" si="10"/>
        <v>0.9999876127855678</v>
      </c>
      <c r="R4" s="50">
        <f t="shared" si="11"/>
        <v>1.2387214432117198E-5</v>
      </c>
      <c r="S4" s="51">
        <f>IF(R4&lt;Interface!$B$21,R4,0)</f>
        <v>1.2387214432117198E-5</v>
      </c>
    </row>
    <row r="5" spans="1:19">
      <c r="A5" s="39"/>
      <c r="B5" s="39"/>
      <c r="C5" s="89"/>
      <c r="D5" s="89"/>
      <c r="E5" s="39"/>
      <c r="F5" s="46">
        <v>4</v>
      </c>
      <c r="G5" s="47">
        <f t="shared" si="0"/>
        <v>0.12339593616934798</v>
      </c>
      <c r="H5" s="47">
        <f t="shared" si="1"/>
        <v>1.9423972831390737E-6</v>
      </c>
      <c r="I5" s="47">
        <f t="shared" si="2"/>
        <v>2.7875455578496707E-7</v>
      </c>
      <c r="J5" s="47">
        <f t="shared" si="3"/>
        <v>1.5251183122054243E-2</v>
      </c>
      <c r="K5" s="47">
        <f t="shared" si="4"/>
        <v>0.86133488083009757</v>
      </c>
      <c r="L5" s="47">
        <f t="shared" si="5"/>
        <v>2.7452438458611733E-7</v>
      </c>
      <c r="M5" s="47">
        <f t="shared" si="6"/>
        <v>1.5504202276642121E-5</v>
      </c>
      <c r="N5" s="48">
        <f t="shared" si="7"/>
        <v>1</v>
      </c>
      <c r="O5" s="49">
        <f t="shared" si="8"/>
        <v>0.87658606395215177</v>
      </c>
      <c r="P5" s="49">
        <f t="shared" si="9"/>
        <v>1.577872666122824E-5</v>
      </c>
      <c r="Q5" s="50">
        <f t="shared" si="10"/>
        <v>0.99998394251878286</v>
      </c>
      <c r="R5" s="50">
        <f t="shared" si="11"/>
        <v>1.6057481217013207E-5</v>
      </c>
      <c r="S5" s="51">
        <f>IF(R5&lt;Interface!$B$21,R5,0)</f>
        <v>1.6057481217013207E-5</v>
      </c>
    </row>
    <row r="6" spans="1:19">
      <c r="A6" s="39"/>
      <c r="B6" s="39"/>
      <c r="C6" s="89"/>
      <c r="D6" s="89"/>
      <c r="E6" s="39"/>
      <c r="F6" s="46">
        <v>5</v>
      </c>
      <c r="G6" s="47">
        <f t="shared" si="0"/>
        <v>0.15147223705932347</v>
      </c>
      <c r="H6" s="47">
        <f t="shared" si="1"/>
        <v>2.9804458403067798E-6</v>
      </c>
      <c r="I6" s="47">
        <f t="shared" si="2"/>
        <v>4.2772550366895467E-7</v>
      </c>
      <c r="J6" s="47">
        <f t="shared" si="3"/>
        <v>1.8721287726433236E-2</v>
      </c>
      <c r="K6" s="47">
        <f t="shared" si="4"/>
        <v>0.82978397541674265</v>
      </c>
      <c r="L6" s="47">
        <f t="shared" si="5"/>
        <v>4.2123466049138285E-7</v>
      </c>
      <c r="M6" s="47">
        <f t="shared" si="6"/>
        <v>1.8670391496218642E-5</v>
      </c>
      <c r="N6" s="48">
        <f t="shared" si="7"/>
        <v>1</v>
      </c>
      <c r="O6" s="49">
        <f t="shared" si="8"/>
        <v>0.84850526314317587</v>
      </c>
      <c r="P6" s="49">
        <f t="shared" si="9"/>
        <v>1.9091626156710026E-5</v>
      </c>
      <c r="Q6" s="50">
        <f t="shared" si="10"/>
        <v>0.99998048064833966</v>
      </c>
      <c r="R6" s="50">
        <f t="shared" si="11"/>
        <v>1.9519351660378982E-5</v>
      </c>
      <c r="S6" s="51">
        <f>IF(R6&lt;Interface!$B$21,R6,0)</f>
        <v>1.9519351660378982E-5</v>
      </c>
    </row>
    <row r="7" spans="1:19">
      <c r="A7" s="39"/>
      <c r="B7" s="39"/>
      <c r="C7" s="89"/>
      <c r="D7" s="89"/>
      <c r="E7" s="39"/>
      <c r="F7" s="46">
        <v>6</v>
      </c>
      <c r="G7" s="47">
        <f t="shared" si="0"/>
        <v>0.17851994956047024</v>
      </c>
      <c r="H7" s="47">
        <f t="shared" si="1"/>
        <v>4.2151901779974772E-6</v>
      </c>
      <c r="I7" s="47">
        <f t="shared" si="2"/>
        <v>6.0492437660226789E-7</v>
      </c>
      <c r="J7" s="47">
        <f t="shared" si="3"/>
        <v>2.2064263428822162E-2</v>
      </c>
      <c r="K7" s="47">
        <f t="shared" si="4"/>
        <v>0.79938878731445606</v>
      </c>
      <c r="L7" s="47">
        <f t="shared" si="5"/>
        <v>5.9574449551232789E-7</v>
      </c>
      <c r="M7" s="47">
        <f t="shared" si="6"/>
        <v>2.1583837201416354E-5</v>
      </c>
      <c r="N7" s="48">
        <f t="shared" si="7"/>
        <v>1</v>
      </c>
      <c r="O7" s="49">
        <f t="shared" si="8"/>
        <v>0.82145305074327823</v>
      </c>
      <c r="P7" s="49">
        <f t="shared" si="9"/>
        <v>2.2179581696928682E-5</v>
      </c>
      <c r="Q7" s="50">
        <f t="shared" si="10"/>
        <v>0.99997721549392649</v>
      </c>
      <c r="R7" s="50">
        <f t="shared" si="11"/>
        <v>2.2784506073530949E-5</v>
      </c>
      <c r="S7" s="51">
        <f>IF(R7&lt;Interface!$B$21,R7,0)</f>
        <v>2.2784506073530949E-5</v>
      </c>
    </row>
    <row r="8" spans="1:19" ht="15">
      <c r="A8" s="39"/>
      <c r="B8" s="39"/>
      <c r="C8" s="90" t="s">
        <v>82</v>
      </c>
      <c r="D8" s="90" t="s">
        <v>83</v>
      </c>
      <c r="E8" s="39"/>
      <c r="F8" s="46">
        <v>7</v>
      </c>
      <c r="G8" s="47">
        <f t="shared" si="0"/>
        <v>0.20457675111539031</v>
      </c>
      <c r="H8" s="47">
        <f t="shared" si="1"/>
        <v>5.6355260577292222E-6</v>
      </c>
      <c r="I8" s="47">
        <f t="shared" si="2"/>
        <v>8.0875759890796725E-7</v>
      </c>
      <c r="J8" s="47">
        <f t="shared" si="3"/>
        <v>2.528476699178981E-2</v>
      </c>
      <c r="K8" s="47">
        <f t="shared" si="4"/>
        <v>0.77010698231806707</v>
      </c>
      <c r="L8" s="47">
        <f t="shared" si="5"/>
        <v>7.9648449688774241E-7</v>
      </c>
      <c r="M8" s="47">
        <f t="shared" si="6"/>
        <v>2.4258806599266373E-5</v>
      </c>
      <c r="N8" s="48">
        <f t="shared" si="7"/>
        <v>1</v>
      </c>
      <c r="O8" s="49">
        <f t="shared" si="8"/>
        <v>0.7953917493098569</v>
      </c>
      <c r="P8" s="49">
        <f t="shared" si="9"/>
        <v>2.5055291096154115E-5</v>
      </c>
      <c r="Q8" s="50">
        <f t="shared" si="10"/>
        <v>0.99997413595130491</v>
      </c>
      <c r="R8" s="50">
        <f t="shared" si="11"/>
        <v>2.5864048695062083E-5</v>
      </c>
      <c r="S8" s="51">
        <f>IF(R8&lt;Interface!$B$21,R8,0)</f>
        <v>2.5864048695062083E-5</v>
      </c>
    </row>
    <row r="9" spans="1:19">
      <c r="A9" s="39"/>
      <c r="B9" s="39"/>
      <c r="C9" s="89"/>
      <c r="D9" s="89"/>
      <c r="E9" s="39"/>
      <c r="F9" s="46">
        <v>8</v>
      </c>
      <c r="G9" s="47">
        <f t="shared" si="0"/>
        <v>0.22967893903283321</v>
      </c>
      <c r="H9" s="47">
        <f t="shared" si="1"/>
        <v>7.2308987834816255E-6</v>
      </c>
      <c r="I9" s="47">
        <f t="shared" si="2"/>
        <v>1.0377104600651162E-6</v>
      </c>
      <c r="J9" s="47">
        <f t="shared" si="3"/>
        <v>2.8387284599563651E-2</v>
      </c>
      <c r="K9" s="47">
        <f t="shared" si="4"/>
        <v>0.74189777693459846</v>
      </c>
      <c r="L9" s="47">
        <f t="shared" si="5"/>
        <v>1.021962940213642E-6</v>
      </c>
      <c r="M9" s="47">
        <f t="shared" si="6"/>
        <v>2.670886082093605E-5</v>
      </c>
      <c r="N9" s="48">
        <f t="shared" si="7"/>
        <v>1</v>
      </c>
      <c r="O9" s="49">
        <f t="shared" si="8"/>
        <v>0.7702850615341621</v>
      </c>
      <c r="P9" s="49">
        <f t="shared" si="9"/>
        <v>2.7730823761149693E-5</v>
      </c>
      <c r="Q9" s="50">
        <f t="shared" si="10"/>
        <v>0.99997123146577882</v>
      </c>
      <c r="R9" s="50">
        <f t="shared" si="11"/>
        <v>2.8768534221214811E-5</v>
      </c>
      <c r="S9" s="51">
        <f>IF(R9&lt;Interface!$B$21,R9,0)</f>
        <v>2.8768534221214811E-5</v>
      </c>
    </row>
    <row r="10" spans="1:19">
      <c r="A10" s="39"/>
      <c r="B10" s="39"/>
      <c r="C10" s="89"/>
      <c r="D10" s="89">
        <v>20</v>
      </c>
      <c r="E10" s="39"/>
      <c r="F10" s="46">
        <v>9</v>
      </c>
      <c r="G10" s="47">
        <f t="shared" si="0"/>
        <v>0.25386148104233247</v>
      </c>
      <c r="H10" s="47">
        <f t="shared" si="1"/>
        <v>8.9912778418930008E-6</v>
      </c>
      <c r="I10" s="47">
        <f t="shared" si="2"/>
        <v>1.2903434753088297E-6</v>
      </c>
      <c r="J10" s="47">
        <f t="shared" si="3"/>
        <v>3.13761381063557E-2</v>
      </c>
      <c r="K10" s="47">
        <f t="shared" si="4"/>
        <v>0.71472188158030459</v>
      </c>
      <c r="L10" s="47">
        <f t="shared" si="5"/>
        <v>1.2707621852721364E-6</v>
      </c>
      <c r="M10" s="47">
        <f t="shared" si="6"/>
        <v>2.8946887504769851E-5</v>
      </c>
      <c r="N10" s="48">
        <f t="shared" si="7"/>
        <v>1</v>
      </c>
      <c r="O10" s="49">
        <f t="shared" si="8"/>
        <v>0.74609801968666023</v>
      </c>
      <c r="P10" s="49">
        <f t="shared" si="9"/>
        <v>3.0217649690041988E-5</v>
      </c>
      <c r="Q10" s="50">
        <f t="shared" si="10"/>
        <v>0.99996849200683458</v>
      </c>
      <c r="R10" s="50">
        <f t="shared" si="11"/>
        <v>3.1507993165350818E-5</v>
      </c>
      <c r="S10" s="51">
        <f>IF(R10&lt;Interface!$B$21,R10,0)</f>
        <v>3.1507993165350818E-5</v>
      </c>
    </row>
    <row r="11" spans="1:19">
      <c r="A11" s="39"/>
      <c r="B11" s="39"/>
      <c r="C11" s="89" t="b">
        <v>0</v>
      </c>
      <c r="D11" s="89">
        <v>179</v>
      </c>
      <c r="E11" s="39"/>
      <c r="F11" s="46">
        <v>10</v>
      </c>
      <c r="G11" s="47">
        <f t="shared" si="0"/>
        <v>0.27715806399701542</v>
      </c>
      <c r="H11" s="47">
        <f t="shared" si="1"/>
        <v>1.0907132663032234E-5</v>
      </c>
      <c r="I11" s="47">
        <f t="shared" si="2"/>
        <v>1.565288907044649E-6</v>
      </c>
      <c r="J11" s="47">
        <f t="shared" si="3"/>
        <v>3.425549105581089E-2</v>
      </c>
      <c r="K11" s="47">
        <f t="shared" si="4"/>
        <v>0.68854144585841326</v>
      </c>
      <c r="L11" s="47">
        <f t="shared" si="5"/>
        <v>1.5415352502342213E-6</v>
      </c>
      <c r="M11" s="47">
        <f t="shared" si="6"/>
        <v>3.0985131940122357E-5</v>
      </c>
      <c r="N11" s="48">
        <f t="shared" si="7"/>
        <v>1</v>
      </c>
      <c r="O11" s="49">
        <f t="shared" si="8"/>
        <v>0.7227969369142242</v>
      </c>
      <c r="P11" s="49">
        <f t="shared" si="9"/>
        <v>3.2526667190356578E-5</v>
      </c>
      <c r="Q11" s="50">
        <f t="shared" si="10"/>
        <v>0.99996590804390273</v>
      </c>
      <c r="R11" s="50">
        <f t="shared" si="11"/>
        <v>3.4091956097401224E-5</v>
      </c>
      <c r="S11" s="51">
        <f>IF(R11&lt;Interface!$B$21,R11,0)</f>
        <v>3.4091956097401224E-5</v>
      </c>
    </row>
    <row r="12" spans="1:19">
      <c r="A12" s="39"/>
      <c r="B12" s="39"/>
      <c r="C12" s="89" t="b">
        <v>1</v>
      </c>
      <c r="D12" s="89">
        <v>18</v>
      </c>
      <c r="E12" s="39"/>
      <c r="F12" s="46">
        <v>11</v>
      </c>
      <c r="G12" s="47">
        <f t="shared" si="0"/>
        <v>0.29960114079241573</v>
      </c>
      <c r="H12" s="47">
        <f t="shared" si="1"/>
        <v>1.2969409453622218E-5</v>
      </c>
      <c r="I12" s="47">
        <f t="shared" si="2"/>
        <v>1.8612474401710558E-6</v>
      </c>
      <c r="J12" s="47">
        <f t="shared" si="3"/>
        <v>3.7029354479961488E-2</v>
      </c>
      <c r="K12" s="47">
        <f t="shared" si="4"/>
        <v>0.66332000584135831</v>
      </c>
      <c r="L12" s="47">
        <f t="shared" si="5"/>
        <v>1.8330025374351236E-6</v>
      </c>
      <c r="M12" s="47">
        <f t="shared" si="6"/>
        <v>3.2835226833258997E-5</v>
      </c>
      <c r="N12" s="48">
        <f t="shared" si="7"/>
        <v>1</v>
      </c>
      <c r="O12" s="49">
        <f t="shared" si="8"/>
        <v>0.70034936032131978</v>
      </c>
      <c r="P12" s="49">
        <f t="shared" si="9"/>
        <v>3.4668229370694124E-5</v>
      </c>
      <c r="Q12" s="50">
        <f t="shared" si="10"/>
        <v>0.99996347052318912</v>
      </c>
      <c r="R12" s="50">
        <f t="shared" si="11"/>
        <v>3.652947681086518E-5</v>
      </c>
      <c r="S12" s="51">
        <f>IF(R12&lt;Interface!$B$21,R12,0)</f>
        <v>3.652947681086518E-5</v>
      </c>
    </row>
    <row r="13" spans="1:19">
      <c r="A13" s="39"/>
      <c r="B13" s="39"/>
      <c r="C13" s="89" t="b">
        <v>0</v>
      </c>
      <c r="D13" s="89">
        <v>1193</v>
      </c>
      <c r="E13" s="39"/>
      <c r="F13" s="46">
        <v>12</v>
      </c>
      <c r="G13" s="47">
        <f t="shared" si="0"/>
        <v>0.32122197556663951</v>
      </c>
      <c r="H13" s="47">
        <f t="shared" si="1"/>
        <v>1.5169509056482455E-5</v>
      </c>
      <c r="I13" s="47">
        <f t="shared" si="2"/>
        <v>2.1769850046752982E-6</v>
      </c>
      <c r="J13" s="47">
        <f t="shared" si="3"/>
        <v>3.970159248576443E-2</v>
      </c>
      <c r="K13" s="47">
        <f t="shared" si="4"/>
        <v>0.63902243328407671</v>
      </c>
      <c r="L13" s="47">
        <f t="shared" si="5"/>
        <v>2.1439487041880366E-6</v>
      </c>
      <c r="M13" s="47">
        <f t="shared" si="6"/>
        <v>3.4508220754059844E-5</v>
      </c>
      <c r="N13" s="48">
        <f t="shared" si="7"/>
        <v>1.0000000000000002</v>
      </c>
      <c r="O13" s="49">
        <f t="shared" si="8"/>
        <v>0.67872402576984114</v>
      </c>
      <c r="P13" s="49">
        <f t="shared" si="9"/>
        <v>3.6652169458247877E-5</v>
      </c>
      <c r="Q13" s="50">
        <f t="shared" si="10"/>
        <v>0.99996117084553715</v>
      </c>
      <c r="R13" s="50">
        <f t="shared" si="11"/>
        <v>3.8829154462923175E-5</v>
      </c>
      <c r="S13" s="51">
        <f>IF(R13&lt;Interface!$B$21,R13,0)</f>
        <v>3.8829154462923175E-5</v>
      </c>
    </row>
    <row r="14" spans="1:19">
      <c r="A14" s="39"/>
      <c r="B14" s="39"/>
      <c r="C14" s="89" t="b">
        <v>1</v>
      </c>
      <c r="D14" s="89">
        <v>125</v>
      </c>
      <c r="E14" s="39"/>
      <c r="F14" s="46">
        <v>13</v>
      </c>
      <c r="G14" s="47">
        <f t="shared" si="0"/>
        <v>0.34205068724483739</v>
      </c>
      <c r="H14" s="47">
        <f t="shared" si="1"/>
        <v>1.7499265792459795E-5</v>
      </c>
      <c r="I14" s="47">
        <f t="shared" si="2"/>
        <v>2.5113297392266482E-6</v>
      </c>
      <c r="J14" s="47">
        <f t="shared" si="3"/>
        <v>4.2275927637002372E-2</v>
      </c>
      <c r="K14" s="47">
        <f t="shared" si="4"/>
        <v>0.61561488669763476</v>
      </c>
      <c r="L14" s="47">
        <f t="shared" si="5"/>
        <v>2.4732196724556276E-6</v>
      </c>
      <c r="M14" s="47">
        <f t="shared" si="6"/>
        <v>3.6014605321268144E-5</v>
      </c>
      <c r="N14" s="48">
        <f t="shared" si="7"/>
        <v>1</v>
      </c>
      <c r="O14" s="49">
        <f t="shared" si="8"/>
        <v>0.65789081433463714</v>
      </c>
      <c r="P14" s="49">
        <f t="shared" si="9"/>
        <v>3.8487824993723773E-5</v>
      </c>
      <c r="Q14" s="50">
        <f t="shared" si="10"/>
        <v>0.99995900084526701</v>
      </c>
      <c r="R14" s="50">
        <f t="shared" si="11"/>
        <v>4.0999154732950423E-5</v>
      </c>
      <c r="S14" s="51">
        <f>IF(R14&lt;Interface!$B$21,R14,0)</f>
        <v>4.0999154732950423E-5</v>
      </c>
    </row>
    <row r="15" spans="1:19">
      <c r="A15" s="39"/>
      <c r="B15" s="39"/>
      <c r="C15" s="89">
        <f>LOOKUP(Interface!B12,Pregnancy!A:A,Pregnancy!B:B)</f>
        <v>3.6625907148053048E-2</v>
      </c>
      <c r="D15" s="89">
        <v>20</v>
      </c>
      <c r="E15" s="39"/>
      <c r="F15" s="46">
        <v>14</v>
      </c>
      <c r="G15" s="47">
        <f t="shared" si="0"/>
        <v>0.36211629148863345</v>
      </c>
      <c r="H15" s="47">
        <f t="shared" si="1"/>
        <v>1.9950927242146794E-5</v>
      </c>
      <c r="I15" s="47">
        <f t="shared" si="2"/>
        <v>2.8631690896391338E-6</v>
      </c>
      <c r="J15" s="47">
        <f t="shared" si="3"/>
        <v>4.4755946139044586E-2</v>
      </c>
      <c r="K15" s="47">
        <f t="shared" si="4"/>
        <v>0.5930647642150394</v>
      </c>
      <c r="L15" s="47">
        <f t="shared" si="5"/>
        <v>2.8197197713443275E-6</v>
      </c>
      <c r="M15" s="47">
        <f t="shared" si="6"/>
        <v>3.7364341179370878E-5</v>
      </c>
      <c r="N15" s="48">
        <f t="shared" si="7"/>
        <v>1</v>
      </c>
      <c r="O15" s="49">
        <f t="shared" si="8"/>
        <v>0.63782071035408394</v>
      </c>
      <c r="P15" s="49">
        <f t="shared" si="9"/>
        <v>4.0184060950715205E-5</v>
      </c>
      <c r="Q15" s="50">
        <f t="shared" si="10"/>
        <v>0.99995695276995955</v>
      </c>
      <c r="R15" s="50">
        <f t="shared" si="11"/>
        <v>4.3047230040354343E-5</v>
      </c>
      <c r="S15" s="51">
        <f>IF(R15&lt;Interface!$B$21,R15,0)</f>
        <v>4.3047230040354343E-5</v>
      </c>
    </row>
    <row r="16" spans="1:19">
      <c r="A16" s="39"/>
      <c r="B16" s="39"/>
      <c r="C16" s="89">
        <f>LOOKUP(Interface!B12,Pregnancy!A:A,Pregnancy!C:C)</f>
        <v>0.89</v>
      </c>
      <c r="D16" s="89"/>
      <c r="E16" s="39"/>
      <c r="F16" s="46">
        <v>15</v>
      </c>
      <c r="G16" s="47">
        <f t="shared" si="0"/>
        <v>0.38144674110893467</v>
      </c>
      <c r="H16" s="47">
        <f t="shared" si="1"/>
        <v>2.2517134927318729E-5</v>
      </c>
      <c r="I16" s="47">
        <f t="shared" si="2"/>
        <v>3.2314470364534024E-6</v>
      </c>
      <c r="J16" s="47">
        <f t="shared" si="3"/>
        <v>4.714510283368855E-2</v>
      </c>
      <c r="K16" s="47">
        <f t="shared" si="4"/>
        <v>0.57134065818358615</v>
      </c>
      <c r="L16" s="47">
        <f t="shared" si="5"/>
        <v>3.1824090067583525E-6</v>
      </c>
      <c r="M16" s="47">
        <f t="shared" si="6"/>
        <v>3.8566882820147914E-5</v>
      </c>
      <c r="N16" s="48">
        <f t="shared" si="7"/>
        <v>1</v>
      </c>
      <c r="O16" s="49">
        <f t="shared" si="8"/>
        <v>0.6184857610172747</v>
      </c>
      <c r="P16" s="49">
        <f t="shared" si="9"/>
        <v>4.1749291826906264E-5</v>
      </c>
      <c r="Q16" s="50">
        <f t="shared" si="10"/>
        <v>0.99995501926113661</v>
      </c>
      <c r="R16" s="50">
        <f t="shared" si="11"/>
        <v>4.4980738863359668E-5</v>
      </c>
      <c r="S16" s="51">
        <f>IF(R16&lt;Interface!$B$21,R16,0)</f>
        <v>4.4980738863359668E-5</v>
      </c>
    </row>
    <row r="17" spans="1:19">
      <c r="A17" s="39"/>
      <c r="B17" s="39"/>
      <c r="C17" s="89"/>
      <c r="D17" s="89"/>
      <c r="E17" s="39"/>
      <c r="F17" s="46">
        <v>16</v>
      </c>
      <c r="G17" s="47">
        <f t="shared" si="0"/>
        <v>0.4000689649984111</v>
      </c>
      <c r="H17" s="47">
        <f t="shared" si="1"/>
        <v>2.5190905853166123E-5</v>
      </c>
      <c r="I17" s="47">
        <f t="shared" si="2"/>
        <v>3.6151614460518565E-6</v>
      </c>
      <c r="J17" s="47">
        <f t="shared" si="3"/>
        <v>4.9446726011039568E-2</v>
      </c>
      <c r="K17" s="47">
        <f t="shared" si="4"/>
        <v>0.55041231142049918</v>
      </c>
      <c r="L17" s="47">
        <f t="shared" si="5"/>
        <v>3.5603004527123339E-6</v>
      </c>
      <c r="M17" s="47">
        <f t="shared" si="6"/>
        <v>3.9631202298233741E-5</v>
      </c>
      <c r="N17" s="48">
        <f t="shared" si="7"/>
        <v>0.99999999999999989</v>
      </c>
      <c r="O17" s="49">
        <f t="shared" si="8"/>
        <v>0.59985903743153879</v>
      </c>
      <c r="P17" s="49">
        <f t="shared" si="9"/>
        <v>4.3191502750946072E-5</v>
      </c>
      <c r="Q17" s="50">
        <f t="shared" si="10"/>
        <v>0.99995319333580301</v>
      </c>
      <c r="R17" s="50">
        <f t="shared" si="11"/>
        <v>4.6806664196997931E-5</v>
      </c>
      <c r="S17" s="51">
        <f>IF(R17&lt;Interface!$B$21,R17,0)</f>
        <v>4.6806664196997931E-5</v>
      </c>
    </row>
    <row r="18" spans="1:19">
      <c r="A18" s="39"/>
      <c r="B18" s="39"/>
      <c r="C18" s="89" t="b">
        <v>0</v>
      </c>
      <c r="D18" s="89">
        <v>251</v>
      </c>
      <c r="E18" s="39"/>
      <c r="F18" s="46">
        <v>17</v>
      </c>
      <c r="G18" s="47">
        <f t="shared" si="0"/>
        <v>0.41800890563786791</v>
      </c>
      <c r="H18" s="47">
        <f t="shared" si="1"/>
        <v>2.7965614873978041E-5</v>
      </c>
      <c r="I18" s="47">
        <f t="shared" si="2"/>
        <v>4.0133615399476782E-6</v>
      </c>
      <c r="J18" s="47">
        <f t="shared" si="3"/>
        <v>5.1664022045129737E-2</v>
      </c>
      <c r="K18" s="47">
        <f t="shared" si="4"/>
        <v>0.5302505750709412</v>
      </c>
      <c r="L18" s="47">
        <f t="shared" si="5"/>
        <v>3.9524577590245271E-6</v>
      </c>
      <c r="M18" s="47">
        <f t="shared" si="6"/>
        <v>4.0565811888118864E-5</v>
      </c>
      <c r="N18" s="48">
        <f t="shared" si="7"/>
        <v>0.99999999999999989</v>
      </c>
      <c r="O18" s="49">
        <f t="shared" si="8"/>
        <v>0.58191459711607096</v>
      </c>
      <c r="P18" s="49">
        <f t="shared" si="9"/>
        <v>4.4518269647143389E-5</v>
      </c>
      <c r="Q18" s="50">
        <f t="shared" si="10"/>
        <v>0.99995146836881288</v>
      </c>
      <c r="R18" s="50">
        <f t="shared" si="11"/>
        <v>4.8531631187091065E-5</v>
      </c>
      <c r="S18" s="51">
        <f>IF(R18&lt;Interface!$B$21,R18,0)</f>
        <v>4.8531631187091065E-5</v>
      </c>
    </row>
    <row r="19" spans="1:19">
      <c r="A19" s="39"/>
      <c r="B19" s="39"/>
      <c r="C19" s="89" t="b">
        <v>1</v>
      </c>
      <c r="D19" s="89">
        <v>50</v>
      </c>
      <c r="E19" s="39"/>
      <c r="F19" s="46">
        <v>18</v>
      </c>
      <c r="G19" s="47">
        <f t="shared" si="0"/>
        <v>0.43529155522875218</v>
      </c>
      <c r="H19" s="47">
        <f t="shared" si="1"/>
        <v>3.0834977846980291E-5</v>
      </c>
      <c r="I19" s="47">
        <f t="shared" si="2"/>
        <v>4.4251454771824211E-6</v>
      </c>
      <c r="J19" s="47">
        <f t="shared" si="3"/>
        <v>5.380007985973341E-2</v>
      </c>
      <c r="K19" s="47">
        <f t="shared" si="4"/>
        <v>0.51082736800969097</v>
      </c>
      <c r="L19" s="47">
        <f t="shared" si="5"/>
        <v>4.3579927704021334E-6</v>
      </c>
      <c r="M19" s="47">
        <f t="shared" si="6"/>
        <v>4.1378785728828737E-5</v>
      </c>
      <c r="N19" s="48">
        <f t="shared" si="7"/>
        <v>1</v>
      </c>
      <c r="O19" s="49">
        <f t="shared" si="8"/>
        <v>0.56462744786942443</v>
      </c>
      <c r="P19" s="49">
        <f t="shared" si="9"/>
        <v>4.573677849923087E-5</v>
      </c>
      <c r="Q19" s="50">
        <f t="shared" si="10"/>
        <v>0.99994983807602356</v>
      </c>
      <c r="R19" s="50">
        <f t="shared" si="11"/>
        <v>5.0161923976413294E-5</v>
      </c>
      <c r="S19" s="51">
        <f>IF(R19&lt;Interface!$B$21,R19,0)</f>
        <v>5.0161923976413294E-5</v>
      </c>
    </row>
    <row r="20" spans="1:19">
      <c r="A20" s="39"/>
      <c r="B20" s="39"/>
      <c r="C20" s="89"/>
      <c r="D20" s="89"/>
      <c r="E20" s="39"/>
      <c r="F20" s="46">
        <v>19</v>
      </c>
      <c r="G20" s="47">
        <f t="shared" si="0"/>
        <v>0.45194099050211556</v>
      </c>
      <c r="H20" s="47">
        <f t="shared" si="1"/>
        <v>3.3793035540250498E-5</v>
      </c>
      <c r="I20" s="47">
        <f t="shared" si="2"/>
        <v>4.8496580449416094E-6</v>
      </c>
      <c r="J20" s="47">
        <f t="shared" si="3"/>
        <v>5.5857875230598542E-2</v>
      </c>
      <c r="K20" s="47">
        <f t="shared" si="4"/>
        <v>0.4921156377299486</v>
      </c>
      <c r="L20" s="47">
        <f t="shared" si="5"/>
        <v>4.7760632521023944E-6</v>
      </c>
      <c r="M20" s="47">
        <f t="shared" si="6"/>
        <v>4.2077780499953985E-5</v>
      </c>
      <c r="N20" s="48">
        <f t="shared" si="7"/>
        <v>0.99999999999999989</v>
      </c>
      <c r="O20" s="49">
        <f t="shared" si="8"/>
        <v>0.54797351296054719</v>
      </c>
      <c r="P20" s="49">
        <f t="shared" si="9"/>
        <v>4.6853843752056376E-5</v>
      </c>
      <c r="Q20" s="50">
        <f t="shared" si="10"/>
        <v>0.99994829649820305</v>
      </c>
      <c r="R20" s="50">
        <f t="shared" si="11"/>
        <v>5.1703501796997986E-5</v>
      </c>
      <c r="S20" s="51">
        <f>IF(R20&lt;Interface!$B$21,R20,0)</f>
        <v>5.1703501796997986E-5</v>
      </c>
    </row>
    <row r="21" spans="1:19">
      <c r="A21" s="39"/>
      <c r="B21" s="39"/>
      <c r="C21" s="89"/>
      <c r="D21" s="89"/>
      <c r="E21" s="39"/>
      <c r="F21" s="46">
        <v>20</v>
      </c>
      <c r="G21" s="47">
        <f t="shared" si="0"/>
        <v>0.46798040625251652</v>
      </c>
      <c r="H21" s="47">
        <f t="shared" si="1"/>
        <v>3.6834138261916862E-5</v>
      </c>
      <c r="I21" s="47">
        <f t="shared" si="2"/>
        <v>5.2860884526821793E-6</v>
      </c>
      <c r="J21" s="47">
        <f t="shared" si="3"/>
        <v>5.7840274930086311E-2</v>
      </c>
      <c r="K21" s="47">
        <f t="shared" si="4"/>
        <v>0.4740893226647942</v>
      </c>
      <c r="L21" s="47">
        <f t="shared" si="5"/>
        <v>5.2058707175347124E-6</v>
      </c>
      <c r="M21" s="47">
        <f t="shared" si="6"/>
        <v>4.2670055170722113E-5</v>
      </c>
      <c r="N21" s="48">
        <f t="shared" si="7"/>
        <v>0.99999999999999978</v>
      </c>
      <c r="O21" s="49">
        <f t="shared" si="8"/>
        <v>0.53192959759488057</v>
      </c>
      <c r="P21" s="49">
        <f t="shared" si="9"/>
        <v>4.7875925888256823E-5</v>
      </c>
      <c r="Q21" s="50">
        <f t="shared" si="10"/>
        <v>0.99994683798565909</v>
      </c>
      <c r="R21" s="50">
        <f t="shared" si="11"/>
        <v>5.3162014340939003E-5</v>
      </c>
      <c r="S21" s="51">
        <f>IF(R21&lt;Interface!$B$21,R21,0)</f>
        <v>5.3162014340939003E-5</v>
      </c>
    </row>
    <row r="22" spans="1:19">
      <c r="A22" s="39"/>
      <c r="B22" s="39"/>
      <c r="C22" s="89" t="b">
        <v>0</v>
      </c>
      <c r="D22" s="91">
        <f>LOOKUP(Interface!B12,Pregnancy!A:A,Pregnancy!D:D)</f>
        <v>33.674993901795268</v>
      </c>
      <c r="E22" s="39"/>
      <c r="F22" s="46">
        <v>21</v>
      </c>
      <c r="G22" s="47">
        <f t="shared" si="0"/>
        <v>0.4834321476435684</v>
      </c>
      <c r="H22" s="47">
        <f t="shared" si="1"/>
        <v>3.995293117926917E-5</v>
      </c>
      <c r="I22" s="47">
        <f t="shared" si="2"/>
        <v>5.7336682252696183E-6</v>
      </c>
      <c r="J22" s="47">
        <f t="shared" si="3"/>
        <v>5.9750040719991591E-2</v>
      </c>
      <c r="K22" s="47">
        <f t="shared" si="4"/>
        <v>0.45672331588881993</v>
      </c>
      <c r="L22" s="47">
        <f t="shared" si="5"/>
        <v>5.6466583533699616E-6</v>
      </c>
      <c r="M22" s="47">
        <f t="shared" si="6"/>
        <v>4.3162489862195957E-5</v>
      </c>
      <c r="N22" s="48">
        <f t="shared" si="7"/>
        <v>1</v>
      </c>
      <c r="O22" s="49">
        <f t="shared" si="8"/>
        <v>0.51647335660881155</v>
      </c>
      <c r="P22" s="49">
        <f t="shared" si="9"/>
        <v>4.8809148215565919E-5</v>
      </c>
      <c r="Q22" s="50">
        <f t="shared" si="10"/>
        <v>0.99994545718355932</v>
      </c>
      <c r="R22" s="50">
        <f t="shared" si="11"/>
        <v>5.4542816440835539E-5</v>
      </c>
      <c r="S22" s="51">
        <f>IF(R22&lt;Interface!$B$21,R22,0)</f>
        <v>5.4542816440835539E-5</v>
      </c>
    </row>
    <row r="23" spans="1:19">
      <c r="A23" s="39"/>
      <c r="B23" s="39"/>
      <c r="C23" s="89" t="b">
        <v>0</v>
      </c>
      <c r="D23" s="91">
        <f ca="1">LOOKUP(Interface!B12,Pregnancy!A:A,Pregnancy!E:E)</f>
        <v>101</v>
      </c>
      <c r="E23" s="39"/>
      <c r="F23" s="46">
        <v>22</v>
      </c>
      <c r="G23" s="47">
        <f t="shared" si="0"/>
        <v>0.49831774133012574</v>
      </c>
      <c r="H23" s="47">
        <f t="shared" si="1"/>
        <v>4.3144340298486478E-5</v>
      </c>
      <c r="I23" s="47">
        <f t="shared" si="2"/>
        <v>6.1916691909205865E-6</v>
      </c>
      <c r="J23" s="47">
        <f t="shared" si="3"/>
        <v>6.1589833198105418E-2</v>
      </c>
      <c r="K23" s="47">
        <f t="shared" si="4"/>
        <v>0.43999343014937953</v>
      </c>
      <c r="L23" s="47">
        <f t="shared" si="5"/>
        <v>6.0977090380166027E-6</v>
      </c>
      <c r="M23" s="47">
        <f t="shared" si="6"/>
        <v>4.3561603861793372E-5</v>
      </c>
      <c r="N23" s="48">
        <f t="shared" si="7"/>
        <v>0.99999999999999989</v>
      </c>
      <c r="O23" s="49">
        <f t="shared" si="8"/>
        <v>0.50158326334748493</v>
      </c>
      <c r="P23" s="49">
        <f t="shared" si="9"/>
        <v>4.9659312899809978E-5</v>
      </c>
      <c r="Q23" s="50">
        <f t="shared" si="10"/>
        <v>0.99994414901790918</v>
      </c>
      <c r="R23" s="50">
        <f t="shared" si="11"/>
        <v>5.5850982090730566E-5</v>
      </c>
      <c r="S23" s="51">
        <f>IF(R23&lt;Interface!$B$21,R23,0)</f>
        <v>5.5850982090730566E-5</v>
      </c>
    </row>
    <row r="24" spans="1:19">
      <c r="A24" s="39"/>
      <c r="B24" s="39"/>
      <c r="C24" s="89">
        <v>71</v>
      </c>
      <c r="D24" s="89">
        <v>20</v>
      </c>
      <c r="E24" s="39"/>
      <c r="F24" s="46">
        <v>23</v>
      </c>
      <c r="G24" s="47">
        <f t="shared" si="0"/>
        <v>0.51265792544046007</v>
      </c>
      <c r="H24" s="47">
        <f t="shared" si="1"/>
        <v>4.6403559075323013E-5</v>
      </c>
      <c r="I24" s="47">
        <f t="shared" si="2"/>
        <v>6.6594015596947258E-6</v>
      </c>
      <c r="J24" s="47">
        <f t="shared" si="3"/>
        <v>6.3362215503877078E-2</v>
      </c>
      <c r="K24" s="47">
        <f t="shared" si="4"/>
        <v>0.4238763641787528</v>
      </c>
      <c r="L24" s="47">
        <f t="shared" si="5"/>
        <v>6.5583434492718551E-6</v>
      </c>
      <c r="M24" s="47">
        <f t="shared" si="6"/>
        <v>4.3873572825792264E-5</v>
      </c>
      <c r="N24" s="48">
        <f t="shared" si="7"/>
        <v>1.0000000000000002</v>
      </c>
      <c r="O24" s="49">
        <f t="shared" si="8"/>
        <v>0.48723857968262985</v>
      </c>
      <c r="P24" s="49">
        <f t="shared" si="9"/>
        <v>5.0431916275064122E-5</v>
      </c>
      <c r="Q24" s="50">
        <f t="shared" si="10"/>
        <v>0.99994290868216518</v>
      </c>
      <c r="R24" s="50">
        <f t="shared" si="11"/>
        <v>5.709131783475885E-5</v>
      </c>
      <c r="S24" s="51">
        <f>IF(R24&lt;Interface!$B$21,R24,0)</f>
        <v>5.709131783475885E-5</v>
      </c>
    </row>
    <row r="25" spans="1:19">
      <c r="A25" s="39"/>
      <c r="B25" s="39"/>
      <c r="C25" s="89">
        <v>3</v>
      </c>
      <c r="D25" s="89"/>
      <c r="E25" s="39"/>
      <c r="F25" s="46">
        <v>24</v>
      </c>
      <c r="G25" s="47">
        <f t="shared" si="0"/>
        <v>0.52647267846017809</v>
      </c>
      <c r="H25" s="47">
        <f t="shared" si="1"/>
        <v>4.9726035630510557E-5</v>
      </c>
      <c r="I25" s="47">
        <f t="shared" si="2"/>
        <v>7.1362120887696677E-6</v>
      </c>
      <c r="J25" s="47">
        <f t="shared" si="3"/>
        <v>6.5069656888336602E-2</v>
      </c>
      <c r="K25" s="47">
        <f t="shared" si="4"/>
        <v>0.40834967024030222</v>
      </c>
      <c r="L25" s="47">
        <f t="shared" si="5"/>
        <v>7.0279182574391262E-6</v>
      </c>
      <c r="M25" s="47">
        <f t="shared" si="6"/>
        <v>4.4104245206423888E-5</v>
      </c>
      <c r="N25" s="48">
        <f t="shared" si="7"/>
        <v>1.0000000000000002</v>
      </c>
      <c r="O25" s="49">
        <f t="shared" si="8"/>
        <v>0.47341932712863882</v>
      </c>
      <c r="P25" s="49">
        <f t="shared" si="9"/>
        <v>5.1132163463863015E-5</v>
      </c>
      <c r="Q25" s="50">
        <f t="shared" si="10"/>
        <v>0.99994173162444744</v>
      </c>
      <c r="R25" s="50">
        <f t="shared" si="11"/>
        <v>5.8268375552632685E-5</v>
      </c>
      <c r="S25" s="51">
        <f>IF(R25&lt;Interface!$B$21,R25,0)</f>
        <v>5.8268375552632685E-5</v>
      </c>
    </row>
    <row r="26" spans="1:19">
      <c r="A26" s="39"/>
      <c r="B26" s="39"/>
      <c r="C26" s="89"/>
      <c r="D26" s="89">
        <f>IF(C22,D22,D24)</f>
        <v>20</v>
      </c>
      <c r="E26" s="39"/>
      <c r="F26" s="46">
        <v>25</v>
      </c>
      <c r="G26" s="47">
        <f t="shared" si="0"/>
        <v>0.53978124705811747</v>
      </c>
      <c r="H26" s="47">
        <f t="shared" si="1"/>
        <v>5.3107460542045795E-5</v>
      </c>
      <c r="I26" s="47">
        <f t="shared" si="2"/>
        <v>7.6214823305051432E-6</v>
      </c>
      <c r="J26" s="47">
        <f t="shared" si="3"/>
        <v>6.6714536153250459E-2</v>
      </c>
      <c r="K26" s="47">
        <f t="shared" si="4"/>
        <v>0.39339172286342372</v>
      </c>
      <c r="L26" s="47">
        <f t="shared" si="5"/>
        <v>7.5058243999782048E-6</v>
      </c>
      <c r="M26" s="47">
        <f t="shared" si="6"/>
        <v>4.4259157935761004E-5</v>
      </c>
      <c r="N26" s="48">
        <f t="shared" si="7"/>
        <v>0.99999999999999989</v>
      </c>
      <c r="O26" s="49">
        <f t="shared" si="8"/>
        <v>0.46010625901667418</v>
      </c>
      <c r="P26" s="49">
        <f t="shared" si="9"/>
        <v>5.1764982335739209E-5</v>
      </c>
      <c r="Q26" s="50">
        <f t="shared" si="10"/>
        <v>0.9999406135353337</v>
      </c>
      <c r="R26" s="50">
        <f t="shared" si="11"/>
        <v>5.9386464666244356E-5</v>
      </c>
      <c r="S26" s="51">
        <f>IF(R26&lt;Interface!$B$21,R26,0)</f>
        <v>5.9386464666244356E-5</v>
      </c>
    </row>
    <row r="27" spans="1:19">
      <c r="A27" s="39"/>
      <c r="B27" s="39"/>
      <c r="C27" s="89"/>
      <c r="D27" s="89">
        <f>IF(C23,D23,D24)</f>
        <v>20</v>
      </c>
      <c r="E27" s="39"/>
      <c r="F27" s="46">
        <v>26</v>
      </c>
      <c r="G27" s="47">
        <f t="shared" si="0"/>
        <v>0.55260217289297275</v>
      </c>
      <c r="H27" s="47">
        <f t="shared" si="1"/>
        <v>5.6543755190849827E-5</v>
      </c>
      <c r="I27" s="47">
        <f t="shared" si="2"/>
        <v>8.114626959921844E-6</v>
      </c>
      <c r="J27" s="47">
        <f t="shared" si="3"/>
        <v>6.8299144964300007E-2</v>
      </c>
      <c r="K27" s="47">
        <f t="shared" si="4"/>
        <v>0.37898168872374172</v>
      </c>
      <c r="L27" s="47">
        <f t="shared" si="5"/>
        <v>7.9914854343650364E-6</v>
      </c>
      <c r="M27" s="47">
        <f t="shared" si="6"/>
        <v>4.4343551400385921E-5</v>
      </c>
      <c r="N27" s="48">
        <f t="shared" si="7"/>
        <v>1</v>
      </c>
      <c r="O27" s="49">
        <f t="shared" si="8"/>
        <v>0.44728083368804172</v>
      </c>
      <c r="P27" s="49">
        <f t="shared" si="9"/>
        <v>5.2335036834750954E-5</v>
      </c>
      <c r="Q27" s="50">
        <f t="shared" si="10"/>
        <v>0.99993955033620541</v>
      </c>
      <c r="R27" s="50">
        <f t="shared" si="11"/>
        <v>6.0449663794672796E-5</v>
      </c>
      <c r="S27" s="51">
        <f>IF(R27&lt;Interface!$B$21,R27,0)</f>
        <v>6.0449663794672796E-5</v>
      </c>
    </row>
    <row r="28" spans="1:19">
      <c r="A28" s="39"/>
      <c r="B28" s="39"/>
      <c r="C28" s="89"/>
      <c r="D28" s="89">
        <f>MIN(D26,D27)</f>
        <v>20</v>
      </c>
      <c r="E28" s="39"/>
      <c r="F28" s="46">
        <v>27</v>
      </c>
      <c r="G28" s="47">
        <f t="shared" si="0"/>
        <v>0.56495331843798657</v>
      </c>
      <c r="H28" s="47">
        <f t="shared" si="1"/>
        <v>6.0031060634743112E-5</v>
      </c>
      <c r="I28" s="47">
        <f t="shared" si="2"/>
        <v>8.6150921779991539E-6</v>
      </c>
      <c r="J28" s="47">
        <f t="shared" si="3"/>
        <v>6.9825691042897209E-2</v>
      </c>
      <c r="K28" s="47">
        <f t="shared" si="4"/>
        <v>0.36509949762660104</v>
      </c>
      <c r="L28" s="47">
        <f t="shared" si="5"/>
        <v>8.4843559656198298E-6</v>
      </c>
      <c r="M28" s="47">
        <f t="shared" si="6"/>
        <v>4.4362383736811607E-5</v>
      </c>
      <c r="N28" s="48">
        <f t="shared" si="7"/>
        <v>1</v>
      </c>
      <c r="O28" s="49">
        <f t="shared" si="8"/>
        <v>0.43492518866949825</v>
      </c>
      <c r="P28" s="49">
        <f t="shared" si="9"/>
        <v>5.2846739702431437E-5</v>
      </c>
      <c r="Q28" s="50">
        <f t="shared" si="10"/>
        <v>0.99993853816811962</v>
      </c>
      <c r="R28" s="50">
        <f t="shared" si="11"/>
        <v>6.1461831880430589E-5</v>
      </c>
      <c r="S28" s="51">
        <f>IF(R28&lt;Interface!$B$21,R28,0)</f>
        <v>6.1461831880430589E-5</v>
      </c>
    </row>
    <row r="29" spans="1:19">
      <c r="A29" s="39"/>
      <c r="B29" s="39"/>
      <c r="C29" s="89"/>
      <c r="D29" s="89"/>
      <c r="E29" s="39"/>
      <c r="F29" s="46">
        <v>28</v>
      </c>
      <c r="G29" s="47">
        <f t="shared" si="0"/>
        <v>0.57685189185967889</v>
      </c>
      <c r="H29" s="47">
        <f t="shared" si="1"/>
        <v>6.3565726987283285E-5</v>
      </c>
      <c r="I29" s="47">
        <f t="shared" si="2"/>
        <v>9.1223541874260178E-6</v>
      </c>
      <c r="J29" s="47">
        <f t="shared" si="3"/>
        <v>7.1296301241083895E-2</v>
      </c>
      <c r="K29" s="47">
        <f t="shared" si="4"/>
        <v>0.35172581455344037</v>
      </c>
      <c r="L29" s="47">
        <f t="shared" si="5"/>
        <v>8.9839201451887894E-6</v>
      </c>
      <c r="M29" s="47">
        <f t="shared" si="6"/>
        <v>4.4320344477123261E-5</v>
      </c>
      <c r="N29" s="48">
        <f t="shared" si="7"/>
        <v>1</v>
      </c>
      <c r="O29" s="49">
        <f t="shared" si="8"/>
        <v>0.42302211579452426</v>
      </c>
      <c r="P29" s="49">
        <f t="shared" si="9"/>
        <v>5.3304264622312049E-5</v>
      </c>
      <c r="Q29" s="50">
        <f t="shared" si="10"/>
        <v>0.99993757338119038</v>
      </c>
      <c r="R29" s="50">
        <f t="shared" si="11"/>
        <v>6.2426618809738072E-5</v>
      </c>
      <c r="S29" s="51">
        <f>IF(R29&lt;Interface!$B$21,R29,0)</f>
        <v>6.2426618809738072E-5</v>
      </c>
    </row>
    <row r="30" spans="1:19">
      <c r="A30" s="39"/>
      <c r="B30" s="39"/>
      <c r="C30" s="89"/>
      <c r="D30" s="89"/>
      <c r="E30" s="39"/>
      <c r="F30" s="46">
        <v>29</v>
      </c>
      <c r="G30" s="47">
        <f t="shared" si="0"/>
        <v>0.58831447098525858</v>
      </c>
      <c r="H30" s="47">
        <f t="shared" si="1"/>
        <v>6.7144303280887647E-5</v>
      </c>
      <c r="I30" s="47">
        <f t="shared" si="2"/>
        <v>9.6359177378518015E-6</v>
      </c>
      <c r="J30" s="47">
        <f t="shared" si="3"/>
        <v>7.2713024503796006E-2</v>
      </c>
      <c r="K30" s="47">
        <f t="shared" si="4"/>
        <v>0.3388420127321139</v>
      </c>
      <c r="L30" s="47">
        <f t="shared" si="5"/>
        <v>9.4896902382711669E-6</v>
      </c>
      <c r="M30" s="47">
        <f t="shared" si="6"/>
        <v>4.4221867574387991E-5</v>
      </c>
      <c r="N30" s="48">
        <f t="shared" si="7"/>
        <v>0.99999999999999989</v>
      </c>
      <c r="O30" s="49">
        <f t="shared" si="8"/>
        <v>0.41155503723590992</v>
      </c>
      <c r="P30" s="49">
        <f t="shared" si="9"/>
        <v>5.3711557812659156E-5</v>
      </c>
      <c r="Q30" s="50">
        <f t="shared" si="10"/>
        <v>0.9999366525244493</v>
      </c>
      <c r="R30" s="50">
        <f t="shared" si="11"/>
        <v>6.3347475550510959E-5</v>
      </c>
      <c r="S30" s="51">
        <f>IF(R30&lt;Interface!$B$21,R30,0)</f>
        <v>6.3347475550510959E-5</v>
      </c>
    </row>
    <row r="31" spans="1:19">
      <c r="A31" s="39"/>
      <c r="B31" s="39"/>
      <c r="C31" s="89"/>
      <c r="D31" s="89"/>
      <c r="E31" s="39"/>
      <c r="F31" s="46">
        <v>30</v>
      </c>
      <c r="G31" s="47">
        <f t="shared" si="0"/>
        <v>0.59935702639210831</v>
      </c>
      <c r="H31" s="47">
        <f t="shared" si="1"/>
        <v>7.0763527791189632E-5</v>
      </c>
      <c r="I31" s="47">
        <f t="shared" si="2"/>
        <v>1.0155314737329103E-5</v>
      </c>
      <c r="J31" s="47">
        <f t="shared" si="3"/>
        <v>7.4077834722620112E-2</v>
      </c>
      <c r="K31" s="47">
        <f t="shared" si="4"/>
        <v>0.32643014769365314</v>
      </c>
      <c r="L31" s="47">
        <f t="shared" si="5"/>
        <v>1.0001205256333776E-5</v>
      </c>
      <c r="M31" s="47">
        <f t="shared" si="6"/>
        <v>4.4071143833564029E-5</v>
      </c>
      <c r="N31" s="48">
        <f t="shared" si="7"/>
        <v>1</v>
      </c>
      <c r="O31" s="49">
        <f t="shared" si="8"/>
        <v>0.40050798241627328</v>
      </c>
      <c r="P31" s="49">
        <f t="shared" si="9"/>
        <v>5.4072349089897804E-5</v>
      </c>
      <c r="Q31" s="50">
        <f t="shared" si="10"/>
        <v>0.99993577233617281</v>
      </c>
      <c r="R31" s="50">
        <f t="shared" si="11"/>
        <v>6.4227663827226905E-5</v>
      </c>
      <c r="S31" s="51">
        <f>IF(R31&lt;Interface!$B$21,R31,0)</f>
        <v>6.4227663827226905E-5</v>
      </c>
    </row>
    <row r="32" spans="1:19">
      <c r="A32" s="39"/>
      <c r="B32" s="39"/>
      <c r="C32" s="89"/>
      <c r="D32" s="89"/>
      <c r="E32" s="39"/>
      <c r="F32" s="46">
        <v>31</v>
      </c>
      <c r="G32" s="47">
        <f t="shared" si="0"/>
        <v>0.60999494365148954</v>
      </c>
      <c r="H32" s="47">
        <f t="shared" si="1"/>
        <v>7.4420318803663328E-5</v>
      </c>
      <c r="I32" s="47">
        <f t="shared" si="2"/>
        <v>1.0680102927226698E-5</v>
      </c>
      <c r="J32" s="47">
        <f t="shared" si="3"/>
        <v>7.5392633485015556E-2</v>
      </c>
      <c r="K32" s="47">
        <f t="shared" si="4"/>
        <v>0.31447293227933693</v>
      </c>
      <c r="L32" s="47">
        <f t="shared" si="5"/>
        <v>1.0518029652132471E-5</v>
      </c>
      <c r="M32" s="47">
        <f t="shared" si="6"/>
        <v>4.3872132774941631E-5</v>
      </c>
      <c r="N32" s="48">
        <f t="shared" si="7"/>
        <v>1</v>
      </c>
      <c r="O32" s="49">
        <f t="shared" si="8"/>
        <v>0.3898655657643525</v>
      </c>
      <c r="P32" s="49">
        <f t="shared" si="9"/>
        <v>5.4390162427074103E-5</v>
      </c>
      <c r="Q32" s="50">
        <f t="shared" si="10"/>
        <v>0.99993492973464571</v>
      </c>
      <c r="R32" s="50">
        <f t="shared" si="11"/>
        <v>6.5070265354300801E-5</v>
      </c>
      <c r="S32" s="51">
        <f>IF(R32&lt;Interface!$B$21,R32,0)</f>
        <v>6.5070265354300801E-5</v>
      </c>
    </row>
    <row r="33" spans="1:19">
      <c r="A33" s="39"/>
      <c r="B33" s="39"/>
      <c r="C33" s="89"/>
      <c r="D33" s="89"/>
      <c r="E33" s="39"/>
      <c r="F33" s="46">
        <v>32</v>
      </c>
      <c r="G33" s="47">
        <f t="shared" si="0"/>
        <v>0.62024304475746095</v>
      </c>
      <c r="H33" s="47">
        <f t="shared" si="1"/>
        <v>7.8111765803059487E-5</v>
      </c>
      <c r="I33" s="47">
        <f t="shared" si="2"/>
        <v>1.120986461782043E-5</v>
      </c>
      <c r="J33" s="47">
        <f t="shared" si="3"/>
        <v>7.6659252722832236E-2</v>
      </c>
      <c r="K33" s="47">
        <f t="shared" si="4"/>
        <v>0.30295371256325654</v>
      </c>
      <c r="L33" s="47">
        <f t="shared" si="5"/>
        <v>1.1039752074490774E-5</v>
      </c>
      <c r="M33" s="47">
        <f t="shared" si="6"/>
        <v>4.3628573954892663E-5</v>
      </c>
      <c r="N33" s="48">
        <f t="shared" si="7"/>
        <v>1</v>
      </c>
      <c r="O33" s="49">
        <f t="shared" si="8"/>
        <v>0.37961296528608879</v>
      </c>
      <c r="P33" s="49">
        <f t="shared" si="9"/>
        <v>5.4668326029383435E-5</v>
      </c>
      <c r="Q33" s="50">
        <f t="shared" si="10"/>
        <v>0.99993412180935282</v>
      </c>
      <c r="R33" s="50">
        <f t="shared" si="11"/>
        <v>6.587819064720387E-5</v>
      </c>
      <c r="S33" s="51">
        <f>IF(R33&lt;Interface!$B$21,R33,0)</f>
        <v>6.587819064720387E-5</v>
      </c>
    </row>
    <row r="34" spans="1:19">
      <c r="A34" s="39"/>
      <c r="B34" s="39"/>
      <c r="C34" s="89"/>
      <c r="D34" s="89"/>
      <c r="E34" s="39"/>
      <c r="F34" s="46">
        <v>33</v>
      </c>
      <c r="G34" s="47">
        <f t="shared" ref="G34:G65" si="12">p.delivery*(1-(1-p.conception)^F34)*(1-alpha)^F34</f>
        <v>0.63011560877084638</v>
      </c>
      <c r="H34" s="47">
        <f t="shared" ref="H34:H65" si="13" xml:space="preserve"> p.delivery*(1-h.mtctx*p.mtct)*(1-(1-p.conception)^F34)*(1-(1-alpha)^F34)</f>
        <v>8.1835121066265809E-5</v>
      </c>
      <c r="I34" s="47">
        <f t="shared" ref="I34:I65" si="14">p.delivery*(h.mtctx*p.mtct)*(1-(1-p.conception)^F34)*(1-(1-alpha)^F34)</f>
        <v>1.1744205481779712E-5</v>
      </c>
      <c r="J34" s="47">
        <f t="shared" ref="J34:J65" si="15">(1-p.delivery)*(1-(1-p.conception)^F34)*(1-alpha)^F34</f>
        <v>7.7879457263812471E-2</v>
      </c>
      <c r="K34" s="47">
        <f t="shared" ref="K34:K65" si="16">((1-p.conception)^F34)*(1-alpha)^F34</f>
        <v>0.29185644465684568</v>
      </c>
      <c r="L34" s="47">
        <f t="shared" ref="L34:L65" si="17">(1-p.delivery)*(1-(1-p.conception)^F34)*(1-(1-alpha)^F34)</f>
        <v>1.1565984180095512E-5</v>
      </c>
      <c r="M34" s="47">
        <f t="shared" ref="M34:M65" si="18">(1-p.conception)^F34*(1-(1-alpha)^F34)</f>
        <v>4.3343997767284269E-5</v>
      </c>
      <c r="N34" s="48">
        <f t="shared" si="7"/>
        <v>1</v>
      </c>
      <c r="O34" s="49">
        <f t="shared" si="8"/>
        <v>0.36973590192065814</v>
      </c>
      <c r="P34" s="49">
        <f t="shared" si="9"/>
        <v>5.4909981947379784E-5</v>
      </c>
      <c r="Q34" s="50">
        <f t="shared" si="10"/>
        <v>0.99993334581257076</v>
      </c>
      <c r="R34" s="50">
        <f t="shared" si="11"/>
        <v>6.6654187429159489E-5</v>
      </c>
      <c r="S34" s="51">
        <f>IF(R34&lt;Interface!$B$21,R34,0)</f>
        <v>6.6654187429159489E-5</v>
      </c>
    </row>
    <row r="35" spans="1:19">
      <c r="A35" s="39"/>
      <c r="B35" s="39"/>
      <c r="C35" s="89"/>
      <c r="D35" s="89"/>
      <c r="E35" s="39"/>
      <c r="F35" s="46">
        <v>34</v>
      </c>
      <c r="G35" s="47">
        <f t="shared" si="12"/>
        <v>0.63962639170701208</v>
      </c>
      <c r="H35" s="47">
        <f t="shared" si="13"/>
        <v>8.5587791641566122E-5</v>
      </c>
      <c r="I35" s="47">
        <f t="shared" si="14"/>
        <v>1.2282753403106402E-5</v>
      </c>
      <c r="J35" s="47">
        <f t="shared" si="15"/>
        <v>7.9054947289630681E-2</v>
      </c>
      <c r="K35" s="47">
        <f t="shared" si="16"/>
        <v>0.28116567236306395</v>
      </c>
      <c r="L35" s="47">
        <f t="shared" si="17"/>
        <v>1.2096359499903344E-5</v>
      </c>
      <c r="M35" s="47">
        <f t="shared" si="18"/>
        <v>4.3021735748874078E-5</v>
      </c>
      <c r="N35" s="48">
        <f t="shared" si="7"/>
        <v>1.0000000000000002</v>
      </c>
      <c r="O35" s="49">
        <f t="shared" si="8"/>
        <v>0.36022061965269464</v>
      </c>
      <c r="P35" s="49">
        <f t="shared" si="9"/>
        <v>5.5118095248777422E-5</v>
      </c>
      <c r="Q35" s="50">
        <f t="shared" si="10"/>
        <v>0.99993259915134836</v>
      </c>
      <c r="R35" s="50">
        <f t="shared" si="11"/>
        <v>6.7400848651883818E-5</v>
      </c>
      <c r="S35" s="51">
        <f>IF(R35&lt;Interface!$B$21,R35,0)</f>
        <v>6.7400848651883818E-5</v>
      </c>
    </row>
    <row r="36" spans="1:19">
      <c r="A36" s="39"/>
      <c r="B36" s="39"/>
      <c r="C36" s="89"/>
      <c r="D36" s="89"/>
      <c r="E36" s="39"/>
      <c r="F36" s="46">
        <v>35</v>
      </c>
      <c r="G36" s="47">
        <f t="shared" si="12"/>
        <v>0.64878864569514694</v>
      </c>
      <c r="H36" s="47">
        <f t="shared" si="13"/>
        <v>8.9367331697252943E-5</v>
      </c>
      <c r="I36" s="47">
        <f t="shared" si="14"/>
        <v>1.2825157379079753E-5</v>
      </c>
      <c r="J36" s="47">
        <f t="shared" si="15"/>
        <v>8.0187360703894539E-2</v>
      </c>
      <c r="K36" s="47">
        <f t="shared" si="16"/>
        <v>0.27086650564911396</v>
      </c>
      <c r="L36" s="47">
        <f t="shared" si="17"/>
        <v>1.2630532357748981E-5</v>
      </c>
      <c r="M36" s="47">
        <f t="shared" si="18"/>
        <v>4.2664930410477656E-5</v>
      </c>
      <c r="N36" s="48">
        <f t="shared" si="7"/>
        <v>1</v>
      </c>
      <c r="O36" s="49">
        <f t="shared" si="8"/>
        <v>0.3510538663530085</v>
      </c>
      <c r="P36" s="49">
        <f t="shared" si="9"/>
        <v>5.5295462768226637E-5</v>
      </c>
      <c r="Q36" s="50">
        <f t="shared" si="10"/>
        <v>0.99993187937985262</v>
      </c>
      <c r="R36" s="50">
        <f t="shared" si="11"/>
        <v>6.8120620147306383E-5</v>
      </c>
      <c r="S36" s="51">
        <f>IF(R36&lt;Interface!$B$21,R36,0)</f>
        <v>6.8120620147306383E-5</v>
      </c>
    </row>
    <row r="37" spans="1:19">
      <c r="A37" s="39"/>
      <c r="B37" s="39"/>
      <c r="C37" s="89"/>
      <c r="D37" s="89"/>
      <c r="E37" s="39"/>
      <c r="F37" s="46">
        <v>36</v>
      </c>
      <c r="G37" s="47">
        <f t="shared" si="12"/>
        <v>0.65761513743573741</v>
      </c>
      <c r="H37" s="47">
        <f t="shared" si="13"/>
        <v>9.3171435222625781E-5</v>
      </c>
      <c r="I37" s="47">
        <f t="shared" si="14"/>
        <v>1.3371086472772481E-5</v>
      </c>
      <c r="J37" s="47">
        <f t="shared" si="15"/>
        <v>8.1278275413405737E-2</v>
      </c>
      <c r="K37" s="47">
        <f t="shared" si="16"/>
        <v>0.26094459990770824</v>
      </c>
      <c r="L37" s="47">
        <f t="shared" si="17"/>
        <v>1.3168176838757086E-5</v>
      </c>
      <c r="M37" s="47">
        <f t="shared" si="18"/>
        <v>4.22765446144871E-5</v>
      </c>
      <c r="N37" s="48">
        <f t="shared" si="7"/>
        <v>1</v>
      </c>
      <c r="O37" s="49">
        <f t="shared" si="8"/>
        <v>0.34222287532111395</v>
      </c>
      <c r="P37" s="49">
        <f t="shared" si="9"/>
        <v>5.5444721453244185E-5</v>
      </c>
      <c r="Q37" s="50">
        <f t="shared" si="10"/>
        <v>0.99993118419207394</v>
      </c>
      <c r="R37" s="50">
        <f t="shared" si="11"/>
        <v>6.8815807926016667E-5</v>
      </c>
      <c r="S37" s="51">
        <f>IF(R37&lt;Interface!$B$21,R37,0)</f>
        <v>6.8815807926016667E-5</v>
      </c>
    </row>
    <row r="38" spans="1:19">
      <c r="A38" s="39"/>
      <c r="B38" s="39"/>
      <c r="C38" s="89"/>
      <c r="D38" s="89"/>
      <c r="E38" s="39"/>
      <c r="F38" s="46">
        <v>37</v>
      </c>
      <c r="G38" s="47">
        <f t="shared" si="12"/>
        <v>0.66611816598193652</v>
      </c>
      <c r="H38" s="47">
        <f t="shared" si="13"/>
        <v>9.6997929067035645E-5</v>
      </c>
      <c r="I38" s="47">
        <f t="shared" si="14"/>
        <v>1.3920228814080016E-5</v>
      </c>
      <c r="J38" s="47">
        <f t="shared" si="15"/>
        <v>8.2329211525857302E-2</v>
      </c>
      <c r="K38" s="47">
        <f t="shared" si="16"/>
        <v>0.25138613597800019</v>
      </c>
      <c r="L38" s="47">
        <f t="shared" si="17"/>
        <v>1.3708985805531146E-5</v>
      </c>
      <c r="M38" s="47">
        <f t="shared" si="18"/>
        <v>4.1859370519385532E-5</v>
      </c>
      <c r="N38" s="48">
        <f t="shared" si="7"/>
        <v>1</v>
      </c>
      <c r="O38" s="49">
        <f t="shared" si="8"/>
        <v>0.33371534750385751</v>
      </c>
      <c r="P38" s="49">
        <f t="shared" si="9"/>
        <v>5.5568356324916676E-5</v>
      </c>
      <c r="Q38" s="50">
        <f t="shared" si="10"/>
        <v>0.99993051141486111</v>
      </c>
      <c r="R38" s="50">
        <f t="shared" si="11"/>
        <v>6.9488585138996687E-5</v>
      </c>
      <c r="S38" s="51">
        <f>IF(R38&lt;Interface!$B$21,R38,0)</f>
        <v>6.9488585138996687E-5</v>
      </c>
    </row>
    <row r="39" spans="1:19">
      <c r="A39" s="39"/>
      <c r="B39" s="39"/>
      <c r="C39" s="89"/>
      <c r="D39" s="89"/>
      <c r="E39" s="39"/>
      <c r="F39" s="46">
        <v>38</v>
      </c>
      <c r="G39" s="47">
        <f t="shared" si="12"/>
        <v>0.67430957986960016</v>
      </c>
      <c r="H39" s="47">
        <f t="shared" si="13"/>
        <v>1.0084476630042639E-4</v>
      </c>
      <c r="I39" s="47">
        <f t="shared" si="14"/>
        <v>1.4472290646887949E-5</v>
      </c>
      <c r="J39" s="47">
        <f t="shared" si="15"/>
        <v>8.3341633467029233E-2</v>
      </c>
      <c r="K39" s="47">
        <f t="shared" si="16"/>
        <v>0.24217780089835392</v>
      </c>
      <c r="L39" s="47">
        <f t="shared" si="17"/>
        <v>1.4252669959780422E-5</v>
      </c>
      <c r="M39" s="47">
        <f t="shared" si="18"/>
        <v>4.1416038109634268E-5</v>
      </c>
      <c r="N39" s="48">
        <f t="shared" si="7"/>
        <v>1.0000000000000002</v>
      </c>
      <c r="O39" s="49">
        <f t="shared" si="8"/>
        <v>0.32551943436538316</v>
      </c>
      <c r="P39" s="49">
        <f t="shared" si="9"/>
        <v>5.5668708069414689E-5</v>
      </c>
      <c r="Q39" s="50">
        <f t="shared" si="10"/>
        <v>0.99992985900128373</v>
      </c>
      <c r="R39" s="50">
        <f t="shared" si="11"/>
        <v>7.014099871630264E-5</v>
      </c>
      <c r="S39" s="51">
        <f>IF(R39&lt;Interface!$B$21,R39,0)</f>
        <v>7.014099871630264E-5</v>
      </c>
    </row>
    <row r="40" spans="1:19">
      <c r="A40" s="39"/>
      <c r="B40" s="39"/>
      <c r="C40" s="89"/>
      <c r="D40" s="89"/>
      <c r="E40" s="39"/>
      <c r="F40" s="46">
        <v>39</v>
      </c>
      <c r="G40" s="47">
        <f t="shared" si="12"/>
        <v>0.68220079361984454</v>
      </c>
      <c r="H40" s="47">
        <f t="shared" si="13"/>
        <v>1.0471001988254012E-4</v>
      </c>
      <c r="I40" s="47">
        <f t="shared" si="14"/>
        <v>1.5026995420536059E-5</v>
      </c>
      <c r="J40" s="47">
        <f t="shared" si="15"/>
        <v>8.4316952020430214E-2</v>
      </c>
      <c r="K40" s="47">
        <f t="shared" si="16"/>
        <v>0.2333067693641446</v>
      </c>
      <c r="L40" s="47">
        <f t="shared" si="17"/>
        <v>1.4798956947571211E-5</v>
      </c>
      <c r="M40" s="47">
        <f t="shared" si="18"/>
        <v>4.0949023329974078E-5</v>
      </c>
      <c r="N40" s="48">
        <f t="shared" si="7"/>
        <v>1</v>
      </c>
      <c r="O40" s="49">
        <f t="shared" si="8"/>
        <v>0.31762372138457484</v>
      </c>
      <c r="P40" s="49">
        <f t="shared" si="9"/>
        <v>5.5747980277545288E-5</v>
      </c>
      <c r="Q40" s="50">
        <f t="shared" si="10"/>
        <v>0.99992922502430193</v>
      </c>
      <c r="R40" s="50">
        <f t="shared" si="11"/>
        <v>7.077497569808134E-5</v>
      </c>
      <c r="S40" s="51">
        <f>IF(R40&lt;Interface!$B$21,R40,0)</f>
        <v>7.077497569808134E-5</v>
      </c>
    </row>
    <row r="41" spans="1:19">
      <c r="A41" s="39"/>
      <c r="B41" s="39"/>
      <c r="C41" s="89"/>
      <c r="D41" s="89"/>
      <c r="E41" s="39"/>
      <c r="F41" s="46">
        <v>40</v>
      </c>
      <c r="G41" s="47">
        <f t="shared" si="12"/>
        <v>0.68980280363711122</v>
      </c>
      <c r="H41" s="47">
        <f t="shared" si="13"/>
        <v>1.0859187662683958E-4</v>
      </c>
      <c r="I41" s="47">
        <f t="shared" si="14"/>
        <v>1.5584082923577319E-5</v>
      </c>
      <c r="J41" s="47">
        <f t="shared" si="15"/>
        <v>8.5256526292227228E-2</v>
      </c>
      <c r="K41" s="47">
        <f t="shared" si="16"/>
        <v>0.22476068586476336</v>
      </c>
      <c r="L41" s="47">
        <f t="shared" si="17"/>
        <v>1.5347590506231299E-5</v>
      </c>
      <c r="M41" s="47">
        <f t="shared" si="18"/>
        <v>4.0460655841505584E-5</v>
      </c>
      <c r="N41" s="48">
        <f t="shared" si="7"/>
        <v>1</v>
      </c>
      <c r="O41" s="49">
        <f t="shared" si="8"/>
        <v>0.31001721215699057</v>
      </c>
      <c r="P41" s="49">
        <f t="shared" si="9"/>
        <v>5.5808246347736879E-5</v>
      </c>
      <c r="Q41" s="50">
        <f t="shared" si="10"/>
        <v>0.99992860767072855</v>
      </c>
      <c r="R41" s="50">
        <f t="shared" si="11"/>
        <v>7.1392329271314191E-5</v>
      </c>
      <c r="S41" s="51">
        <f>IF(R41&lt;Interface!$B$21,R41,0)</f>
        <v>7.1392329271314191E-5</v>
      </c>
    </row>
    <row r="42" spans="1:19">
      <c r="A42" s="39"/>
      <c r="B42" s="39"/>
      <c r="C42" s="89"/>
      <c r="D42" s="89"/>
      <c r="E42" s="39"/>
      <c r="F42" s="46">
        <v>41</v>
      </c>
      <c r="G42" s="47">
        <f t="shared" si="12"/>
        <v>0.69712620352488242</v>
      </c>
      <c r="H42" s="47">
        <f t="shared" si="13"/>
        <v>1.12488631444736E-4</v>
      </c>
      <c r="I42" s="47">
        <f t="shared" si="14"/>
        <v>1.6143308457763717E-5</v>
      </c>
      <c r="J42" s="47">
        <f t="shared" si="15"/>
        <v>8.6161665604198939E-2</v>
      </c>
      <c r="K42" s="47">
        <f t="shared" si="16"/>
        <v>0.21652764747494949</v>
      </c>
      <c r="L42" s="47">
        <f t="shared" si="17"/>
        <v>1.5898329650870751E-5</v>
      </c>
      <c r="M42" s="47">
        <f t="shared" si="18"/>
        <v>3.9953126415844469E-5</v>
      </c>
      <c r="N42" s="48">
        <f t="shared" si="7"/>
        <v>1</v>
      </c>
      <c r="O42" s="49">
        <f t="shared" si="8"/>
        <v>0.30268931307914843</v>
      </c>
      <c r="P42" s="49">
        <f t="shared" si="9"/>
        <v>5.585145606671522E-5</v>
      </c>
      <c r="Q42" s="50">
        <f t="shared" si="10"/>
        <v>0.99992800523547554</v>
      </c>
      <c r="R42" s="50">
        <f t="shared" si="11"/>
        <v>7.1994764524478937E-5</v>
      </c>
      <c r="S42" s="51">
        <f>IF(R42&lt;Interface!$B$21,R42,0)</f>
        <v>7.1994764524478937E-5</v>
      </c>
    </row>
    <row r="43" spans="1:19">
      <c r="A43" s="39"/>
      <c r="B43" s="39"/>
      <c r="C43" s="89"/>
      <c r="D43" s="89"/>
      <c r="E43" s="39"/>
      <c r="F43" s="46">
        <v>42</v>
      </c>
      <c r="G43" s="47">
        <f t="shared" si="12"/>
        <v>0.70418119884037733</v>
      </c>
      <c r="H43" s="47">
        <f t="shared" si="13"/>
        <v>1.1639868185978647E-4</v>
      </c>
      <c r="I43" s="47">
        <f t="shared" si="14"/>
        <v>1.6704442050775529E-5</v>
      </c>
      <c r="J43" s="47">
        <f t="shared" si="15"/>
        <v>8.7033631317349994E-2</v>
      </c>
      <c r="K43" s="47">
        <f t="shared" si="16"/>
        <v>0.20859618727647877</v>
      </c>
      <c r="L43" s="47">
        <f t="shared" si="17"/>
        <v>1.6450947899058223E-5</v>
      </c>
      <c r="M43" s="47">
        <f t="shared" si="18"/>
        <v>3.9428493984295705E-5</v>
      </c>
      <c r="N43" s="48">
        <f t="shared" si="7"/>
        <v>1</v>
      </c>
      <c r="O43" s="49">
        <f t="shared" si="8"/>
        <v>0.29562981859382875</v>
      </c>
      <c r="P43" s="49">
        <f t="shared" si="9"/>
        <v>5.5879441883353928E-5</v>
      </c>
      <c r="Q43" s="50">
        <f t="shared" si="10"/>
        <v>0.99992741611606584</v>
      </c>
      <c r="R43" s="50">
        <f t="shared" si="11"/>
        <v>7.2583883934129457E-5</v>
      </c>
      <c r="S43" s="51">
        <f>IF(R43&lt;Interface!$B$21,R43,0)</f>
        <v>7.2583883934129457E-5</v>
      </c>
    </row>
    <row r="44" spans="1:19">
      <c r="A44" s="39"/>
      <c r="B44" s="39"/>
      <c r="C44" s="89"/>
      <c r="D44" s="89"/>
      <c r="E44" s="39"/>
      <c r="F44" s="46">
        <v>43</v>
      </c>
      <c r="G44" s="47">
        <f t="shared" si="12"/>
        <v>0.7109776213087815</v>
      </c>
      <c r="H44" s="47">
        <f t="shared" si="13"/>
        <v>1.2032052277810662E-4</v>
      </c>
      <c r="I44" s="47">
        <f t="shared" si="14"/>
        <v>1.7267267705720275E-5</v>
      </c>
      <c r="J44" s="47">
        <f t="shared" si="15"/>
        <v>8.787363858872578E-2</v>
      </c>
      <c r="K44" s="47">
        <f t="shared" si="16"/>
        <v>0.20095525838712053</v>
      </c>
      <c r="L44" s="47">
        <f t="shared" si="17"/>
        <v>1.7005232531708939E-5</v>
      </c>
      <c r="M44" s="47">
        <f t="shared" si="18"/>
        <v>3.888869235672093E-5</v>
      </c>
      <c r="N44" s="48">
        <f t="shared" si="7"/>
        <v>0.99999999999999989</v>
      </c>
      <c r="O44" s="49">
        <f t="shared" si="8"/>
        <v>0.28882889697584629</v>
      </c>
      <c r="P44" s="49">
        <f t="shared" si="9"/>
        <v>5.5893924888429869E-5</v>
      </c>
      <c r="Q44" s="50">
        <f t="shared" si="10"/>
        <v>0.99992683880740585</v>
      </c>
      <c r="R44" s="50">
        <f t="shared" si="11"/>
        <v>7.3161192594150141E-5</v>
      </c>
      <c r="S44" s="51">
        <f>IF(R44&lt;Interface!$B$21,R44,0)</f>
        <v>7.3161192594150141E-5</v>
      </c>
    </row>
    <row r="45" spans="1:19">
      <c r="A45" s="39"/>
      <c r="B45" s="39"/>
      <c r="C45" s="89"/>
      <c r="D45" s="89"/>
      <c r="E45" s="39"/>
      <c r="F45" s="46">
        <v>44</v>
      </c>
      <c r="G45" s="47">
        <f t="shared" si="12"/>
        <v>0.71752494251680399</v>
      </c>
      <c r="H45" s="47">
        <f t="shared" si="13"/>
        <v>1.2425274150460808E-4</v>
      </c>
      <c r="I45" s="47">
        <f t="shared" si="14"/>
        <v>1.7831582685910026E-5</v>
      </c>
      <c r="J45" s="47">
        <f t="shared" si="15"/>
        <v>8.8682858063874631E-2</v>
      </c>
      <c r="K45" s="47">
        <f t="shared" si="16"/>
        <v>0.19359421857461695</v>
      </c>
      <c r="L45" s="47">
        <f t="shared" si="17"/>
        <v>1.756098388871572E-5</v>
      </c>
      <c r="M45" s="47">
        <f t="shared" si="18"/>
        <v>3.8335536625225692E-5</v>
      </c>
      <c r="N45" s="48">
        <f t="shared" si="7"/>
        <v>1</v>
      </c>
      <c r="O45" s="49">
        <f t="shared" si="8"/>
        <v>0.28227707663849155</v>
      </c>
      <c r="P45" s="49">
        <f t="shared" si="9"/>
        <v>5.5896520513941412E-5</v>
      </c>
      <c r="Q45" s="50">
        <f t="shared" si="10"/>
        <v>0.99992627189680017</v>
      </c>
      <c r="R45" s="50">
        <f t="shared" si="11"/>
        <v>7.3728103199851438E-5</v>
      </c>
      <c r="S45" s="51">
        <f>IF(R45&lt;Interface!$B$21,R45,0)</f>
        <v>7.3728103199851438E-5</v>
      </c>
    </row>
    <row r="46" spans="1:19">
      <c r="A46" s="39"/>
      <c r="B46" s="39"/>
      <c r="C46" s="89"/>
      <c r="D46" s="89"/>
      <c r="E46" s="39"/>
      <c r="F46" s="46">
        <v>45</v>
      </c>
      <c r="G46" s="47">
        <f t="shared" si="12"/>
        <v>0.72383228710463765</v>
      </c>
      <c r="H46" s="47">
        <f t="shared" si="13"/>
        <v>1.2819401299328178E-4</v>
      </c>
      <c r="I46" s="47">
        <f t="shared" si="14"/>
        <v>1.8397196833226832E-5</v>
      </c>
      <c r="J46" s="47">
        <f t="shared" si="15"/>
        <v>8.9462417507314748E-2</v>
      </c>
      <c r="K46" s="47">
        <f t="shared" si="16"/>
        <v>0.18650281543425701</v>
      </c>
      <c r="L46" s="47">
        <f t="shared" si="17"/>
        <v>1.8118014697658365E-5</v>
      </c>
      <c r="M46" s="47">
        <f t="shared" si="18"/>
        <v>3.7770729266468244E-5</v>
      </c>
      <c r="N46" s="48">
        <f t="shared" si="7"/>
        <v>1</v>
      </c>
      <c r="O46" s="49">
        <f t="shared" si="8"/>
        <v>0.27596523294157177</v>
      </c>
      <c r="P46" s="49">
        <f t="shared" si="9"/>
        <v>5.5888743964126609E-5</v>
      </c>
      <c r="Q46" s="50">
        <f t="shared" si="10"/>
        <v>0.99992571405920272</v>
      </c>
      <c r="R46" s="50">
        <f t="shared" si="11"/>
        <v>7.4285940797353444E-5</v>
      </c>
      <c r="S46" s="51">
        <f>IF(R46&lt;Interface!$B$21,R46,0)</f>
        <v>7.4285940797353444E-5</v>
      </c>
    </row>
    <row r="47" spans="1:19">
      <c r="A47" s="39"/>
      <c r="B47" s="39"/>
      <c r="C47" s="89"/>
      <c r="D47" s="89"/>
      <c r="E47" s="39"/>
      <c r="F47" s="46">
        <v>46</v>
      </c>
      <c r="G47" s="47">
        <f t="shared" si="12"/>
        <v>0.7299084454746938</v>
      </c>
      <c r="H47" s="47">
        <f t="shared" si="13"/>
        <v>1.3214309532172093E-4</v>
      </c>
      <c r="I47" s="47">
        <f t="shared" si="14"/>
        <v>1.8963931918668927E-5</v>
      </c>
      <c r="J47" s="47">
        <f t="shared" si="15"/>
        <v>9.021340337327674E-2</v>
      </c>
      <c r="K47" s="47">
        <f t="shared" si="16"/>
        <v>0.17967117210939856</v>
      </c>
      <c r="L47" s="47">
        <f t="shared" si="17"/>
        <v>1.8676149434205484E-5</v>
      </c>
      <c r="M47" s="47">
        <f t="shared" si="18"/>
        <v>3.7195865956299511E-5</v>
      </c>
      <c r="N47" s="48">
        <f t="shared" si="7"/>
        <v>1</v>
      </c>
      <c r="O47" s="49">
        <f t="shared" si="8"/>
        <v>0.2698845754826753</v>
      </c>
      <c r="P47" s="49">
        <f t="shared" si="9"/>
        <v>5.5872015390504995E-5</v>
      </c>
      <c r="Q47" s="50">
        <f t="shared" si="10"/>
        <v>0.99992516405269083</v>
      </c>
      <c r="R47" s="50">
        <f t="shared" si="11"/>
        <v>7.4835947309173919E-5</v>
      </c>
      <c r="S47" s="51">
        <f>IF(R47&lt;Interface!$B$21,R47,0)</f>
        <v>7.4835947309173919E-5</v>
      </c>
    </row>
    <row r="48" spans="1:19">
      <c r="A48" s="39"/>
      <c r="B48" s="39"/>
      <c r="C48" s="89"/>
      <c r="D48" s="89"/>
      <c r="E48" s="39"/>
      <c r="F48" s="46">
        <v>47</v>
      </c>
      <c r="G48" s="47">
        <f t="shared" si="12"/>
        <v>0.73576188603481352</v>
      </c>
      <c r="H48" s="47">
        <f t="shared" si="13"/>
        <v>1.360988253792945E-4</v>
      </c>
      <c r="I48" s="47">
        <f t="shared" si="14"/>
        <v>1.9531621023557987E-5</v>
      </c>
      <c r="J48" s="47">
        <f t="shared" si="15"/>
        <v>9.0936862318909531E-2</v>
      </c>
      <c r="K48" s="47">
        <f t="shared" si="16"/>
        <v>0.17308977353505198</v>
      </c>
      <c r="L48" s="47">
        <f t="shared" si="17"/>
        <v>1.9235223712712104E-5</v>
      </c>
      <c r="M48" s="47">
        <f t="shared" si="18"/>
        <v>3.6612441109451775E-5</v>
      </c>
      <c r="N48" s="48">
        <f t="shared" si="7"/>
        <v>1</v>
      </c>
      <c r="O48" s="49">
        <f t="shared" si="8"/>
        <v>0.26402663585396152</v>
      </c>
      <c r="P48" s="49">
        <f t="shared" si="9"/>
        <v>5.5847664822163883E-5</v>
      </c>
      <c r="Q48" s="50">
        <f t="shared" si="10"/>
        <v>0.99992462071415433</v>
      </c>
      <c r="R48" s="50">
        <f t="shared" si="11"/>
        <v>7.5379285845721873E-5</v>
      </c>
      <c r="S48" s="51">
        <f>IF(R48&lt;Interface!$B$21,R48,0)</f>
        <v>7.5379285845721873E-5</v>
      </c>
    </row>
    <row r="49" spans="1:19">
      <c r="A49" s="39"/>
      <c r="B49" s="39"/>
      <c r="C49" s="89"/>
      <c r="D49" s="89"/>
      <c r="E49" s="39"/>
      <c r="F49" s="46">
        <v>48</v>
      </c>
      <c r="G49" s="47">
        <f t="shared" si="12"/>
        <v>0.74140076699300606</v>
      </c>
      <c r="H49" s="47">
        <f t="shared" si="13"/>
        <v>1.4006011476050704E-4</v>
      </c>
      <c r="I49" s="47">
        <f t="shared" si="14"/>
        <v>2.0100107950192832E-5</v>
      </c>
      <c r="J49" s="47">
        <f t="shared" si="15"/>
        <v>9.163380266205691E-2</v>
      </c>
      <c r="K49" s="47">
        <f t="shared" si="16"/>
        <v>0.16674945318536355</v>
      </c>
      <c r="L49" s="47">
        <f t="shared" si="17"/>
        <v>1.9795083705816834E-5</v>
      </c>
      <c r="M49" s="47">
        <f t="shared" si="18"/>
        <v>3.6021853156927178E-5</v>
      </c>
      <c r="N49" s="48">
        <f t="shared" si="7"/>
        <v>1</v>
      </c>
      <c r="O49" s="49">
        <f t="shared" si="8"/>
        <v>0.25838325584742045</v>
      </c>
      <c r="P49" s="49">
        <f t="shared" si="9"/>
        <v>5.5816936862744008E-5</v>
      </c>
      <c r="Q49" s="50">
        <f t="shared" si="10"/>
        <v>0.99992408295518698</v>
      </c>
      <c r="R49" s="50">
        <f t="shared" si="11"/>
        <v>7.5917044812936834E-5</v>
      </c>
      <c r="S49" s="51">
        <f>IF(R49&lt;Interface!$B$21,R49,0)</f>
        <v>7.5917044812936834E-5</v>
      </c>
    </row>
    <row r="50" spans="1:19">
      <c r="A50" s="39"/>
      <c r="B50" s="39"/>
      <c r="C50" s="89"/>
      <c r="D50" s="89"/>
      <c r="E50" s="39"/>
      <c r="F50" s="46">
        <v>49</v>
      </c>
      <c r="G50" s="47">
        <f t="shared" si="12"/>
        <v>0.74683294772014464</v>
      </c>
      <c r="H50" s="47">
        <f t="shared" si="13"/>
        <v>1.4402594585215774E-4</v>
      </c>
      <c r="I50" s="47">
        <f t="shared" si="14"/>
        <v>2.0669246660315377E-5</v>
      </c>
      <c r="J50" s="47">
        <f t="shared" si="15"/>
        <v>9.2305195785635827E-2</v>
      </c>
      <c r="K50" s="47">
        <f t="shared" si="16"/>
        <v>0.16064138030654343</v>
      </c>
      <c r="L50" s="47">
        <f t="shared" si="17"/>
        <v>2.0355585591429257E-5</v>
      </c>
      <c r="M50" s="47">
        <f t="shared" si="18"/>
        <v>3.5425409572275015E-5</v>
      </c>
      <c r="N50" s="48">
        <f t="shared" si="7"/>
        <v>1</v>
      </c>
      <c r="O50" s="49">
        <f t="shared" si="8"/>
        <v>0.25294657609217924</v>
      </c>
      <c r="P50" s="49">
        <f t="shared" si="9"/>
        <v>5.5780995163704275E-5</v>
      </c>
      <c r="Q50" s="50">
        <f t="shared" si="10"/>
        <v>0.99992354975817599</v>
      </c>
      <c r="R50" s="50">
        <f t="shared" si="11"/>
        <v>7.6450241824019646E-5</v>
      </c>
      <c r="S50" s="51">
        <f>IF(R50&lt;Interface!$B$21,R50,0)</f>
        <v>7.6450241824019646E-5</v>
      </c>
    </row>
    <row r="51" spans="1:19">
      <c r="A51" s="39"/>
      <c r="B51" s="39"/>
      <c r="C51" s="89"/>
      <c r="D51" s="89"/>
      <c r="E51" s="39"/>
      <c r="F51" s="46">
        <v>50</v>
      </c>
      <c r="G51" s="47">
        <f t="shared" si="12"/>
        <v>0.75206599969644239</v>
      </c>
      <c r="H51" s="47">
        <f t="shared" si="13"/>
        <v>1.4799536810792578E-4</v>
      </c>
      <c r="I51" s="47">
        <f t="shared" si="14"/>
        <v>2.1238900740474194E-5</v>
      </c>
      <c r="J51" s="47">
        <f t="shared" si="15"/>
        <v>9.2951977490571519E-2</v>
      </c>
      <c r="K51" s="47">
        <f t="shared" si="16"/>
        <v>0.15475704761745279</v>
      </c>
      <c r="L51" s="47">
        <f t="shared" si="17"/>
        <v>2.0916595026206734E-5</v>
      </c>
      <c r="M51" s="47">
        <f t="shared" si="18"/>
        <v>3.4824331658721215E-5</v>
      </c>
      <c r="N51" s="48">
        <f t="shared" si="7"/>
        <v>1</v>
      </c>
      <c r="O51" s="49">
        <f t="shared" si="8"/>
        <v>0.24770902510802431</v>
      </c>
      <c r="P51" s="49">
        <f t="shared" si="9"/>
        <v>5.5740926684927949E-5</v>
      </c>
      <c r="Q51" s="50">
        <f t="shared" si="10"/>
        <v>0.99992302017257462</v>
      </c>
      <c r="R51" s="50">
        <f t="shared" si="11"/>
        <v>7.6979827425402143E-5</v>
      </c>
      <c r="S51" s="51">
        <f>IF(R51&lt;Interface!$B$21,R51,0)</f>
        <v>7.6979827425402143E-5</v>
      </c>
    </row>
    <row r="52" spans="1:19">
      <c r="A52" s="39"/>
      <c r="B52" s="39"/>
      <c r="C52" s="89"/>
      <c r="D52" s="89"/>
      <c r="E52" s="39"/>
      <c r="F52" s="46">
        <v>51</v>
      </c>
      <c r="G52" s="47">
        <f t="shared" si="12"/>
        <v>0.75710721705695816</v>
      </c>
      <c r="H52" s="47">
        <f t="shared" si="13"/>
        <v>1.5196749450034207E-4</v>
      </c>
      <c r="I52" s="47">
        <f t="shared" si="14"/>
        <v>2.1808942892844974E-5</v>
      </c>
      <c r="J52" s="47">
        <f t="shared" si="15"/>
        <v>9.3575049299174581E-2</v>
      </c>
      <c r="K52" s="47">
        <f t="shared" si="16"/>
        <v>0.14908825946072254</v>
      </c>
      <c r="L52" s="47">
        <f t="shared" si="17"/>
        <v>2.1477986644101768E-5</v>
      </c>
      <c r="M52" s="47">
        <f t="shared" si="18"/>
        <v>3.4219759107495584E-5</v>
      </c>
      <c r="N52" s="48">
        <f t="shared" si="7"/>
        <v>1</v>
      </c>
      <c r="O52" s="49">
        <f t="shared" si="8"/>
        <v>0.24266330875989711</v>
      </c>
      <c r="P52" s="49">
        <f t="shared" si="9"/>
        <v>5.5697745751597349E-5</v>
      </c>
      <c r="Q52" s="50">
        <f t="shared" si="10"/>
        <v>0.99992249331135563</v>
      </c>
      <c r="R52" s="50">
        <f t="shared" si="11"/>
        <v>7.7506688644442319E-5</v>
      </c>
      <c r="S52" s="51">
        <f>IF(R52&lt;Interface!$B$21,R52,0)</f>
        <v>7.7506688644442319E-5</v>
      </c>
    </row>
    <row r="53" spans="1:19">
      <c r="A53" s="39"/>
      <c r="B53" s="39"/>
      <c r="C53" s="89"/>
      <c r="D53" s="89"/>
      <c r="E53" s="39"/>
      <c r="F53" s="46">
        <v>52</v>
      </c>
      <c r="G53" s="47">
        <f t="shared" si="12"/>
        <v>0.76196362675081508</v>
      </c>
      <c r="H53" s="47">
        <f t="shared" si="13"/>
        <v>1.5594149814341358E-4</v>
      </c>
      <c r="I53" s="47">
        <f t="shared" si="14"/>
        <v>2.237925445054134E-5</v>
      </c>
      <c r="J53" s="47">
        <f t="shared" si="15"/>
        <v>9.4175279710774884E-2</v>
      </c>
      <c r="K53" s="47">
        <f t="shared" si="16"/>
        <v>0.14362712038789907</v>
      </c>
      <c r="L53" s="47">
        <f t="shared" si="17"/>
        <v>2.203964357902813E-5</v>
      </c>
      <c r="M53" s="47">
        <f t="shared" si="18"/>
        <v>3.3612754338007947E-5</v>
      </c>
      <c r="N53" s="48">
        <f t="shared" si="7"/>
        <v>1.0000000000000002</v>
      </c>
      <c r="O53" s="49">
        <f t="shared" si="8"/>
        <v>0.23780240009867396</v>
      </c>
      <c r="P53" s="49">
        <f t="shared" si="9"/>
        <v>5.5652397917036074E-5</v>
      </c>
      <c r="Q53" s="50">
        <f t="shared" si="10"/>
        <v>0.99992196834763247</v>
      </c>
      <c r="R53" s="50">
        <f t="shared" si="11"/>
        <v>7.8031652367577411E-5</v>
      </c>
      <c r="S53" s="51">
        <f>IF(R53&lt;Interface!$B$21,R53,0)</f>
        <v>7.8031652367577411E-5</v>
      </c>
    </row>
    <row r="54" spans="1:19">
      <c r="A54" s="39"/>
      <c r="B54" s="39"/>
      <c r="C54" s="89"/>
      <c r="D54" s="89"/>
      <c r="E54" s="39"/>
      <c r="F54" s="46">
        <v>53</v>
      </c>
      <c r="G54" s="47">
        <f t="shared" si="12"/>
        <v>0.76664199832828783</v>
      </c>
      <c r="H54" s="47">
        <f t="shared" si="13"/>
        <v>1.5991660907623416E-4</v>
      </c>
      <c r="I54" s="47">
        <f t="shared" si="14"/>
        <v>2.2949724916029026E-5</v>
      </c>
      <c r="J54" s="47">
        <f t="shared" si="15"/>
        <v>9.4753505411361405E-2</v>
      </c>
      <c r="K54" s="47">
        <f t="shared" si="16"/>
        <v>0.13836602416271898</v>
      </c>
      <c r="L54" s="47">
        <f t="shared" si="17"/>
        <v>2.2601457010279713E-5</v>
      </c>
      <c r="M54" s="47">
        <f t="shared" si="18"/>
        <v>3.3004306629293758E-5</v>
      </c>
      <c r="N54" s="48">
        <f t="shared" si="7"/>
        <v>1</v>
      </c>
      <c r="O54" s="49">
        <f t="shared" si="8"/>
        <v>0.23311952957408039</v>
      </c>
      <c r="P54" s="49">
        <f t="shared" si="9"/>
        <v>5.5605763639573471E-5</v>
      </c>
      <c r="Q54" s="50">
        <f t="shared" si="10"/>
        <v>0.99992144451144449</v>
      </c>
      <c r="R54" s="50">
        <f t="shared" si="11"/>
        <v>7.8555488555602504E-5</v>
      </c>
      <c r="S54" s="51">
        <f>IF(R54&lt;Interface!$B$21,R54,0)</f>
        <v>7.8555488555602504E-5</v>
      </c>
    </row>
    <row r="55" spans="1:19">
      <c r="A55" s="39"/>
      <c r="B55" s="39"/>
      <c r="C55" s="89"/>
      <c r="D55" s="89"/>
      <c r="E55" s="39"/>
      <c r="F55" s="46">
        <v>54</v>
      </c>
      <c r="G55" s="47">
        <f t="shared" si="12"/>
        <v>0.77114885336938366</v>
      </c>
      <c r="H55" s="47">
        <f t="shared" si="13"/>
        <v>1.6389211120264676E-4</v>
      </c>
      <c r="I55" s="47">
        <f t="shared" si="14"/>
        <v>2.3520251521935016E-5</v>
      </c>
      <c r="J55" s="47">
        <f t="shared" si="15"/>
        <v>9.5310532438912576E-2</v>
      </c>
      <c r="K55" s="47">
        <f t="shared" si="16"/>
        <v>0.13329764316719644</v>
      </c>
      <c r="L55" s="47">
        <f t="shared" si="17"/>
        <v>2.3163325730004487E-5</v>
      </c>
      <c r="M55" s="47">
        <f t="shared" si="18"/>
        <v>3.2395336052735055E-5</v>
      </c>
      <c r="N55" s="48">
        <f t="shared" si="7"/>
        <v>1</v>
      </c>
      <c r="O55" s="49">
        <f t="shared" si="8"/>
        <v>0.22860817560610902</v>
      </c>
      <c r="P55" s="49">
        <f t="shared" si="9"/>
        <v>5.5558661782739542E-5</v>
      </c>
      <c r="Q55" s="50">
        <f t="shared" si="10"/>
        <v>0.99992092108669528</v>
      </c>
      <c r="R55" s="50">
        <f t="shared" si="11"/>
        <v>7.9078913304674554E-5</v>
      </c>
      <c r="S55" s="51">
        <f>IF(R55&lt;Interface!$B$21,R55,0)</f>
        <v>7.9078913304674554E-5</v>
      </c>
    </row>
    <row r="56" spans="1:19">
      <c r="A56" s="39"/>
      <c r="B56" s="39"/>
      <c r="C56" s="89"/>
      <c r="D56" s="89"/>
      <c r="E56" s="39"/>
      <c r="F56" s="46">
        <v>55</v>
      </c>
      <c r="G56" s="47">
        <f t="shared" si="12"/>
        <v>0.775490474567054</v>
      </c>
      <c r="H56" s="47">
        <f t="shared" si="13"/>
        <v>1.6786733937831886E-4</v>
      </c>
      <c r="I56" s="47">
        <f t="shared" si="14"/>
        <v>2.4090738813012022E-5</v>
      </c>
      <c r="J56" s="47">
        <f t="shared" si="15"/>
        <v>9.5847137306040359E-2</v>
      </c>
      <c r="K56" s="47">
        <f t="shared" si="16"/>
        <v>0.12841491819576814</v>
      </c>
      <c r="L56" s="47">
        <f t="shared" si="17"/>
        <v>2.37251557315128E-5</v>
      </c>
      <c r="M56" s="47">
        <f t="shared" si="18"/>
        <v>3.1786697214712454E-5</v>
      </c>
      <c r="N56" s="48">
        <f t="shared" si="7"/>
        <v>1</v>
      </c>
      <c r="O56" s="49">
        <f t="shared" si="8"/>
        <v>0.2242620555018085</v>
      </c>
      <c r="P56" s="49">
        <f t="shared" si="9"/>
        <v>5.551185294622525E-5</v>
      </c>
      <c r="Q56" s="50">
        <f t="shared" si="10"/>
        <v>0.99992039740824079</v>
      </c>
      <c r="R56" s="50">
        <f t="shared" si="11"/>
        <v>7.9602591759237275E-5</v>
      </c>
      <c r="S56" s="51">
        <f>IF(R56&lt;Interface!$B$21,R56,0)</f>
        <v>7.9602591759237275E-5</v>
      </c>
    </row>
    <row r="57" spans="1:19">
      <c r="A57" s="39"/>
      <c r="B57" s="39"/>
      <c r="C57" s="89"/>
      <c r="D57" s="89"/>
      <c r="E57" s="39"/>
      <c r="F57" s="46">
        <v>56</v>
      </c>
      <c r="G57" s="47">
        <f t="shared" si="12"/>
        <v>0.77967291447768439</v>
      </c>
      <c r="H57" s="47">
        <f t="shared" si="13"/>
        <v>1.7184167663901676E-4</v>
      </c>
      <c r="I57" s="47">
        <f t="shared" si="14"/>
        <v>2.4661098248366612E-5</v>
      </c>
      <c r="J57" s="47">
        <f t="shared" si="15"/>
        <v>9.6364068081511545E-2</v>
      </c>
      <c r="K57" s="47">
        <f t="shared" si="16"/>
        <v>0.12371104862328111</v>
      </c>
      <c r="L57" s="47">
        <f t="shared" si="17"/>
        <v>2.4286859817541761E-5</v>
      </c>
      <c r="M57" s="47">
        <f t="shared" si="18"/>
        <v>3.1179182817948884E-5</v>
      </c>
      <c r="N57" s="48">
        <f t="shared" si="7"/>
        <v>0.99999999999999989</v>
      </c>
      <c r="O57" s="49">
        <f t="shared" si="8"/>
        <v>0.22007511670479266</v>
      </c>
      <c r="P57" s="49">
        <f t="shared" si="9"/>
        <v>5.5466042635490645E-5</v>
      </c>
      <c r="Q57" s="50">
        <f t="shared" si="10"/>
        <v>0.9999198728591161</v>
      </c>
      <c r="R57" s="50">
        <f t="shared" si="11"/>
        <v>8.0127140883857261E-5</v>
      </c>
      <c r="S57" s="51">
        <f>IF(R57&lt;Interface!$B$21,R57,0)</f>
        <v>8.0127140883857261E-5</v>
      </c>
    </row>
    <row r="58" spans="1:19">
      <c r="A58" s="39"/>
      <c r="B58" s="39"/>
      <c r="C58" s="89"/>
      <c r="D58" s="89"/>
      <c r="E58" s="39"/>
      <c r="F58" s="46">
        <v>57</v>
      </c>
      <c r="G58" s="47">
        <f t="shared" si="12"/>
        <v>0.78370200395105416</v>
      </c>
      <c r="H58" s="47">
        <f t="shared" si="13"/>
        <v>1.7581455156304428E-4</v>
      </c>
      <c r="I58" s="47">
        <f t="shared" si="14"/>
        <v>2.5231247822941174E-5</v>
      </c>
      <c r="J58" s="47">
        <f t="shared" si="15"/>
        <v>9.6862045432152752E-2</v>
      </c>
      <c r="K58" s="47">
        <f t="shared" si="16"/>
        <v>0.11917948293312995</v>
      </c>
      <c r="L58" s="47">
        <f t="shared" si="17"/>
        <v>2.4848357227481347E-5</v>
      </c>
      <c r="M58" s="47">
        <f t="shared" si="18"/>
        <v>3.0573527049697288E-5</v>
      </c>
      <c r="N58" s="48">
        <f t="shared" si="7"/>
        <v>1</v>
      </c>
      <c r="O58" s="49">
        <f t="shared" si="8"/>
        <v>0.2160415283652827</v>
      </c>
      <c r="P58" s="49">
        <f t="shared" si="9"/>
        <v>5.5421884277178632E-5</v>
      </c>
      <c r="Q58" s="50">
        <f t="shared" si="10"/>
        <v>0.99991934686789996</v>
      </c>
      <c r="R58" s="50">
        <f t="shared" si="11"/>
        <v>8.0653132100119799E-5</v>
      </c>
      <c r="S58" s="51">
        <f>IF(R58&lt;Interface!$B$21,R58,0)</f>
        <v>8.0653132100119799E-5</v>
      </c>
    </row>
    <row r="59" spans="1:19">
      <c r="A59" s="39"/>
      <c r="B59" s="39"/>
      <c r="C59" s="89"/>
      <c r="D59" s="89"/>
      <c r="E59" s="39"/>
      <c r="F59" s="46">
        <v>58</v>
      </c>
      <c r="G59" s="47">
        <f t="shared" si="12"/>
        <v>0.78758336025150144</v>
      </c>
      <c r="H59" s="47">
        <f t="shared" si="13"/>
        <v>1.7978543576305318E-4</v>
      </c>
      <c r="I59" s="47">
        <f t="shared" si="14"/>
        <v>2.5801111707562236E-5</v>
      </c>
      <c r="J59" s="47">
        <f t="shared" si="15"/>
        <v>9.7341763626590055E-2</v>
      </c>
      <c r="K59" s="47">
        <f t="shared" si="16"/>
        <v>0.11481390959235002</v>
      </c>
      <c r="L59" s="47">
        <f t="shared" si="17"/>
        <v>2.5409573282885051E-5</v>
      </c>
      <c r="M59" s="47">
        <f t="shared" si="18"/>
        <v>2.9970408804925759E-5</v>
      </c>
      <c r="N59" s="48">
        <f t="shared" si="7"/>
        <v>1</v>
      </c>
      <c r="O59" s="49">
        <f t="shared" si="8"/>
        <v>0.21215567321894008</v>
      </c>
      <c r="P59" s="49">
        <f t="shared" si="9"/>
        <v>5.5379982087810814E-5</v>
      </c>
      <c r="Q59" s="50">
        <f t="shared" si="10"/>
        <v>0.9999188189062046</v>
      </c>
      <c r="R59" s="50">
        <f t="shared" si="11"/>
        <v>8.1181093795373047E-5</v>
      </c>
      <c r="S59" s="51">
        <f>IF(R59&lt;Interface!$B$21,R59,0)</f>
        <v>8.1181093795373047E-5</v>
      </c>
    </row>
    <row r="60" spans="1:19">
      <c r="A60" s="39"/>
      <c r="B60" s="39"/>
      <c r="C60" s="89"/>
      <c r="D60" s="89"/>
      <c r="E60" s="39"/>
      <c r="F60" s="46">
        <v>59</v>
      </c>
      <c r="G60" s="47">
        <f t="shared" si="12"/>
        <v>0.7913223948816106</v>
      </c>
      <c r="H60" s="47">
        <f t="shared" si="13"/>
        <v>1.8375384150037921E-4</v>
      </c>
      <c r="I60" s="47">
        <f t="shared" si="14"/>
        <v>2.6370619906572435E-5</v>
      </c>
      <c r="J60" s="47">
        <f t="shared" si="15"/>
        <v>9.7803891502221532E-2</v>
      </c>
      <c r="K60" s="47">
        <f t="shared" si="16"/>
        <v>0.11060824826095865</v>
      </c>
      <c r="L60" s="47">
        <f t="shared" si="17"/>
        <v>2.5970439050297394E-5</v>
      </c>
      <c r="M60" s="47">
        <f t="shared" si="18"/>
        <v>2.9370454751855575E-5</v>
      </c>
      <c r="N60" s="48">
        <f t="shared" si="7"/>
        <v>0.99999999999999989</v>
      </c>
      <c r="O60" s="49">
        <f t="shared" si="8"/>
        <v>0.20841213976318018</v>
      </c>
      <c r="P60" s="49">
        <f t="shared" si="9"/>
        <v>5.5340893802152972E-5</v>
      </c>
      <c r="Q60" s="50">
        <f t="shared" si="10"/>
        <v>0.99991828848629116</v>
      </c>
      <c r="R60" s="50">
        <f t="shared" si="11"/>
        <v>8.171151370872541E-5</v>
      </c>
      <c r="S60" s="51">
        <f>IF(R60&lt;Interface!$B$21,R60,0)</f>
        <v>8.171151370872541E-5</v>
      </c>
    </row>
    <row r="61" spans="1:19">
      <c r="A61" s="39"/>
      <c r="B61" s="39"/>
      <c r="C61" s="89"/>
      <c r="D61" s="89"/>
      <c r="E61" s="39"/>
      <c r="F61" s="46">
        <v>60</v>
      </c>
      <c r="G61" s="47">
        <f t="shared" si="12"/>
        <v>0.79492432111931555</v>
      </c>
      <c r="H61" s="47">
        <f t="shared" si="13"/>
        <v>1.8771931941534905E-4</v>
      </c>
      <c r="I61" s="47">
        <f t="shared" si="14"/>
        <v>2.6939707932105553E-5</v>
      </c>
      <c r="J61" s="47">
        <f t="shared" si="15"/>
        <v>9.8249073396769318E-2</v>
      </c>
      <c r="K61" s="47">
        <f t="shared" si="16"/>
        <v>0.10655664132330024</v>
      </c>
      <c r="L61" s="47">
        <f t="shared" si="17"/>
        <v>2.6530891020471915E-5</v>
      </c>
      <c r="M61" s="47">
        <f t="shared" si="18"/>
        <v>2.8774242246939636E-5</v>
      </c>
      <c r="N61" s="48">
        <f t="shared" si="7"/>
        <v>0.99999999999999989</v>
      </c>
      <c r="O61" s="49">
        <f t="shared" si="8"/>
        <v>0.20480571472006956</v>
      </c>
      <c r="P61" s="49">
        <f t="shared" si="9"/>
        <v>5.5305133267411551E-5</v>
      </c>
      <c r="Q61" s="50">
        <f t="shared" si="10"/>
        <v>0.99991775515880044</v>
      </c>
      <c r="R61" s="50">
        <f t="shared" si="11"/>
        <v>8.2244841199517101E-5</v>
      </c>
      <c r="S61" s="51">
        <f>IF(R61&lt;Interface!$B$21,R61,0)</f>
        <v>8.2244841199517101E-5</v>
      </c>
    </row>
    <row r="62" spans="1:19">
      <c r="A62" s="39"/>
      <c r="B62" s="39"/>
      <c r="C62" s="89"/>
      <c r="D62" s="89"/>
      <c r="E62" s="39"/>
      <c r="F62" s="46">
        <v>61</v>
      </c>
      <c r="G62" s="47">
        <f t="shared" si="12"/>
        <v>0.79839416127891505</v>
      </c>
      <c r="H62" s="47">
        <f t="shared" si="13"/>
        <v>1.916814563711756E-4</v>
      </c>
      <c r="I62" s="47">
        <f t="shared" si="14"/>
        <v>2.7508316494662707E-5</v>
      </c>
      <c r="J62" s="47">
        <f t="shared" si="15"/>
        <v>9.8677930045708587E-2</v>
      </c>
      <c r="K62" s="47">
        <f t="shared" si="16"/>
        <v>0.10265344572960015</v>
      </c>
      <c r="L62" s="47">
        <f t="shared" si="17"/>
        <v>2.7090870803642935E-5</v>
      </c>
      <c r="M62" s="47">
        <f t="shared" si="18"/>
        <v>2.8182302106673661E-5</v>
      </c>
      <c r="N62" s="48">
        <f t="shared" si="7"/>
        <v>0.99999999999999989</v>
      </c>
      <c r="O62" s="49">
        <f t="shared" si="8"/>
        <v>0.20133137577530874</v>
      </c>
      <c r="P62" s="49">
        <f t="shared" si="9"/>
        <v>5.5273172910316596E-5</v>
      </c>
      <c r="Q62" s="50">
        <f t="shared" si="10"/>
        <v>0.9999172185105949</v>
      </c>
      <c r="R62" s="50">
        <f t="shared" si="11"/>
        <v>8.2781489404979303E-5</v>
      </c>
      <c r="S62" s="51">
        <f>IF(R62&lt;Interface!$B$21,R62,0)</f>
        <v>8.2781489404979303E-5</v>
      </c>
    </row>
    <row r="63" spans="1:19">
      <c r="A63" s="39"/>
      <c r="B63" s="39"/>
      <c r="C63" s="89"/>
      <c r="D63" s="89"/>
      <c r="E63" s="39"/>
      <c r="F63" s="46">
        <v>62</v>
      </c>
      <c r="G63" s="47">
        <f t="shared" si="12"/>
        <v>0.80173675370611908</v>
      </c>
      <c r="H63" s="47">
        <f t="shared" si="13"/>
        <v>1.9563987340239365E-4</v>
      </c>
      <c r="I63" s="47">
        <f t="shared" si="14"/>
        <v>2.8076391208691137E-5</v>
      </c>
      <c r="J63" s="47">
        <f t="shared" si="15"/>
        <v>9.9091059446823684E-2</v>
      </c>
      <c r="K63" s="47">
        <f t="shared" si="16"/>
        <v>9.8893225136364379E-2</v>
      </c>
      <c r="L63" s="47">
        <f t="shared" si="17"/>
        <v>2.7650324839572272E-5</v>
      </c>
      <c r="M63" s="47">
        <f t="shared" si="18"/>
        <v>2.7595121242202844E-5</v>
      </c>
      <c r="N63" s="48">
        <f t="shared" si="7"/>
        <v>1</v>
      </c>
      <c r="O63" s="49">
        <f t="shared" si="8"/>
        <v>0.19798428458318806</v>
      </c>
      <c r="P63" s="49">
        <f t="shared" si="9"/>
        <v>5.5245446081775119E-5</v>
      </c>
      <c r="Q63" s="50">
        <f t="shared" si="10"/>
        <v>0.99991667816270957</v>
      </c>
      <c r="R63" s="50">
        <f t="shared" si="11"/>
        <v>8.332183729046626E-5</v>
      </c>
      <c r="S63" s="51">
        <f>IF(R63&lt;Interface!$B$21,R63,0)</f>
        <v>8.332183729046626E-5</v>
      </c>
    </row>
    <row r="64" spans="1:19">
      <c r="A64" s="39"/>
      <c r="B64" s="39"/>
      <c r="C64" s="89"/>
      <c r="D64" s="89"/>
      <c r="E64" s="39"/>
      <c r="F64" s="46">
        <v>63</v>
      </c>
      <c r="G64" s="47">
        <f t="shared" si="12"/>
        <v>0.80495675951686108</v>
      </c>
      <c r="H64" s="47">
        <f t="shared" si="13"/>
        <v>1.9959422376638223E-4</v>
      </c>
      <c r="I64" s="47">
        <f t="shared" si="14"/>
        <v>2.8643882312957081E-5</v>
      </c>
      <c r="J64" s="47">
        <f t="shared" si="15"/>
        <v>9.9489037693095167E-2</v>
      </c>
      <c r="K64" s="47">
        <f t="shared" si="16"/>
        <v>9.5270742334678693E-2</v>
      </c>
      <c r="L64" s="47">
        <f t="shared" si="17"/>
        <v>2.8209204122165528E-5</v>
      </c>
      <c r="M64" s="47">
        <f t="shared" si="18"/>
        <v>2.7013145163587294E-5</v>
      </c>
      <c r="N64" s="48">
        <f t="shared" si="7"/>
        <v>1</v>
      </c>
      <c r="O64" s="49">
        <f t="shared" si="8"/>
        <v>0.19475978002777386</v>
      </c>
      <c r="P64" s="49">
        <f t="shared" si="9"/>
        <v>5.5222349285752821E-5</v>
      </c>
      <c r="Q64" s="50">
        <f t="shared" si="10"/>
        <v>0.99991613376840127</v>
      </c>
      <c r="R64" s="50">
        <f t="shared" si="11"/>
        <v>8.3866231598709896E-5</v>
      </c>
      <c r="S64" s="51">
        <f>IF(R64&lt;Interface!$B$21,R64,0)</f>
        <v>8.3866231598709896E-5</v>
      </c>
    </row>
    <row r="65" spans="1:19">
      <c r="A65" s="39"/>
      <c r="B65" s="39"/>
      <c r="C65" s="89"/>
      <c r="D65" s="89"/>
      <c r="E65" s="39"/>
      <c r="F65" s="46">
        <v>64</v>
      </c>
      <c r="G65" s="47">
        <f t="shared" si="12"/>
        <v>0.8080586690892686</v>
      </c>
      <c r="H65" s="47">
        <f t="shared" si="13"/>
        <v>2.0354419109112689E-4</v>
      </c>
      <c r="I65" s="47">
        <f t="shared" si="14"/>
        <v>2.9210744404730047E-5</v>
      </c>
      <c r="J65" s="47">
        <f t="shared" si="15"/>
        <v>9.9872419775078131E-2</v>
      </c>
      <c r="K65" s="47">
        <f t="shared" si="16"/>
        <v>9.1780951955860265E-2</v>
      </c>
      <c r="L65" s="47">
        <f t="shared" si="17"/>
        <v>2.8767463937690176E-5</v>
      </c>
      <c r="M65" s="47">
        <f t="shared" si="18"/>
        <v>2.6436780359415493E-5</v>
      </c>
      <c r="N65" s="48">
        <f t="shared" si="7"/>
        <v>0.99999999999999989</v>
      </c>
      <c r="O65" s="49">
        <f t="shared" si="8"/>
        <v>0.19165337173093838</v>
      </c>
      <c r="P65" s="49">
        <f t="shared" si="9"/>
        <v>5.5204244297105666E-5</v>
      </c>
      <c r="Q65" s="50">
        <f t="shared" si="10"/>
        <v>0.99991558501129807</v>
      </c>
      <c r="R65" s="50">
        <f t="shared" si="11"/>
        <v>8.4414988701835716E-5</v>
      </c>
      <c r="S65" s="51">
        <f>IF(R65&lt;Interface!$B$21,R65,0)</f>
        <v>8.4414988701835716E-5</v>
      </c>
    </row>
    <row r="66" spans="1:19">
      <c r="A66" s="39"/>
      <c r="B66" s="39"/>
      <c r="C66" s="89"/>
      <c r="D66" s="89"/>
      <c r="E66" s="39"/>
      <c r="F66" s="46">
        <v>65</v>
      </c>
      <c r="G66" s="47">
        <f t="shared" ref="G66:G97" si="19">p.delivery*(1-(1-p.conception)^F66)*(1-alpha)^F66</f>
        <v>0.81104680831783027</v>
      </c>
      <c r="H66" s="47">
        <f t="shared" ref="H66:H101" si="20" xml:space="preserve"> p.delivery*(1-h.mtctx*p.mtct)*(1-(1-p.conception)^F66)*(1-(1-alpha)^F66)</f>
        <v>2.0748948761558139E-4</v>
      </c>
      <c r="I66" s="47">
        <f t="shared" ref="I66:I101" si="21">p.delivery*(h.mtctx*p.mtct)*(1-(1-p.conception)^F66)*(1-(1-alpha)^F66)</f>
        <v>2.9776936187256106E-5</v>
      </c>
      <c r="J66" s="47">
        <f t="shared" ref="J66:J101" si="22">(1-p.delivery)*(1-(1-p.conception)^F66)*(1-alpha)^F66</f>
        <v>0.10024174035388912</v>
      </c>
      <c r="K66" s="47">
        <f t="shared" ref="K66:K101" si="23">((1-p.conception)^F66)*(1-alpha)^F66</f>
        <v>8.8418993444304039E-2</v>
      </c>
      <c r="L66" s="47">
        <f t="shared" ref="L66:L101" si="24">(1-p.delivery)*(1-(1-p.conception)^F66)*(1-(1-alpha)^F66)</f>
        <v>2.9325063616081036E-5</v>
      </c>
      <c r="M66" s="47">
        <f t="shared" ref="M66:M101" si="25">(1-p.conception)^F66*(1-(1-alpha)^F66)</f>
        <v>2.5866396557663818E-5</v>
      </c>
      <c r="N66" s="48">
        <f t="shared" si="7"/>
        <v>1</v>
      </c>
      <c r="O66" s="49">
        <f t="shared" si="8"/>
        <v>0.18866073379819315</v>
      </c>
      <c r="P66" s="49">
        <f t="shared" si="9"/>
        <v>5.5191460173744854E-5</v>
      </c>
      <c r="Q66" s="50">
        <f t="shared" si="10"/>
        <v>0.99991503160363904</v>
      </c>
      <c r="R66" s="50">
        <f t="shared" si="11"/>
        <v>8.4968396361000963E-5</v>
      </c>
      <c r="S66" s="51">
        <f>IF(R66&lt;Interface!$B$21,R66,0)</f>
        <v>8.4968396361000963E-5</v>
      </c>
    </row>
    <row r="67" spans="1:19">
      <c r="A67" s="39"/>
      <c r="B67" s="39"/>
      <c r="C67" s="89"/>
      <c r="D67" s="89"/>
      <c r="E67" s="39"/>
      <c r="F67" s="46">
        <v>66</v>
      </c>
      <c r="G67" s="47">
        <f t="shared" si="19"/>
        <v>0.8139253446384711</v>
      </c>
      <c r="H67" s="47">
        <f t="shared" si="20"/>
        <v>2.1142985251818822E-4</v>
      </c>
      <c r="I67" s="47">
        <f t="shared" si="21"/>
        <v>3.0342420229882927E-5</v>
      </c>
      <c r="J67" s="47">
        <f t="shared" si="22"/>
        <v>0.10059751450587842</v>
      </c>
      <c r="K67" s="47">
        <f t="shared" si="23"/>
        <v>8.5180184287734453E-2</v>
      </c>
      <c r="L67" s="47">
        <f t="shared" si="24"/>
        <v>2.9881966294705419E-5</v>
      </c>
      <c r="M67" s="47">
        <f t="shared" si="25"/>
        <v>2.5302328873285819E-5</v>
      </c>
      <c r="N67" s="48">
        <f t="shared" ref="N67:N101" si="26">SUM(G67:M67)</f>
        <v>1</v>
      </c>
      <c r="O67" s="49">
        <f t="shared" ref="O67:O101" si="27">SUM(J67:K67)</f>
        <v>0.18577769879361289</v>
      </c>
      <c r="P67" s="49">
        <f t="shared" ref="P67:P101" si="28">SUM(L67:M67)</f>
        <v>5.5184295167991237E-5</v>
      </c>
      <c r="Q67" s="50">
        <f t="shared" ref="Q67:Q101" si="29">O67+H67+G67</f>
        <v>0.99991447328460215</v>
      </c>
      <c r="R67" s="50">
        <f t="shared" ref="R67:R101" si="30">P67+I67</f>
        <v>8.5526715397874167E-5</v>
      </c>
      <c r="S67" s="51">
        <f>IF(R67&lt;Interface!$B$21,R67,0)</f>
        <v>8.5526715397874167E-5</v>
      </c>
    </row>
    <row r="68" spans="1:19">
      <c r="A68" s="39"/>
      <c r="B68" s="39"/>
      <c r="C68" s="89"/>
      <c r="D68" s="89"/>
      <c r="E68" s="39"/>
      <c r="F68" s="46">
        <v>67</v>
      </c>
      <c r="G68" s="47">
        <f t="shared" si="19"/>
        <v>0.81669829283292839</v>
      </c>
      <c r="H68" s="47">
        <f t="shared" si="20"/>
        <v>2.1536505032938093E-4</v>
      </c>
      <c r="I68" s="47">
        <f t="shared" si="21"/>
        <v>3.0907162740237059E-5</v>
      </c>
      <c r="J68" s="47">
        <f t="shared" si="22"/>
        <v>0.10094023844002484</v>
      </c>
      <c r="K68" s="47">
        <f t="shared" si="23"/>
        <v>8.2060013495435402E-2</v>
      </c>
      <c r="L68" s="47">
        <f t="shared" si="24"/>
        <v>3.0438138693997726E-5</v>
      </c>
      <c r="M68" s="47">
        <f t="shared" si="25"/>
        <v>2.4744879847787024E-5</v>
      </c>
      <c r="N68" s="48">
        <f t="shared" si="26"/>
        <v>1</v>
      </c>
      <c r="O68" s="49">
        <f t="shared" si="27"/>
        <v>0.18300025193546024</v>
      </c>
      <c r="P68" s="49">
        <f t="shared" si="28"/>
        <v>5.5183018541784749E-5</v>
      </c>
      <c r="Q68" s="50">
        <f t="shared" si="29"/>
        <v>0.99991390981871797</v>
      </c>
      <c r="R68" s="50">
        <f t="shared" si="30"/>
        <v>8.6090181282021808E-5</v>
      </c>
      <c r="S68" s="51">
        <f>IF(R68&lt;Interface!$B$21,R68,0)</f>
        <v>8.6090181282021808E-5</v>
      </c>
    </row>
    <row r="69" spans="1:19">
      <c r="A69" s="39"/>
      <c r="B69" s="39"/>
      <c r="C69" s="89"/>
      <c r="D69" s="89"/>
      <c r="E69" s="39"/>
      <c r="F69" s="46">
        <v>68</v>
      </c>
      <c r="G69" s="47">
        <f t="shared" si="19"/>
        <v>0.81936952062051138</v>
      </c>
      <c r="H69" s="47">
        <f t="shared" si="20"/>
        <v>2.1929486942454896E-4</v>
      </c>
      <c r="I69" s="47">
        <f t="shared" si="21"/>
        <v>3.1471133347948424E-5</v>
      </c>
      <c r="J69" s="47">
        <f t="shared" si="22"/>
        <v>0.10127039018905196</v>
      </c>
      <c r="K69" s="47">
        <f t="shared" si="23"/>
        <v>7.9054135315373822E-2</v>
      </c>
      <c r="L69" s="47">
        <f t="shared" si="24"/>
        <v>3.0993550904465966E-5</v>
      </c>
      <c r="M69" s="47">
        <f t="shared" si="25"/>
        <v>2.4194321385862102E-5</v>
      </c>
      <c r="N69" s="48">
        <f t="shared" si="26"/>
        <v>0.99999999999999989</v>
      </c>
      <c r="O69" s="49">
        <f t="shared" si="27"/>
        <v>0.18032452550442579</v>
      </c>
      <c r="P69" s="49">
        <f t="shared" si="28"/>
        <v>5.5187872290328068E-5</v>
      </c>
      <c r="Q69" s="50">
        <f t="shared" si="29"/>
        <v>0.99991334099436169</v>
      </c>
      <c r="R69" s="50">
        <f t="shared" si="30"/>
        <v>8.6659005638276492E-5</v>
      </c>
      <c r="S69" s="51">
        <f>IF(R69&lt;Interface!$B$21,R69,0)</f>
        <v>8.6659005638276492E-5</v>
      </c>
    </row>
    <row r="70" spans="1:19">
      <c r="A70" s="39"/>
      <c r="B70" s="39"/>
      <c r="C70" s="89"/>
      <c r="D70" s="89"/>
      <c r="E70" s="39"/>
      <c r="F70" s="46">
        <v>69</v>
      </c>
      <c r="G70" s="47">
        <f t="shared" si="19"/>
        <v>0.82194275404503392</v>
      </c>
      <c r="H70" s="47">
        <f t="shared" si="20"/>
        <v>2.2321912059293237E-4</v>
      </c>
      <c r="I70" s="47">
        <f t="shared" si="21"/>
        <v>3.20343048992716E-5</v>
      </c>
      <c r="J70" s="47">
        <f t="shared" si="22"/>
        <v>0.10158843027522889</v>
      </c>
      <c r="K70" s="47">
        <f t="shared" si="23"/>
        <v>7.6158363181466779E-2</v>
      </c>
      <c r="L70" s="47">
        <f t="shared" si="24"/>
        <v>3.15481761844297E-5</v>
      </c>
      <c r="M70" s="47">
        <f t="shared" si="25"/>
        <v>2.3650896593807857E-5</v>
      </c>
      <c r="N70" s="48">
        <f t="shared" si="26"/>
        <v>1</v>
      </c>
      <c r="O70" s="49">
        <f t="shared" si="27"/>
        <v>0.17774679345669567</v>
      </c>
      <c r="P70" s="49">
        <f t="shared" si="28"/>
        <v>5.5199072778237556E-5</v>
      </c>
      <c r="Q70" s="50">
        <f t="shared" si="29"/>
        <v>0.99991276662232254</v>
      </c>
      <c r="R70" s="50">
        <f t="shared" si="30"/>
        <v>8.723337767750915E-5</v>
      </c>
      <c r="S70" s="51">
        <f>IF(R70&lt;Interface!$B$21,R70,0)</f>
        <v>8.723337767750915E-5</v>
      </c>
    </row>
    <row r="71" spans="1:19">
      <c r="A71" s="39"/>
      <c r="B71" s="39"/>
      <c r="C71" s="89"/>
      <c r="D71" s="89"/>
      <c r="E71" s="39"/>
      <c r="F71" s="46">
        <v>70</v>
      </c>
      <c r="G71" s="47">
        <f t="shared" si="19"/>
        <v>0.82442158266442189</v>
      </c>
      <c r="H71" s="47">
        <f t="shared" si="20"/>
        <v>2.2713763567950147E-4</v>
      </c>
      <c r="I71" s="47">
        <f t="shared" si="21"/>
        <v>3.2596653262181177E-5</v>
      </c>
      <c r="J71" s="47">
        <f t="shared" si="22"/>
        <v>0.10189480235178247</v>
      </c>
      <c r="K71" s="47">
        <f t="shared" si="23"/>
        <v>7.3368663882561497E-2</v>
      </c>
      <c r="L71" s="47">
        <f t="shared" si="24"/>
        <v>3.2101990768073137E-5</v>
      </c>
      <c r="M71" s="47">
        <f t="shared" si="25"/>
        <v>2.3114821524384147E-5</v>
      </c>
      <c r="N71" s="48">
        <f t="shared" si="26"/>
        <v>1</v>
      </c>
      <c r="O71" s="49">
        <f t="shared" si="27"/>
        <v>0.17526346623434397</v>
      </c>
      <c r="P71" s="49">
        <f t="shared" si="28"/>
        <v>5.5216812292457284E-5</v>
      </c>
      <c r="Q71" s="50">
        <f t="shared" si="29"/>
        <v>0.99991218653444536</v>
      </c>
      <c r="R71" s="50">
        <f t="shared" si="30"/>
        <v>8.7813465554638468E-5</v>
      </c>
      <c r="S71" s="51">
        <f>IF(R71&lt;Interface!$B$21,R71,0)</f>
        <v>8.7813465554638468E-5</v>
      </c>
    </row>
    <row r="72" spans="1:19">
      <c r="A72" s="39"/>
      <c r="B72" s="39"/>
      <c r="C72" s="89"/>
      <c r="D72" s="89"/>
      <c r="E72" s="39"/>
      <c r="F72" s="46">
        <v>71</v>
      </c>
      <c r="G72" s="47">
        <f t="shared" si="19"/>
        <v>0.82680946455022464</v>
      </c>
      <c r="H72" s="47">
        <f t="shared" si="20"/>
        <v>2.3105026629665059E-4</v>
      </c>
      <c r="I72" s="47">
        <f t="shared" si="21"/>
        <v>3.315815714148616E-5</v>
      </c>
      <c r="J72" s="47">
        <f t="shared" si="22"/>
        <v>0.10218993382081426</v>
      </c>
      <c r="K72" s="47">
        <f t="shared" si="23"/>
        <v>7.0681151945007042E-2</v>
      </c>
      <c r="L72" s="47">
        <f t="shared" si="24"/>
        <v>3.2654973683365214E-5</v>
      </c>
      <c r="M72" s="47">
        <f t="shared" si="25"/>
        <v>2.2586286832529743E-5</v>
      </c>
      <c r="N72" s="48">
        <f t="shared" si="26"/>
        <v>0.99999999999999989</v>
      </c>
      <c r="O72" s="49">
        <f t="shared" si="27"/>
        <v>0.1728710857658213</v>
      </c>
      <c r="P72" s="49">
        <f t="shared" si="28"/>
        <v>5.5241260515894957E-5</v>
      </c>
      <c r="Q72" s="50">
        <f t="shared" si="29"/>
        <v>0.99991160058234263</v>
      </c>
      <c r="R72" s="50">
        <f t="shared" si="30"/>
        <v>8.8399417657381111E-5</v>
      </c>
      <c r="S72" s="51">
        <f>IF(R72&lt;Interface!$B$21,R72,0)</f>
        <v>8.8399417657381111E-5</v>
      </c>
    </row>
    <row r="73" spans="1:19">
      <c r="A73" s="39"/>
      <c r="B73" s="39"/>
      <c r="C73" s="89"/>
      <c r="D73" s="89"/>
      <c r="E73" s="39"/>
      <c r="F73" s="46">
        <v>72</v>
      </c>
      <c r="G73" s="47">
        <f t="shared" si="19"/>
        <v>0.82910973110399233</v>
      </c>
      <c r="H73" s="47">
        <f t="shared" si="20"/>
        <v>2.34956882601726E-4</v>
      </c>
      <c r="I73" s="47">
        <f t="shared" si="21"/>
        <v>3.3718797903392356E-5</v>
      </c>
      <c r="J73" s="47">
        <f t="shared" si="22"/>
        <v>0.10247423642858332</v>
      </c>
      <c r="K73" s="47">
        <f t="shared" si="23"/>
        <v>6.8092084220993915E-2</v>
      </c>
      <c r="L73" s="47">
        <f t="shared" si="24"/>
        <v>3.3207106579284287E-5</v>
      </c>
      <c r="M73" s="47">
        <f t="shared" si="25"/>
        <v>2.2065459346047323E-5</v>
      </c>
      <c r="N73" s="48">
        <f t="shared" si="26"/>
        <v>1</v>
      </c>
      <c r="O73" s="49">
        <f t="shared" si="27"/>
        <v>0.17056632064957722</v>
      </c>
      <c r="P73" s="49">
        <f t="shared" si="28"/>
        <v>5.527256592533161E-5</v>
      </c>
      <c r="Q73" s="50">
        <f t="shared" si="29"/>
        <v>0.99991100863617133</v>
      </c>
      <c r="R73" s="50">
        <f t="shared" si="30"/>
        <v>8.8991363828723973E-5</v>
      </c>
      <c r="S73" s="51">
        <f>IF(R73&lt;Interface!$B$21,R73,0)</f>
        <v>8.8991363828723973E-5</v>
      </c>
    </row>
    <row r="74" spans="1:19">
      <c r="A74" s="39"/>
      <c r="B74" s="39"/>
      <c r="C74" s="89"/>
      <c r="D74" s="89"/>
      <c r="E74" s="39"/>
      <c r="F74" s="46">
        <v>73</v>
      </c>
      <c r="G74" s="47">
        <f t="shared" si="19"/>
        <v>0.83132559169722919</v>
      </c>
      <c r="H74" s="47">
        <f t="shared" si="20"/>
        <v>2.3885737213718362E-4</v>
      </c>
      <c r="I74" s="47">
        <f t="shared" si="21"/>
        <v>3.4278559409052649E-5</v>
      </c>
      <c r="J74" s="47">
        <f t="shared" si="22"/>
        <v>0.10274810683898336</v>
      </c>
      <c r="K74" s="47">
        <f t="shared" si="23"/>
        <v>6.5597854675123995E-2</v>
      </c>
      <c r="L74" s="47">
        <f t="shared" si="24"/>
        <v>3.375837356189436E-5</v>
      </c>
      <c r="M74" s="47">
        <f t="shared" si="25"/>
        <v>2.1552483555263969E-5</v>
      </c>
      <c r="N74" s="48">
        <f t="shared" si="26"/>
        <v>1</v>
      </c>
      <c r="O74" s="49">
        <f t="shared" si="27"/>
        <v>0.16834596151410736</v>
      </c>
      <c r="P74" s="49">
        <f t="shared" si="28"/>
        <v>5.5310857117158333E-5</v>
      </c>
      <c r="Q74" s="50">
        <f t="shared" si="29"/>
        <v>0.99991041058347374</v>
      </c>
      <c r="R74" s="50">
        <f t="shared" si="30"/>
        <v>8.9589416526210982E-5</v>
      </c>
      <c r="S74" s="51">
        <f>IF(R74&lt;Interface!$B$21,R74,0)</f>
        <v>8.9589416526210982E-5</v>
      </c>
    </row>
    <row r="75" spans="1:19">
      <c r="A75" s="39"/>
      <c r="B75" s="39"/>
      <c r="C75" s="89"/>
      <c r="D75" s="89"/>
      <c r="E75" s="39"/>
      <c r="F75" s="46">
        <v>74</v>
      </c>
      <c r="G75" s="47">
        <f t="shared" si="19"/>
        <v>0.83346013814138387</v>
      </c>
      <c r="H75" s="47">
        <f t="shared" si="20"/>
        <v>2.4275163873136333E-4</v>
      </c>
      <c r="I75" s="47">
        <f t="shared" si="21"/>
        <v>3.4837427856816578E-5</v>
      </c>
      <c r="J75" s="47">
        <f t="shared" si="22"/>
        <v>0.10301192718601372</v>
      </c>
      <c r="K75" s="47">
        <f t="shared" si="23"/>
        <v>6.3194989361949588E-2</v>
      </c>
      <c r="L75" s="47">
        <f t="shared" si="24"/>
        <v>3.4308761038988519E-5</v>
      </c>
      <c r="M75" s="47">
        <f t="shared" si="25"/>
        <v>2.1047483025586244E-5</v>
      </c>
      <c r="N75" s="48">
        <f t="shared" si="26"/>
        <v>0.99999999999999978</v>
      </c>
      <c r="O75" s="49">
        <f t="shared" si="27"/>
        <v>0.16620691654796332</v>
      </c>
      <c r="P75" s="49">
        <f t="shared" si="28"/>
        <v>5.535624406457476E-5</v>
      </c>
      <c r="Q75" s="50">
        <f t="shared" si="29"/>
        <v>0.99990980632807858</v>
      </c>
      <c r="R75" s="50">
        <f t="shared" si="30"/>
        <v>9.0193671921391338E-5</v>
      </c>
      <c r="S75" s="51">
        <f>IF(R75&lt;Interface!$B$21,R75,0)</f>
        <v>9.0193671921391338E-5</v>
      </c>
    </row>
    <row r="76" spans="1:19">
      <c r="A76" s="39"/>
      <c r="B76" s="39"/>
      <c r="C76" s="89"/>
      <c r="D76" s="89"/>
      <c r="E76" s="39"/>
      <c r="F76" s="46">
        <v>75</v>
      </c>
      <c r="G76" s="47">
        <f t="shared" si="19"/>
        <v>0.83551634899410199</v>
      </c>
      <c r="H76" s="47">
        <f t="shared" si="20"/>
        <v>2.4663960145664013E-4</v>
      </c>
      <c r="I76" s="47">
        <f t="shared" si="21"/>
        <v>3.5395391632713932E-5</v>
      </c>
      <c r="J76" s="47">
        <f t="shared" si="22"/>
        <v>0.10326606560601259</v>
      </c>
      <c r="K76" s="47">
        <f t="shared" si="23"/>
        <v>6.0880141587486669E-2</v>
      </c>
      <c r="L76" s="47">
        <f t="shared" si="24"/>
        <v>3.4858257572841505E-5</v>
      </c>
      <c r="M76" s="47">
        <f t="shared" si="25"/>
        <v>2.0550561736556642E-5</v>
      </c>
      <c r="N76" s="48">
        <f t="shared" si="26"/>
        <v>1</v>
      </c>
      <c r="O76" s="49">
        <f t="shared" si="27"/>
        <v>0.16414620719349926</v>
      </c>
      <c r="P76" s="49">
        <f t="shared" si="28"/>
        <v>5.5408819309398146E-5</v>
      </c>
      <c r="Q76" s="50">
        <f t="shared" si="29"/>
        <v>0.9999091957890579</v>
      </c>
      <c r="R76" s="50">
        <f t="shared" si="30"/>
        <v>9.0804210942112078E-5</v>
      </c>
      <c r="S76" s="51">
        <f>IF(R76&lt;Interface!$B$21,R76,0)</f>
        <v>9.0804210942112078E-5</v>
      </c>
    </row>
    <row r="77" spans="1:19">
      <c r="A77" s="39"/>
      <c r="B77" s="39"/>
      <c r="C77" s="89"/>
      <c r="D77" s="89"/>
      <c r="E77" s="39"/>
      <c r="F77" s="46">
        <v>76</v>
      </c>
      <c r="G77" s="47">
        <f t="shared" si="19"/>
        <v>0.83749709370774084</v>
      </c>
      <c r="H77" s="47">
        <f t="shared" si="20"/>
        <v>2.5052119364142562E-4</v>
      </c>
      <c r="I77" s="47">
        <f t="shared" si="21"/>
        <v>3.5952441168666571E-5</v>
      </c>
      <c r="J77" s="47">
        <f t="shared" si="22"/>
        <v>0.10351087675039491</v>
      </c>
      <c r="K77" s="47">
        <f t="shared" si="23"/>
        <v>5.8650087247962772E-2</v>
      </c>
      <c r="L77" s="47">
        <f t="shared" si="24"/>
        <v>3.5406853740573184E-5</v>
      </c>
      <c r="M77" s="47">
        <f t="shared" si="25"/>
        <v>2.0061805350832866E-5</v>
      </c>
      <c r="N77" s="48">
        <f t="shared" si="26"/>
        <v>1</v>
      </c>
      <c r="O77" s="49">
        <f t="shared" si="27"/>
        <v>0.16216096399835769</v>
      </c>
      <c r="P77" s="49">
        <f t="shared" si="28"/>
        <v>5.546865909140605E-5</v>
      </c>
      <c r="Q77" s="50">
        <f t="shared" si="29"/>
        <v>0.99990857889973994</v>
      </c>
      <c r="R77" s="50">
        <f t="shared" si="30"/>
        <v>9.1421100260072628E-5</v>
      </c>
      <c r="S77" s="51">
        <f>IF(R77&lt;Interface!$B$21,R77,0)</f>
        <v>9.1421100260072628E-5</v>
      </c>
    </row>
    <row r="78" spans="1:19">
      <c r="A78" s="39"/>
      <c r="B78" s="39"/>
      <c r="C78" s="89"/>
      <c r="D78" s="89"/>
      <c r="E78" s="39"/>
      <c r="F78" s="46">
        <v>77</v>
      </c>
      <c r="G78" s="47">
        <f t="shared" si="19"/>
        <v>0.83940513662592242</v>
      </c>
      <c r="H78" s="47">
        <f t="shared" si="20"/>
        <v>2.5439636193455573E-4</v>
      </c>
      <c r="I78" s="47">
        <f t="shared" si="21"/>
        <v>3.6508568808218114E-5</v>
      </c>
      <c r="J78" s="47">
        <f t="shared" si="22"/>
        <v>0.10374670227960837</v>
      </c>
      <c r="K78" s="47">
        <f t="shared" si="23"/>
        <v>5.6501720339307983E-2</v>
      </c>
      <c r="L78" s="47">
        <f t="shared" si="24"/>
        <v>3.5954542001915864E-5</v>
      </c>
      <c r="M78" s="47">
        <f t="shared" si="25"/>
        <v>1.9581282416525032E-5</v>
      </c>
      <c r="N78" s="48">
        <f t="shared" si="26"/>
        <v>1</v>
      </c>
      <c r="O78" s="49">
        <f t="shared" si="27"/>
        <v>0.16024842261891636</v>
      </c>
      <c r="P78" s="49">
        <f t="shared" si="28"/>
        <v>5.5535824418440893E-5</v>
      </c>
      <c r="Q78" s="50">
        <f t="shared" si="29"/>
        <v>0.99990795560677337</v>
      </c>
      <c r="R78" s="50">
        <f t="shared" si="30"/>
        <v>9.2044393226659E-5</v>
      </c>
      <c r="S78" s="51">
        <f>IF(R78&lt;Interface!$B$21,R78,0)</f>
        <v>9.2044393226659E-5</v>
      </c>
    </row>
    <row r="79" spans="1:19">
      <c r="A79" s="39"/>
      <c r="B79" s="39"/>
      <c r="C79" s="89"/>
      <c r="D79" s="89"/>
      <c r="E79" s="39"/>
      <c r="F79" s="46">
        <v>78</v>
      </c>
      <c r="G79" s="47">
        <f t="shared" si="19"/>
        <v>0.84124314083369245</v>
      </c>
      <c r="H79" s="47">
        <f t="shared" si="20"/>
        <v>2.5826506541861576E-4</v>
      </c>
      <c r="I79" s="47">
        <f t="shared" si="21"/>
        <v>3.7063768679286761E-5</v>
      </c>
      <c r="J79" s="47">
        <f t="shared" si="22"/>
        <v>0.10397387133899567</v>
      </c>
      <c r="K79" s="47">
        <f t="shared" si="23"/>
        <v>5.4432048631134128E-2</v>
      </c>
      <c r="L79" s="47">
        <f t="shared" si="24"/>
        <v>3.6501316573898059E-5</v>
      </c>
      <c r="M79" s="47">
        <f t="shared" si="25"/>
        <v>1.9109045505990224E-5</v>
      </c>
      <c r="N79" s="48">
        <f t="shared" si="26"/>
        <v>1</v>
      </c>
      <c r="O79" s="49">
        <f t="shared" si="27"/>
        <v>0.15840591997012982</v>
      </c>
      <c r="P79" s="49">
        <f t="shared" si="28"/>
        <v>5.561036207988828E-5</v>
      </c>
      <c r="Q79" s="50">
        <f t="shared" si="29"/>
        <v>0.99990732586924091</v>
      </c>
      <c r="R79" s="50">
        <f t="shared" si="30"/>
        <v>9.2674130759175041E-5</v>
      </c>
      <c r="S79" s="51">
        <f>IF(R79&lt;Interface!$B$21,R79,0)</f>
        <v>9.2674130759175041E-5</v>
      </c>
    </row>
    <row r="80" spans="1:19">
      <c r="A80" s="39"/>
      <c r="B80" s="39"/>
      <c r="C80" s="89"/>
      <c r="D80" s="89"/>
      <c r="E80" s="39"/>
      <c r="F80" s="46">
        <v>79</v>
      </c>
      <c r="G80" s="47">
        <f t="shared" si="19"/>
        <v>0.84301367186664566</v>
      </c>
      <c r="H80" s="47">
        <f t="shared" si="20"/>
        <v>2.6212727477097536E-4</v>
      </c>
      <c r="I80" s="47">
        <f t="shared" si="21"/>
        <v>3.7618036573764902E-5</v>
      </c>
      <c r="J80" s="47">
        <f t="shared" si="22"/>
        <v>0.10419270101722584</v>
      </c>
      <c r="K80" s="47">
        <f t="shared" si="23"/>
        <v>5.2438189499177307E-2</v>
      </c>
      <c r="L80" s="47">
        <f t="shared" si="24"/>
        <v>3.7047173312271259E-5</v>
      </c>
      <c r="M80" s="47">
        <f t="shared" si="25"/>
        <v>1.86451322942148E-5</v>
      </c>
      <c r="N80" s="48">
        <f t="shared" si="26"/>
        <v>1</v>
      </c>
      <c r="O80" s="49">
        <f t="shared" si="27"/>
        <v>0.15663089051640317</v>
      </c>
      <c r="P80" s="49">
        <f t="shared" si="28"/>
        <v>5.5692305606486062E-5</v>
      </c>
      <c r="Q80" s="50">
        <f t="shared" si="29"/>
        <v>0.99990668965781981</v>
      </c>
      <c r="R80" s="50">
        <f t="shared" si="30"/>
        <v>9.3310342180250971E-5</v>
      </c>
      <c r="S80" s="51">
        <f>IF(R80&lt;Interface!$B$21,R80,0)</f>
        <v>9.3310342180250971E-5</v>
      </c>
    </row>
    <row r="81" spans="1:19">
      <c r="A81" s="39"/>
      <c r="B81" s="39"/>
      <c r="C81" s="89"/>
      <c r="D81" s="89"/>
      <c r="E81" s="39"/>
      <c r="F81" s="46">
        <v>80</v>
      </c>
      <c r="G81" s="47">
        <f t="shared" si="19"/>
        <v>0.84471920128418621</v>
      </c>
      <c r="H81" s="47">
        <f t="shared" si="20"/>
        <v>2.6598297146946596E-4</v>
      </c>
      <c r="I81" s="47">
        <f t="shared" si="21"/>
        <v>3.8171369833525415E-5</v>
      </c>
      <c r="J81" s="47">
        <f t="shared" si="22"/>
        <v>0.10440349678793311</v>
      </c>
      <c r="K81" s="47">
        <f t="shared" si="23"/>
        <v>5.0517365910398834E-2</v>
      </c>
      <c r="L81" s="47">
        <f t="shared" si="24"/>
        <v>3.7592109599246117E-5</v>
      </c>
      <c r="M81" s="47">
        <f t="shared" si="25"/>
        <v>1.8189566579616941E-5</v>
      </c>
      <c r="N81" s="48">
        <f t="shared" si="26"/>
        <v>1</v>
      </c>
      <c r="O81" s="49">
        <f t="shared" si="27"/>
        <v>0.15492086269833194</v>
      </c>
      <c r="P81" s="49">
        <f t="shared" si="28"/>
        <v>5.5781676178863058E-5</v>
      </c>
      <c r="Q81" s="50">
        <f t="shared" si="29"/>
        <v>0.99990604695398755</v>
      </c>
      <c r="R81" s="50">
        <f t="shared" si="30"/>
        <v>9.3953046012388479E-5</v>
      </c>
      <c r="S81" s="51">
        <f>IF(R81&lt;Interface!$B$21,R81,0)</f>
        <v>9.3953046012388479E-5</v>
      </c>
    </row>
    <row r="82" spans="1:19">
      <c r="A82" s="39"/>
      <c r="B82" s="39"/>
      <c r="C82" s="89"/>
      <c r="D82" s="89"/>
      <c r="E82" s="39"/>
      <c r="F82" s="46">
        <v>81</v>
      </c>
      <c r="G82" s="47">
        <f t="shared" si="19"/>
        <v>0.84636211011189844</v>
      </c>
      <c r="H82" s="47">
        <f t="shared" si="20"/>
        <v>2.6983214704012933E-4</v>
      </c>
      <c r="I82" s="47">
        <f t="shared" si="21"/>
        <v>3.8723767242465675E-5</v>
      </c>
      <c r="J82" s="47">
        <f t="shared" si="22"/>
        <v>0.10460655293517844</v>
      </c>
      <c r="K82" s="47">
        <f t="shared" si="23"/>
        <v>4.8666902555153338E-2</v>
      </c>
      <c r="L82" s="47">
        <f t="shared" si="24"/>
        <v>3.8136124237174654E-5</v>
      </c>
      <c r="M82" s="47">
        <f t="shared" si="25"/>
        <v>1.7742359250016468E-5</v>
      </c>
      <c r="N82" s="48">
        <f t="shared" si="26"/>
        <v>1</v>
      </c>
      <c r="O82" s="49">
        <f t="shared" si="27"/>
        <v>0.15327345549033178</v>
      </c>
      <c r="P82" s="49">
        <f t="shared" si="28"/>
        <v>5.5878483487191122E-5</v>
      </c>
      <c r="Q82" s="50">
        <f t="shared" si="29"/>
        <v>0.99990539774927034</v>
      </c>
      <c r="R82" s="50">
        <f t="shared" si="30"/>
        <v>9.460225072965679E-5</v>
      </c>
      <c r="S82" s="51">
        <f>IF(R82&lt;Interface!$B$21,R82,0)</f>
        <v>9.460225072965679E-5</v>
      </c>
    </row>
    <row r="83" spans="1:19">
      <c r="A83" s="39"/>
      <c r="B83" s="39"/>
      <c r="C83" s="89"/>
      <c r="D83" s="89"/>
      <c r="E83" s="39"/>
      <c r="F83" s="46">
        <v>82</v>
      </c>
      <c r="G83" s="47">
        <f t="shared" si="19"/>
        <v>0.84794469215782264</v>
      </c>
      <c r="H83" s="47">
        <f t="shared" si="20"/>
        <v>2.7367480234596095E-4</v>
      </c>
      <c r="I83" s="47">
        <f t="shared" si="21"/>
        <v>3.9275228924434652E-5</v>
      </c>
      <c r="J83" s="47">
        <f t="shared" si="22"/>
        <v>0.10480215296332639</v>
      </c>
      <c r="K83" s="47">
        <f t="shared" si="23"/>
        <v>4.6884222121036004E-2</v>
      </c>
      <c r="L83" s="47">
        <f t="shared" si="24"/>
        <v>3.8679217348026418E-5</v>
      </c>
      <c r="M83" s="47">
        <f t="shared" si="25"/>
        <v>1.7303509196488377E-5</v>
      </c>
      <c r="N83" s="48">
        <f t="shared" si="26"/>
        <v>1</v>
      </c>
      <c r="O83" s="49">
        <f t="shared" si="27"/>
        <v>0.15168637508436239</v>
      </c>
      <c r="P83" s="49">
        <f t="shared" si="28"/>
        <v>5.5982726544514798E-5</v>
      </c>
      <c r="Q83" s="50">
        <f t="shared" si="29"/>
        <v>0.99990474204453106</v>
      </c>
      <c r="R83" s="50">
        <f t="shared" si="30"/>
        <v>9.5257955468949442E-5</v>
      </c>
      <c r="S83" s="51">
        <f>IF(R83&lt;Interface!$B$21,R83,0)</f>
        <v>9.5257955468949442E-5</v>
      </c>
    </row>
    <row r="84" spans="1:19">
      <c r="A84" s="39"/>
      <c r="B84" s="39"/>
      <c r="C84" s="89"/>
      <c r="D84" s="89"/>
      <c r="E84" s="39"/>
      <c r="F84" s="46">
        <v>83</v>
      </c>
      <c r="G84" s="47">
        <f t="shared" si="19"/>
        <v>0.84946915720725469</v>
      </c>
      <c r="H84" s="47">
        <f t="shared" si="20"/>
        <v>2.7751094691468855E-4</v>
      </c>
      <c r="I84" s="47">
        <f t="shared" si="21"/>
        <v>3.9825756246762057E-5</v>
      </c>
      <c r="J84" s="47">
        <f t="shared" si="22"/>
        <v>0.10499056999190787</v>
      </c>
      <c r="K84" s="47">
        <f t="shared" si="23"/>
        <v>4.5166841703219954E-2</v>
      </c>
      <c r="L84" s="47">
        <f t="shared" si="24"/>
        <v>3.9221390278381528E-5</v>
      </c>
      <c r="M84" s="47">
        <f t="shared" si="25"/>
        <v>1.6873004177617161E-5</v>
      </c>
      <c r="N84" s="48">
        <f t="shared" si="26"/>
        <v>0.99999999999999978</v>
      </c>
      <c r="O84" s="49">
        <f t="shared" si="27"/>
        <v>0.15015741169512781</v>
      </c>
      <c r="P84" s="49">
        <f t="shared" si="28"/>
        <v>5.6094394455998689E-5</v>
      </c>
      <c r="Q84" s="50">
        <f t="shared" si="29"/>
        <v>0.99990407984929719</v>
      </c>
      <c r="R84" s="50">
        <f t="shared" si="30"/>
        <v>9.5920150702760753E-5</v>
      </c>
      <c r="S84" s="51">
        <f>IF(R84&lt;Interface!$B$21,R84,0)</f>
        <v>9.5920150702760753E-5</v>
      </c>
    </row>
    <row r="85" spans="1:19">
      <c r="A85" s="39"/>
      <c r="B85" s="39"/>
      <c r="C85" s="89"/>
      <c r="D85" s="89"/>
      <c r="E85" s="39"/>
      <c r="F85" s="46">
        <v>84</v>
      </c>
      <c r="G85" s="47">
        <f t="shared" si="19"/>
        <v>0.85093763410051948</v>
      </c>
      <c r="H85" s="47">
        <f t="shared" si="20"/>
        <v>2.8134059830255896E-4</v>
      </c>
      <c r="I85" s="47">
        <f t="shared" si="21"/>
        <v>4.0375351728955002E-5</v>
      </c>
      <c r="J85" s="47">
        <f t="shared" si="22"/>
        <v>0.10517206713601925</v>
      </c>
      <c r="K85" s="47">
        <f t="shared" si="23"/>
        <v>4.3512369346283809E-2</v>
      </c>
      <c r="L85" s="47">
        <f t="shared" si="24"/>
        <v>3.9762645509512958E-5</v>
      </c>
      <c r="M85" s="47">
        <f t="shared" si="25"/>
        <v>1.6450821636486929E-5</v>
      </c>
      <c r="N85" s="48">
        <f t="shared" si="26"/>
        <v>1</v>
      </c>
      <c r="O85" s="49">
        <f t="shared" si="27"/>
        <v>0.14868443648230306</v>
      </c>
      <c r="P85" s="49">
        <f t="shared" si="28"/>
        <v>5.6213467145999887E-5</v>
      </c>
      <c r="Q85" s="50">
        <f t="shared" si="29"/>
        <v>0.99990341118112513</v>
      </c>
      <c r="R85" s="50">
        <f t="shared" si="30"/>
        <v>9.6588818874954896E-5</v>
      </c>
      <c r="S85" s="51">
        <f>IF(R85&lt;Interface!$B$21,R85,0)</f>
        <v>9.6588818874954896E-5</v>
      </c>
    </row>
    <row r="86" spans="1:19">
      <c r="A86" s="39"/>
      <c r="B86" s="39"/>
      <c r="C86" s="89"/>
      <c r="D86" s="89"/>
      <c r="E86" s="39"/>
      <c r="F86" s="46">
        <v>85</v>
      </c>
      <c r="G86" s="47">
        <f t="shared" si="19"/>
        <v>0.85235217369800476</v>
      </c>
      <c r="H86" s="47">
        <f t="shared" si="20"/>
        <v>2.8516378149341063E-4</v>
      </c>
      <c r="I86" s="47">
        <f t="shared" si="21"/>
        <v>4.0924018956458578E-5</v>
      </c>
      <c r="J86" s="47">
        <f t="shared" si="22"/>
        <v>0.1053468978727871</v>
      </c>
      <c r="K86" s="47">
        <f t="shared" si="23"/>
        <v>4.1918500712712969E-2</v>
      </c>
      <c r="L86" s="47">
        <f t="shared" si="24"/>
        <v>4.0302986572455737E-5</v>
      </c>
      <c r="M86" s="47">
        <f t="shared" si="25"/>
        <v>1.6036929472779078E-5</v>
      </c>
      <c r="N86" s="48">
        <f t="shared" si="26"/>
        <v>1</v>
      </c>
      <c r="O86" s="49">
        <f t="shared" si="27"/>
        <v>0.14726539858550008</v>
      </c>
      <c r="P86" s="49">
        <f t="shared" si="28"/>
        <v>5.6339916045234815E-5</v>
      </c>
      <c r="Q86" s="50">
        <f t="shared" si="29"/>
        <v>0.99990273606499824</v>
      </c>
      <c r="R86" s="50">
        <f t="shared" si="30"/>
        <v>9.7263935001693386E-5</v>
      </c>
      <c r="S86" s="51">
        <f>IF(R86&lt;Interface!$B$21,R86,0)</f>
        <v>9.7263935001693386E-5</v>
      </c>
    </row>
    <row r="87" spans="1:19">
      <c r="A87" s="39"/>
      <c r="B87" s="39"/>
      <c r="C87" s="89"/>
      <c r="D87" s="89"/>
      <c r="E87" s="39"/>
      <c r="F87" s="46">
        <v>86</v>
      </c>
      <c r="G87" s="47">
        <f t="shared" si="19"/>
        <v>0.85371475173658584</v>
      </c>
      <c r="H87" s="47">
        <f t="shared" si="20"/>
        <v>2.8898052833116234E-4</v>
      </c>
      <c r="I87" s="47">
        <f t="shared" si="21"/>
        <v>4.1471762499211981E-5</v>
      </c>
      <c r="J87" s="47">
        <f t="shared" si="22"/>
        <v>0.10551530639440948</v>
      </c>
      <c r="K87" s="47">
        <f t="shared" si="23"/>
        <v>4.0383015873434368E-2</v>
      </c>
      <c r="L87" s="47">
        <f t="shared" si="24"/>
        <v>4.084241796779907E-5</v>
      </c>
      <c r="M87" s="47">
        <f t="shared" si="25"/>
        <v>1.5631286772157426E-5</v>
      </c>
      <c r="N87" s="48">
        <f t="shared" si="26"/>
        <v>1</v>
      </c>
      <c r="O87" s="49">
        <f t="shared" si="27"/>
        <v>0.14589832226784386</v>
      </c>
      <c r="P87" s="49">
        <f t="shared" si="28"/>
        <v>5.6473704739956496E-5</v>
      </c>
      <c r="Q87" s="50">
        <f t="shared" si="29"/>
        <v>0.99990205453276082</v>
      </c>
      <c r="R87" s="50">
        <f t="shared" si="30"/>
        <v>9.7945467239168469E-5</v>
      </c>
      <c r="S87" s="51">
        <f>IF(R87&lt;Interface!$B$21,R87,0)</f>
        <v>9.7945467239168469E-5</v>
      </c>
    </row>
    <row r="88" spans="1:19">
      <c r="A88" s="39"/>
      <c r="B88" s="39"/>
      <c r="C88" s="89"/>
      <c r="D88" s="89"/>
      <c r="E88" s="39"/>
      <c r="F88" s="46">
        <v>87</v>
      </c>
      <c r="G88" s="47">
        <f t="shared" si="19"/>
        <v>0.85502727158141689</v>
      </c>
      <c r="H88" s="47">
        <f t="shared" si="20"/>
        <v>2.9279087698359221E-4</v>
      </c>
      <c r="I88" s="47">
        <f t="shared" si="21"/>
        <v>4.2018587834695047E-5</v>
      </c>
      <c r="J88" s="47">
        <f t="shared" si="22"/>
        <v>0.105677527948265</v>
      </c>
      <c r="K88" s="47">
        <f t="shared" si="23"/>
        <v>3.8903776215914843E-2</v>
      </c>
      <c r="L88" s="47">
        <f t="shared" si="24"/>
        <v>4.1380945089900667E-5</v>
      </c>
      <c r="M88" s="47">
        <f t="shared" si="25"/>
        <v>1.5233844495006342E-5</v>
      </c>
      <c r="N88" s="48">
        <f t="shared" si="26"/>
        <v>1</v>
      </c>
      <c r="O88" s="49">
        <f t="shared" si="27"/>
        <v>0.14458130416417986</v>
      </c>
      <c r="P88" s="49">
        <f t="shared" si="28"/>
        <v>5.661478958490701E-5</v>
      </c>
      <c r="Q88" s="50">
        <f t="shared" si="29"/>
        <v>0.99990136662258033</v>
      </c>
      <c r="R88" s="50">
        <f t="shared" si="30"/>
        <v>9.8633377419602057E-5</v>
      </c>
      <c r="S88" s="51">
        <f>IF(R88&lt;Interface!$B$21,R88,0)</f>
        <v>9.8633377419602057E-5</v>
      </c>
    </row>
    <row r="89" spans="1:19">
      <c r="A89" s="39"/>
      <c r="B89" s="39"/>
      <c r="C89" s="89"/>
      <c r="D89" s="89"/>
      <c r="E89" s="39"/>
      <c r="F89" s="46">
        <v>88</v>
      </c>
      <c r="G89" s="47">
        <f t="shared" si="19"/>
        <v>0.85629156687692565</v>
      </c>
      <c r="H89" s="47">
        <f t="shared" si="20"/>
        <v>2.9659487143667972E-4</v>
      </c>
      <c r="I89" s="47">
        <f t="shared" si="21"/>
        <v>4.2564501275361126E-5</v>
      </c>
      <c r="J89" s="47">
        <f t="shared" si="22"/>
        <v>0.10583378916456383</v>
      </c>
      <c r="K89" s="47">
        <f t="shared" si="23"/>
        <v>3.7478721465516562E-2</v>
      </c>
      <c r="L89" s="47">
        <f t="shared" si="24"/>
        <v>4.1918574155420772E-5</v>
      </c>
      <c r="M89" s="47">
        <f t="shared" si="25"/>
        <v>1.4844546126565885E-5</v>
      </c>
      <c r="N89" s="48">
        <f t="shared" si="26"/>
        <v>1.0000000000000002</v>
      </c>
      <c r="O89" s="49">
        <f t="shared" si="27"/>
        <v>0.14331251063008038</v>
      </c>
      <c r="P89" s="49">
        <f t="shared" si="28"/>
        <v>5.6763120281986653E-5</v>
      </c>
      <c r="Q89" s="50">
        <f t="shared" si="29"/>
        <v>0.99990067237844271</v>
      </c>
      <c r="R89" s="50">
        <f t="shared" si="30"/>
        <v>9.9327621557347779E-5</v>
      </c>
      <c r="S89" s="51">
        <f>IF(R89&lt;Interface!$B$21,R89,0)</f>
        <v>9.9327621557347779E-5</v>
      </c>
    </row>
    <row r="90" spans="1:19">
      <c r="A90" s="39"/>
      <c r="B90" s="39"/>
      <c r="C90" s="89"/>
      <c r="D90" s="89"/>
      <c r="E90" s="39"/>
      <c r="F90" s="46">
        <v>89</v>
      </c>
      <c r="G90" s="47">
        <f t="shared" si="19"/>
        <v>0.85750940410069965</v>
      </c>
      <c r="H90" s="47">
        <f t="shared" si="20"/>
        <v>3.0039256101670051E-4</v>
      </c>
      <c r="I90" s="47">
        <f t="shared" si="21"/>
        <v>4.3109509900052496E-5</v>
      </c>
      <c r="J90" s="47">
        <f t="shared" si="22"/>
        <v>0.10598430837199657</v>
      </c>
      <c r="K90" s="47">
        <f t="shared" si="23"/>
        <v>3.6105866815960994E-2</v>
      </c>
      <c r="L90" s="47">
        <f t="shared" si="24"/>
        <v>4.2455312135778452E-5</v>
      </c>
      <c r="M90" s="47">
        <f t="shared" si="25"/>
        <v>1.4463328290298981E-5</v>
      </c>
      <c r="N90" s="48">
        <f t="shared" si="26"/>
        <v>0.99999999999999989</v>
      </c>
      <c r="O90" s="49">
        <f t="shared" si="27"/>
        <v>0.14209017518795758</v>
      </c>
      <c r="P90" s="49">
        <f t="shared" si="28"/>
        <v>5.6918640426077431E-5</v>
      </c>
      <c r="Q90" s="50">
        <f t="shared" si="29"/>
        <v>0.99989997184967394</v>
      </c>
      <c r="R90" s="50">
        <f t="shared" si="30"/>
        <v>1.0002815032612993E-4</v>
      </c>
      <c r="S90" s="51">
        <f>IF(R90&lt;Interface!$B$21,R90,0)</f>
        <v>1.0002815032612993E-4</v>
      </c>
    </row>
    <row r="91" spans="1:19">
      <c r="A91" s="39"/>
      <c r="B91" s="39"/>
      <c r="C91" s="89"/>
      <c r="D91" s="89"/>
      <c r="E91" s="39"/>
      <c r="F91" s="46">
        <v>90</v>
      </c>
      <c r="G91" s="47">
        <f t="shared" si="19"/>
        <v>0.85868248502382494</v>
      </c>
      <c r="H91" s="47">
        <f t="shared" si="20"/>
        <v>3.0418399994015176E-4</v>
      </c>
      <c r="I91" s="47">
        <f t="shared" si="21"/>
        <v>4.3653621489409995E-5</v>
      </c>
      <c r="J91" s="47">
        <f t="shared" si="22"/>
        <v>0.10612929590182105</v>
      </c>
      <c r="K91" s="47">
        <f t="shared" si="23"/>
        <v>3.4783300164904531E-2</v>
      </c>
      <c r="L91" s="47">
        <f t="shared" si="24"/>
        <v>4.2991166693541331E-5</v>
      </c>
      <c r="M91" s="47">
        <f t="shared" si="25"/>
        <v>1.4090121326388971E-5</v>
      </c>
      <c r="N91" s="48">
        <f t="shared" si="26"/>
        <v>1</v>
      </c>
      <c r="O91" s="49">
        <f t="shared" si="27"/>
        <v>0.14091259606672557</v>
      </c>
      <c r="P91" s="49">
        <f t="shared" si="28"/>
        <v>5.7081288019930298E-5</v>
      </c>
      <c r="Q91" s="50">
        <f t="shared" si="29"/>
        <v>0.99989926509049065</v>
      </c>
      <c r="R91" s="50">
        <f t="shared" si="30"/>
        <v>1.0073490950934029E-4</v>
      </c>
      <c r="S91" s="51">
        <f>IF(R91&lt;Interface!$B$21,R91,0)</f>
        <v>1.0073490950934029E-4</v>
      </c>
    </row>
    <row r="92" spans="1:19">
      <c r="A92" s="39"/>
      <c r="B92" s="39"/>
      <c r="C92" s="89"/>
      <c r="D92" s="89"/>
      <c r="E92" s="39"/>
      <c r="F92" s="46">
        <v>91</v>
      </c>
      <c r="G92" s="47">
        <f t="shared" si="19"/>
        <v>0.85981244908109966</v>
      </c>
      <c r="H92" s="47">
        <f t="shared" si="20"/>
        <v>3.079692468898309E-4</v>
      </c>
      <c r="I92" s="47">
        <f t="shared" si="21"/>
        <v>4.4196844465035762E-5</v>
      </c>
      <c r="J92" s="47">
        <f t="shared" si="22"/>
        <v>0.10626895438081006</v>
      </c>
      <c r="K92" s="47">
        <f t="shared" si="23"/>
        <v>3.3509179450775792E-2</v>
      </c>
      <c r="L92" s="47">
        <f t="shared" si="24"/>
        <v>4.3526146122511602E-5</v>
      </c>
      <c r="M92" s="47">
        <f t="shared" si="25"/>
        <v>1.3724849837078186E-5</v>
      </c>
      <c r="N92" s="48">
        <f t="shared" si="26"/>
        <v>0.99999999999999989</v>
      </c>
      <c r="O92" s="49">
        <f t="shared" si="27"/>
        <v>0.13977813383158585</v>
      </c>
      <c r="P92" s="49">
        <f t="shared" si="28"/>
        <v>5.7250995959589786E-5</v>
      </c>
      <c r="Q92" s="50">
        <f t="shared" si="29"/>
        <v>0.99989855215957535</v>
      </c>
      <c r="R92" s="50">
        <f t="shared" si="30"/>
        <v>1.0144784042462554E-4</v>
      </c>
      <c r="S92" s="51">
        <f>IF(R92&lt;Interface!$B$21,R92,0)</f>
        <v>1.0144784042462554E-4</v>
      </c>
    </row>
    <row r="93" spans="1:19">
      <c r="A93" s="39"/>
      <c r="B93" s="39"/>
      <c r="C93" s="89"/>
      <c r="D93" s="89"/>
      <c r="E93" s="39"/>
      <c r="F93" s="46">
        <v>92</v>
      </c>
      <c r="G93" s="47">
        <f t="shared" si="19"/>
        <v>0.86090087565442885</v>
      </c>
      <c r="H93" s="47">
        <f t="shared" si="20"/>
        <v>3.1174836461394368E-4</v>
      </c>
      <c r="I93" s="47">
        <f t="shared" si="21"/>
        <v>4.4739187831961044E-5</v>
      </c>
      <c r="J93" s="47">
        <f t="shared" si="22"/>
        <v>0.10640347901346871</v>
      </c>
      <c r="K93" s="47">
        <f t="shared" si="23"/>
        <v>3.2281730087165131E-2</v>
      </c>
      <c r="L93" s="47">
        <f t="shared" si="24"/>
        <v>4.406025929106687E-5</v>
      </c>
      <c r="M93" s="47">
        <f t="shared" si="25"/>
        <v>1.3367433200419024E-5</v>
      </c>
      <c r="N93" s="48">
        <f t="shared" si="26"/>
        <v>1</v>
      </c>
      <c r="O93" s="49">
        <f t="shared" si="27"/>
        <v>0.13868520910063384</v>
      </c>
      <c r="P93" s="49">
        <f t="shared" si="28"/>
        <v>5.7427692491485898E-5</v>
      </c>
      <c r="Q93" s="50">
        <f t="shared" si="29"/>
        <v>0.99989783311967662</v>
      </c>
      <c r="R93" s="50">
        <f t="shared" si="30"/>
        <v>1.0216688032344695E-4</v>
      </c>
      <c r="S93" s="51">
        <f>IF(R93&lt;Interface!$B$21,R93,0)</f>
        <v>1.0216688032344695E-4</v>
      </c>
    </row>
    <row r="94" spans="1:19">
      <c r="A94" s="39"/>
      <c r="B94" s="39"/>
      <c r="C94" s="89"/>
      <c r="D94" s="89"/>
      <c r="E94" s="39"/>
      <c r="F94" s="46">
        <v>93</v>
      </c>
      <c r="G94" s="47">
        <f t="shared" si="19"/>
        <v>0.86194928627257439</v>
      </c>
      <c r="H94" s="47">
        <f t="shared" si="20"/>
        <v>3.1552141955068416E-4</v>
      </c>
      <c r="I94" s="47">
        <f t="shared" si="21"/>
        <v>4.5280661124769425E-5</v>
      </c>
      <c r="J94" s="47">
        <f t="shared" si="22"/>
        <v>0.10653305785391369</v>
      </c>
      <c r="K94" s="47">
        <f t="shared" si="23"/>
        <v>3.1099242491193141E-2</v>
      </c>
      <c r="L94" s="47">
        <f t="shared" si="24"/>
        <v>4.4593515589101E-5</v>
      </c>
      <c r="M94" s="47">
        <f t="shared" si="25"/>
        <v>1.3017786054183989E-5</v>
      </c>
      <c r="N94" s="48">
        <f t="shared" si="26"/>
        <v>0.99999999999999989</v>
      </c>
      <c r="O94" s="49">
        <f t="shared" si="27"/>
        <v>0.13763230034510682</v>
      </c>
      <c r="P94" s="49">
        <f t="shared" si="28"/>
        <v>5.761130164328499E-5</v>
      </c>
      <c r="Q94" s="50">
        <f t="shared" si="29"/>
        <v>0.99989710803723186</v>
      </c>
      <c r="R94" s="50">
        <f t="shared" si="30"/>
        <v>1.0289196276805441E-4</v>
      </c>
      <c r="S94" s="51">
        <f>IF(R94&lt;Interface!$B$21,R94,0)</f>
        <v>1.0289196276805441E-4</v>
      </c>
    </row>
    <row r="95" spans="1:19">
      <c r="A95" s="39"/>
      <c r="B95" s="39"/>
      <c r="C95" s="89"/>
      <c r="D95" s="89"/>
      <c r="E95" s="39"/>
      <c r="F95" s="46">
        <v>94</v>
      </c>
      <c r="G95" s="47">
        <f t="shared" si="19"/>
        <v>0.86295914673033192</v>
      </c>
      <c r="H95" s="47">
        <f t="shared" si="20"/>
        <v>3.1928848147294445E-4</v>
      </c>
      <c r="I95" s="47">
        <f t="shared" si="21"/>
        <v>4.5821274356608952E-5</v>
      </c>
      <c r="J95" s="47">
        <f t="shared" si="22"/>
        <v>0.10665787206779383</v>
      </c>
      <c r="K95" s="47">
        <f t="shared" si="23"/>
        <v>2.9960069702415552E-2</v>
      </c>
      <c r="L95" s="47">
        <f t="shared" si="24"/>
        <v>4.5125924877809964E-5</v>
      </c>
      <c r="M95" s="47">
        <f t="shared" si="25"/>
        <v>1.267581875124803E-5</v>
      </c>
      <c r="N95" s="48">
        <f t="shared" si="26"/>
        <v>0.99999999999999989</v>
      </c>
      <c r="O95" s="49">
        <f t="shared" si="27"/>
        <v>0.13661794177020939</v>
      </c>
      <c r="P95" s="49">
        <f t="shared" si="28"/>
        <v>5.7801743629057994E-5</v>
      </c>
      <c r="Q95" s="50">
        <f t="shared" si="29"/>
        <v>0.99989637698201428</v>
      </c>
      <c r="R95" s="50">
        <f t="shared" si="30"/>
        <v>1.0362301798566695E-4</v>
      </c>
      <c r="S95" s="51">
        <f>IF(R95&lt;Interface!$B$21,R95,0)</f>
        <v>1.0362301798566695E-4</v>
      </c>
    </row>
    <row r="96" spans="1:19">
      <c r="A96" s="39"/>
      <c r="B96" s="39"/>
      <c r="C96" s="89"/>
      <c r="D96" s="89"/>
      <c r="E96" s="39"/>
      <c r="F96" s="46">
        <v>95</v>
      </c>
      <c r="G96" s="47">
        <f t="shared" si="19"/>
        <v>0.86393186913007847</v>
      </c>
      <c r="H96" s="47">
        <f t="shared" si="20"/>
        <v>3.2304962315478955E-4</v>
      </c>
      <c r="I96" s="47">
        <f t="shared" si="21"/>
        <v>4.6361037971327714E-5</v>
      </c>
      <c r="J96" s="47">
        <f t="shared" si="22"/>
        <v>0.10677809618461644</v>
      </c>
      <c r="K96" s="47">
        <f t="shared" si="23"/>
        <v>2.8862625088948324E-2</v>
      </c>
      <c r="L96" s="47">
        <f t="shared" si="24"/>
        <v>4.565749744255381E-5</v>
      </c>
      <c r="M96" s="47">
        <f t="shared" si="25"/>
        <v>1.2341437788004905E-5</v>
      </c>
      <c r="N96" s="48">
        <f t="shared" si="26"/>
        <v>0.99999999999999989</v>
      </c>
      <c r="O96" s="49">
        <f t="shared" si="27"/>
        <v>0.13564072127356475</v>
      </c>
      <c r="P96" s="49">
        <f t="shared" si="28"/>
        <v>5.7998935230558716E-5</v>
      </c>
      <c r="Q96" s="50">
        <f t="shared" si="29"/>
        <v>0.99989564002679798</v>
      </c>
      <c r="R96" s="50">
        <f t="shared" si="30"/>
        <v>1.0435997320188642E-4</v>
      </c>
      <c r="S96" s="51">
        <f>IF(R96&lt;Interface!$B$21,R96,0)</f>
        <v>1.0435997320188642E-4</v>
      </c>
    </row>
    <row r="97" spans="1:19">
      <c r="A97" s="39"/>
      <c r="B97" s="39"/>
      <c r="C97" s="89"/>
      <c r="D97" s="89"/>
      <c r="E97" s="39"/>
      <c r="F97" s="46">
        <v>96</v>
      </c>
      <c r="G97" s="47">
        <f t="shared" si="19"/>
        <v>0.8648688138485382</v>
      </c>
      <c r="H97" s="47">
        <f t="shared" si="20"/>
        <v>3.2680492005897647E-4</v>
      </c>
      <c r="I97" s="47">
        <f t="shared" si="21"/>
        <v>4.6899962798629552E-5</v>
      </c>
      <c r="J97" s="47">
        <f t="shared" si="22"/>
        <v>0.10689389834083055</v>
      </c>
      <c r="K97" s="47">
        <f t="shared" si="23"/>
        <v>2.7805380137617752E-2</v>
      </c>
      <c r="L97" s="47">
        <f t="shared" si="24"/>
        <v>4.618824394869287E-5</v>
      </c>
      <c r="M97" s="47">
        <f t="shared" si="25"/>
        <v>1.2014546207188586E-5</v>
      </c>
      <c r="N97" s="48">
        <f t="shared" si="26"/>
        <v>0.99999999999999989</v>
      </c>
      <c r="O97" s="49">
        <f t="shared" si="27"/>
        <v>0.13469927847844829</v>
      </c>
      <c r="P97" s="49">
        <f t="shared" si="28"/>
        <v>5.8202790155881456E-5</v>
      </c>
      <c r="Q97" s="50">
        <f t="shared" si="29"/>
        <v>0.9998948972470455</v>
      </c>
      <c r="R97" s="50">
        <f t="shared" si="30"/>
        <v>1.0510275295451101E-4</v>
      </c>
      <c r="S97" s="51">
        <f>IF(R97&lt;Interface!$B$21,R97,0)</f>
        <v>1.0510275295451101E-4</v>
      </c>
    </row>
    <row r="98" spans="1:19">
      <c r="A98" s="39"/>
      <c r="B98" s="39"/>
      <c r="C98" s="89"/>
      <c r="D98" s="89"/>
      <c r="E98" s="39"/>
      <c r="F98" s="46">
        <v>97</v>
      </c>
      <c r="G98" s="47">
        <f>p.delivery*(1-(1-p.conception)^F98)*(1-alpha)^F98</f>
        <v>0.86577129143150644</v>
      </c>
      <c r="H98" s="47">
        <f t="shared" si="20"/>
        <v>3.3055445004123111E-4</v>
      </c>
      <c r="I98" s="47">
        <f t="shared" si="21"/>
        <v>4.7438060011634648E-5</v>
      </c>
      <c r="J98" s="47">
        <f t="shared" si="22"/>
        <v>0.1070054405140064</v>
      </c>
      <c r="K98" s="47">
        <f t="shared" si="23"/>
        <v>2.6786862325058145E-2</v>
      </c>
      <c r="L98" s="47">
        <f t="shared" si="24"/>
        <v>4.6718175399792383E-5</v>
      </c>
      <c r="M98" s="47">
        <f t="shared" si="25"/>
        <v>1.1695043976276621E-5</v>
      </c>
      <c r="N98" s="48">
        <f t="shared" si="26"/>
        <v>0.99999999999999989</v>
      </c>
      <c r="O98" s="49">
        <f t="shared" si="27"/>
        <v>0.13379230283906454</v>
      </c>
      <c r="P98" s="49">
        <f t="shared" si="28"/>
        <v>5.8413219376069005E-5</v>
      </c>
      <c r="Q98" s="50">
        <f t="shared" si="29"/>
        <v>0.99989414872061222</v>
      </c>
      <c r="R98" s="50">
        <f t="shared" si="30"/>
        <v>1.0585127938770366E-4</v>
      </c>
      <c r="S98" s="51">
        <f>IF(R98&lt;Interface!$B$21,R98,0)</f>
        <v>1.0585127938770366E-4</v>
      </c>
    </row>
    <row r="99" spans="1:19">
      <c r="A99" s="39"/>
      <c r="B99" s="39"/>
      <c r="C99" s="89"/>
      <c r="D99" s="89"/>
      <c r="E99" s="39"/>
      <c r="F99" s="46">
        <v>98</v>
      </c>
      <c r="G99" s="47">
        <f>p.delivery*(1-(1-p.conception)^F99)*(1-alpha)^F99</f>
        <v>0.86664056441916881</v>
      </c>
      <c r="H99" s="47">
        <f t="shared" si="20"/>
        <v>3.342982930742571E-4</v>
      </c>
      <c r="I99" s="47">
        <f t="shared" si="21"/>
        <v>4.7975341087271885E-5</v>
      </c>
      <c r="J99" s="47">
        <f t="shared" si="22"/>
        <v>0.10711287874843659</v>
      </c>
      <c r="K99" s="47">
        <f t="shared" si="23"/>
        <v>2.5805653066791522E-2</v>
      </c>
      <c r="L99" s="47">
        <f t="shared" si="24"/>
        <v>4.7247303098615932E-5</v>
      </c>
      <c r="M99" s="47">
        <f t="shared" si="25"/>
        <v>1.1382828342873035E-5</v>
      </c>
      <c r="N99" s="48">
        <f t="shared" si="26"/>
        <v>0.99999999999999989</v>
      </c>
      <c r="O99" s="49">
        <f t="shared" si="27"/>
        <v>0.13291853181522811</v>
      </c>
      <c r="P99" s="49">
        <f t="shared" si="28"/>
        <v>5.8630131441488965E-5</v>
      </c>
      <c r="Q99" s="50">
        <f t="shared" si="29"/>
        <v>0.99989339452747117</v>
      </c>
      <c r="R99" s="50">
        <f t="shared" si="30"/>
        <v>1.0660547252876084E-4</v>
      </c>
      <c r="S99" s="51">
        <f>IF(R99&lt;Interface!$B$21,R99,0)</f>
        <v>1.0660547252876084E-4</v>
      </c>
    </row>
    <row r="100" spans="1:19">
      <c r="A100" s="39"/>
      <c r="B100" s="39"/>
      <c r="C100" s="89"/>
      <c r="D100" s="89"/>
      <c r="E100" s="39"/>
      <c r="F100" s="46">
        <v>99</v>
      </c>
      <c r="G100" s="47">
        <f>p.delivery*(1-(1-p.conception)^F100)*(1-alpha)^F100</f>
        <v>0.8674778491045575</v>
      </c>
      <c r="H100" s="47">
        <f t="shared" si="20"/>
        <v>3.3803653098837637E-4</v>
      </c>
      <c r="I100" s="47">
        <f t="shared" si="21"/>
        <v>4.851181776905802E-5</v>
      </c>
      <c r="J100" s="47">
        <f t="shared" si="22"/>
        <v>0.10721636337247338</v>
      </c>
      <c r="K100" s="47">
        <f t="shared" si="23"/>
        <v>2.4860385741433084E-2</v>
      </c>
      <c r="L100" s="47">
        <f t="shared" si="24"/>
        <v>4.7775638610469413E-5</v>
      </c>
      <c r="M100" s="47">
        <f t="shared" si="25"/>
        <v>1.1077794168166201E-5</v>
      </c>
      <c r="N100" s="48">
        <f t="shared" si="26"/>
        <v>1.0000000000000002</v>
      </c>
      <c r="O100" s="49">
        <f t="shared" si="27"/>
        <v>0.13207674911390646</v>
      </c>
      <c r="P100" s="49">
        <f t="shared" si="28"/>
        <v>5.8853432778635615E-5</v>
      </c>
      <c r="Q100" s="50">
        <f t="shared" si="29"/>
        <v>0.99989263474945234</v>
      </c>
      <c r="R100" s="50">
        <f t="shared" si="30"/>
        <v>1.0736525054769363E-4</v>
      </c>
      <c r="S100" s="51">
        <f>IF(R100&lt;Interface!$B$21,R100,0)</f>
        <v>1.0736525054769363E-4</v>
      </c>
    </row>
    <row r="101" spans="1:19">
      <c r="A101" s="39"/>
      <c r="B101" s="39"/>
      <c r="C101" s="89"/>
      <c r="D101" s="89"/>
      <c r="E101" s="39"/>
      <c r="F101" s="46">
        <v>100</v>
      </c>
      <c r="G101" s="47">
        <f>p.delivery*(1-(1-p.conception)^F101)*(1-alpha)^F101</f>
        <v>0.86828431722759636</v>
      </c>
      <c r="H101" s="47">
        <f t="shared" si="20"/>
        <v>3.4176924722758423E-4</v>
      </c>
      <c r="I101" s="47">
        <f t="shared" si="21"/>
        <v>4.9047502032088989E-5</v>
      </c>
      <c r="J101" s="47">
        <f t="shared" si="22"/>
        <v>0.10731603920790514</v>
      </c>
      <c r="K101" s="47">
        <f t="shared" si="23"/>
        <v>2.394974378727055E-2</v>
      </c>
      <c r="L101" s="47">
        <f t="shared" si="24"/>
        <v>4.8303193728723644E-5</v>
      </c>
      <c r="M101" s="47">
        <f t="shared" si="25"/>
        <v>1.0779834239583162E-5</v>
      </c>
      <c r="N101" s="48">
        <f t="shared" si="26"/>
        <v>1</v>
      </c>
      <c r="O101" s="49">
        <f t="shared" si="27"/>
        <v>0.13126578299517569</v>
      </c>
      <c r="P101" s="49">
        <f t="shared" si="28"/>
        <v>5.9083027968306805E-5</v>
      </c>
      <c r="Q101" s="50">
        <f t="shared" si="29"/>
        <v>0.99989186946999964</v>
      </c>
      <c r="R101" s="50">
        <f t="shared" si="30"/>
        <v>1.0813053000039579E-4</v>
      </c>
      <c r="S101" s="51">
        <f>IF(R101&lt;Interface!$B$21,R101,0)</f>
        <v>1.0813053000039579E-4</v>
      </c>
    </row>
    <row r="102" spans="1:19">
      <c r="A102" s="39"/>
      <c r="B102" s="39"/>
      <c r="C102" s="89"/>
      <c r="D102" s="89"/>
      <c r="E102" s="39"/>
      <c r="F102" s="46"/>
      <c r="G102" s="47"/>
      <c r="H102" s="47"/>
      <c r="I102" s="47"/>
      <c r="J102" s="47"/>
      <c r="K102" s="47"/>
      <c r="L102" s="47"/>
      <c r="M102" s="47"/>
      <c r="N102" s="48"/>
      <c r="O102" s="49"/>
      <c r="P102" s="49"/>
      <c r="Q102" s="52"/>
      <c r="R102" s="52"/>
      <c r="S102" s="39"/>
    </row>
    <row r="103" spans="1:19">
      <c r="A103" s="39"/>
      <c r="B103" s="39"/>
      <c r="C103" s="89"/>
      <c r="D103" s="89"/>
      <c r="E103" s="39"/>
      <c r="F103" s="46"/>
      <c r="G103" s="47"/>
      <c r="H103" s="47"/>
      <c r="I103" s="47"/>
      <c r="J103" s="47"/>
      <c r="K103" s="47"/>
      <c r="L103" s="47"/>
      <c r="M103" s="47"/>
      <c r="N103" s="48"/>
      <c r="O103" s="49"/>
      <c r="P103" s="49"/>
      <c r="Q103" s="52"/>
      <c r="R103" s="52"/>
      <c r="S103" s="39"/>
    </row>
    <row r="104" spans="1:19">
      <c r="A104" s="39"/>
      <c r="B104" s="39"/>
      <c r="C104" s="89"/>
      <c r="D104" s="89"/>
      <c r="E104" s="39"/>
      <c r="F104" s="46"/>
      <c r="G104" s="47"/>
      <c r="H104" s="47"/>
      <c r="I104" s="47"/>
      <c r="J104" s="47"/>
      <c r="K104" s="47"/>
      <c r="L104" s="47"/>
      <c r="M104" s="47"/>
      <c r="N104" s="48"/>
      <c r="O104" s="49"/>
      <c r="P104" s="49"/>
      <c r="Q104" s="52"/>
      <c r="R104" s="52"/>
      <c r="S104" s="39"/>
    </row>
    <row r="105" spans="1:19">
      <c r="A105" s="39"/>
      <c r="B105" s="39"/>
      <c r="C105" s="89"/>
      <c r="D105" s="89"/>
      <c r="E105" s="39"/>
      <c r="F105" s="46"/>
      <c r="G105" s="47"/>
      <c r="H105" s="47"/>
      <c r="I105" s="47"/>
      <c r="J105" s="47"/>
      <c r="K105" s="47"/>
      <c r="L105" s="47"/>
      <c r="M105" s="47"/>
      <c r="N105" s="48"/>
      <c r="O105" s="49"/>
      <c r="P105" s="49"/>
      <c r="Q105" s="52"/>
      <c r="R105" s="52"/>
      <c r="S105" s="39"/>
    </row>
    <row r="106" spans="1:19">
      <c r="A106" s="39"/>
      <c r="B106" s="39"/>
      <c r="C106" s="89"/>
      <c r="D106" s="89"/>
      <c r="E106" s="39"/>
      <c r="F106" s="46"/>
      <c r="G106" s="47"/>
      <c r="H106" s="47"/>
      <c r="I106" s="47"/>
      <c r="J106" s="47"/>
      <c r="K106" s="47"/>
      <c r="L106" s="47"/>
      <c r="M106" s="47"/>
      <c r="N106" s="48"/>
      <c r="O106" s="49"/>
      <c r="P106" s="49"/>
      <c r="Q106" s="52"/>
      <c r="R106" s="52"/>
      <c r="S106" s="39"/>
    </row>
    <row r="107" spans="1:19">
      <c r="A107" s="39"/>
      <c r="B107" s="39"/>
      <c r="C107" s="89"/>
      <c r="D107" s="89"/>
      <c r="E107" s="39"/>
      <c r="F107" s="46"/>
      <c r="G107" s="47"/>
      <c r="H107" s="47"/>
      <c r="I107" s="47"/>
      <c r="J107" s="47"/>
      <c r="K107" s="47"/>
      <c r="L107" s="47"/>
      <c r="M107" s="47"/>
      <c r="N107" s="48"/>
      <c r="O107" s="49"/>
      <c r="P107" s="49"/>
      <c r="Q107" s="52"/>
      <c r="R107" s="52"/>
      <c r="S107" s="39"/>
    </row>
    <row r="108" spans="1:19">
      <c r="A108" s="39"/>
      <c r="B108" s="39"/>
      <c r="C108" s="89"/>
      <c r="D108" s="89"/>
      <c r="E108" s="39"/>
      <c r="F108" s="46"/>
      <c r="G108" s="47"/>
      <c r="H108" s="47"/>
      <c r="I108" s="47"/>
      <c r="J108" s="47"/>
      <c r="K108" s="47"/>
      <c r="L108" s="47"/>
      <c r="M108" s="47"/>
      <c r="N108" s="48"/>
      <c r="O108" s="49"/>
      <c r="P108" s="49"/>
      <c r="Q108" s="52"/>
      <c r="R108" s="52"/>
      <c r="S108" s="39"/>
    </row>
    <row r="109" spans="1:19">
      <c r="A109" s="39"/>
      <c r="B109" s="39"/>
      <c r="C109" s="89"/>
      <c r="D109" s="89"/>
      <c r="E109" s="39"/>
      <c r="F109" s="46"/>
      <c r="G109" s="47"/>
      <c r="H109" s="47"/>
      <c r="I109" s="47"/>
      <c r="J109" s="47"/>
      <c r="K109" s="47"/>
      <c r="L109" s="47"/>
      <c r="M109" s="47"/>
      <c r="N109" s="48"/>
      <c r="O109" s="49"/>
      <c r="P109" s="49"/>
      <c r="Q109" s="52"/>
      <c r="R109" s="52"/>
      <c r="S109" s="39"/>
    </row>
    <row r="110" spans="1:19" ht="16" thickBot="1">
      <c r="A110" s="40" t="s">
        <v>21</v>
      </c>
      <c r="B110" s="39">
        <f>MIN(1,TT*h.late*h.tx*h.std*h.prep)</f>
        <v>4.5000000000000001E-6</v>
      </c>
      <c r="C110" s="89"/>
      <c r="D110" s="89"/>
      <c r="E110" s="39"/>
      <c r="F110" s="53"/>
      <c r="G110" s="54"/>
      <c r="H110" s="54"/>
      <c r="I110" s="54"/>
      <c r="J110" s="54"/>
      <c r="K110" s="54"/>
      <c r="L110" s="54"/>
      <c r="M110" s="54"/>
      <c r="N110" s="55"/>
      <c r="O110" s="44"/>
      <c r="P110" s="44"/>
      <c r="Q110" s="45"/>
      <c r="R110" s="45"/>
      <c r="S110" s="39"/>
    </row>
    <row r="111" spans="1:19">
      <c r="A111" s="39"/>
      <c r="B111" s="39"/>
      <c r="C111" s="89"/>
      <c r="D111" s="89"/>
      <c r="E111" s="39"/>
      <c r="F111" s="56"/>
      <c r="G111" s="57"/>
      <c r="H111" s="57"/>
      <c r="I111" s="57"/>
      <c r="J111" s="57"/>
      <c r="K111" s="57"/>
      <c r="L111" s="57"/>
      <c r="M111" s="57"/>
      <c r="N111" s="58"/>
      <c r="O111" s="49"/>
      <c r="P111" s="49"/>
      <c r="Q111" s="52"/>
      <c r="R111" s="50"/>
      <c r="S111" s="39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G34"/>
  <sheetViews>
    <sheetView workbookViewId="0">
      <selection activeCell="B14" sqref="B14"/>
    </sheetView>
  </sheetViews>
  <sheetFormatPr baseColWidth="10" defaultColWidth="9.1640625" defaultRowHeight="12" x14ac:dyDescent="0"/>
  <cols>
    <col min="1" max="1" width="9.1640625" style="21"/>
    <col min="2" max="2" width="19.1640625" style="99" customWidth="1"/>
    <col min="3" max="3" width="21.5" style="22" customWidth="1"/>
    <col min="4" max="4" width="17.6640625" style="21" customWidth="1"/>
    <col min="5" max="5" width="16.6640625" style="21" hidden="1" customWidth="1"/>
    <col min="6" max="6" width="9.1640625" style="21"/>
    <col min="7" max="7" width="30.5" style="59" bestFit="1" customWidth="1"/>
    <col min="8" max="16384" width="9.1640625" style="21"/>
  </cols>
  <sheetData>
    <row r="1" spans="1:7" s="23" customFormat="1" ht="16" thickBot="1">
      <c r="A1" s="77" t="s">
        <v>34</v>
      </c>
      <c r="B1" s="96" t="s">
        <v>35</v>
      </c>
      <c r="C1" s="75" t="s">
        <v>36</v>
      </c>
      <c r="D1" s="79" t="s">
        <v>40</v>
      </c>
      <c r="E1" s="28" t="s">
        <v>45</v>
      </c>
      <c r="F1" s="82" t="s">
        <v>41</v>
      </c>
      <c r="G1" s="84" t="s">
        <v>46</v>
      </c>
    </row>
    <row r="2" spans="1:7">
      <c r="A2" s="78">
        <v>18</v>
      </c>
      <c r="B2" s="97">
        <f>Pregnancy.Calc!W2</f>
        <v>6.1201814416838085E-2</v>
      </c>
      <c r="C2" s="76">
        <f>Pregnancy.Calc!X2</f>
        <v>0.89</v>
      </c>
      <c r="D2" s="80">
        <f>LOG(1-Interface!$B$20)/LOG(1-B2)+0.5</f>
        <v>20.100653964798742</v>
      </c>
      <c r="E2" s="26">
        <f ca="1">CELL("row",INDEX(Model!S:S,MATCH(MAX(Model!S:S),Model!S:S,0)))</f>
        <v>101</v>
      </c>
      <c r="F2" s="83">
        <f ca="1">INDIRECT("Model!F"&amp;Pregnancy!E2)</f>
        <v>100</v>
      </c>
      <c r="G2" s="85">
        <f ca="1">MIN(D2,F2)</f>
        <v>20.100653964798742</v>
      </c>
    </row>
    <row r="3" spans="1:7">
      <c r="A3" s="71">
        <v>19</v>
      </c>
      <c r="B3" s="97">
        <f>Pregnancy.Calc!W3</f>
        <v>4.3125539143931892E-2</v>
      </c>
      <c r="C3" s="76">
        <f>Pregnancy.Calc!X3</f>
        <v>0.89</v>
      </c>
      <c r="D3" s="81">
        <f>LOG(1-Interface!$B$20)/LOG(1-B3)+0.5</f>
        <v>28.580489565748241</v>
      </c>
      <c r="E3" s="24">
        <f ca="1">CELL("row",INDEX(Model!S:S,MATCH(MAX(Model!S:S),Model!S:S,0)))</f>
        <v>101</v>
      </c>
      <c r="F3" s="83">
        <f ca="1">INDIRECT("Model!F"&amp;Pregnancy!E3)</f>
        <v>100</v>
      </c>
      <c r="G3" s="86">
        <f t="shared" ref="G3:G33" ca="1" si="0">MIN(D3,F3)</f>
        <v>28.580489565748241</v>
      </c>
    </row>
    <row r="4" spans="1:7">
      <c r="A4" s="71">
        <v>20</v>
      </c>
      <c r="B4" s="97">
        <f>Pregnancy.Calc!W4</f>
        <v>3.6625907148053048E-2</v>
      </c>
      <c r="C4" s="76">
        <f>Pregnancy.Calc!X4</f>
        <v>0.89</v>
      </c>
      <c r="D4" s="81">
        <f>LOG(1-Interface!$B$20)/LOG(1-B4)+0.5</f>
        <v>33.674993901795268</v>
      </c>
      <c r="E4" s="24">
        <f ca="1">CELL("row",INDEX(Model!S:S,MATCH(MAX(Model!S:S),Model!S:S,0)))</f>
        <v>101</v>
      </c>
      <c r="F4" s="83">
        <f ca="1">INDIRECT("Model!F"&amp;Pregnancy!E4)</f>
        <v>100</v>
      </c>
      <c r="G4" s="86">
        <f t="shared" ca="1" si="0"/>
        <v>33.674993901795268</v>
      </c>
    </row>
    <row r="5" spans="1:7">
      <c r="A5" s="71">
        <v>21</v>
      </c>
      <c r="B5" s="97">
        <f>Pregnancy.Calc!W5</f>
        <v>3.2463269383356273E-2</v>
      </c>
      <c r="C5" s="76">
        <f>Pregnancy.Calc!X5</f>
        <v>0.89</v>
      </c>
      <c r="D5" s="81">
        <f>LOG(1-Interface!$B$20)/LOG(1-B5)+0.5</f>
        <v>38.009195484079342</v>
      </c>
      <c r="E5" s="24">
        <f ca="1">CELL("row",INDEX(Model!S:S,MATCH(MAX(Model!S:S),Model!S:S,0)))</f>
        <v>101</v>
      </c>
      <c r="F5" s="83">
        <f ca="1">INDIRECT("Model!F"&amp;Pregnancy!E5)</f>
        <v>100</v>
      </c>
      <c r="G5" s="86">
        <f t="shared" ca="1" si="0"/>
        <v>38.009195484079342</v>
      </c>
    </row>
    <row r="6" spans="1:7">
      <c r="A6" s="71">
        <v>22</v>
      </c>
      <c r="B6" s="97">
        <f>Pregnancy.Calc!W6</f>
        <v>2.9366965471821289E-2</v>
      </c>
      <c r="C6" s="76">
        <f>Pregnancy.Calc!X6</f>
        <v>0.89</v>
      </c>
      <c r="D6" s="81">
        <f>LOG(1-Interface!$B$20)/LOG(1-B6)+0.5</f>
        <v>42.029920941073215</v>
      </c>
      <c r="E6" s="24">
        <f ca="1">CELL("row",INDEX(Model!S:S,MATCH(MAX(Model!S:S),Model!S:S,0)))</f>
        <v>101</v>
      </c>
      <c r="F6" s="83">
        <f ca="1">INDIRECT("Model!F"&amp;Pregnancy!E6)</f>
        <v>100</v>
      </c>
      <c r="G6" s="86">
        <f t="shared" ca="1" si="0"/>
        <v>42.029920941073215</v>
      </c>
    </row>
    <row r="7" spans="1:7">
      <c r="A7" s="71">
        <v>23</v>
      </c>
      <c r="B7" s="97">
        <f>Pregnancy.Calc!W7</f>
        <v>2.6888701108983077E-2</v>
      </c>
      <c r="C7" s="76">
        <f>Pregnancy.Calc!X7</f>
        <v>0.89</v>
      </c>
      <c r="D7" s="81">
        <f>LOG(1-Interface!$B$20)/LOG(1-B7)+0.5</f>
        <v>45.91522225221766</v>
      </c>
      <c r="E7" s="24">
        <f ca="1">CELL("row",INDEX(Model!S:S,MATCH(MAX(Model!S:S),Model!S:S,0)))</f>
        <v>101</v>
      </c>
      <c r="F7" s="83">
        <f ca="1">INDIRECT("Model!F"&amp;Pregnancy!E7)</f>
        <v>100</v>
      </c>
      <c r="G7" s="86">
        <f t="shared" ca="1" si="0"/>
        <v>45.91522225221766</v>
      </c>
    </row>
    <row r="8" spans="1:7">
      <c r="A8" s="71">
        <v>24</v>
      </c>
      <c r="B8" s="97">
        <f>Pregnancy.Calc!W8</f>
        <v>2.4816051230480789E-2</v>
      </c>
      <c r="C8" s="76">
        <f>Pregnancy.Calc!X8</f>
        <v>0.89</v>
      </c>
      <c r="D8" s="81">
        <f>LOG(1-Interface!$B$20)/LOG(1-B8)+0.5</f>
        <v>49.760474187837495</v>
      </c>
      <c r="E8" s="24">
        <f ca="1">CELL("row",INDEX(Model!S:S,MATCH(MAX(Model!S:S),Model!S:S,0)))</f>
        <v>101</v>
      </c>
      <c r="F8" s="83">
        <f ca="1">INDIRECT("Model!F"&amp;Pregnancy!E8)</f>
        <v>100</v>
      </c>
      <c r="G8" s="86">
        <f t="shared" ca="1" si="0"/>
        <v>49.760474187837495</v>
      </c>
    </row>
    <row r="9" spans="1:7">
      <c r="A9" s="71">
        <v>25</v>
      </c>
      <c r="B9" s="97">
        <f>Pregnancy.Calc!W9</f>
        <v>2.3030994380579577E-2</v>
      </c>
      <c r="C9" s="76">
        <f>Pregnancy.Calc!X9</f>
        <v>0.89</v>
      </c>
      <c r="D9" s="81">
        <f>LOG(1-Interface!$B$20)/LOG(1-B9)+0.5</f>
        <v>53.62685335588116</v>
      </c>
      <c r="E9" s="24">
        <f ca="1">CELL("row",INDEX(Model!S:S,MATCH(MAX(Model!S:S),Model!S:S,0)))</f>
        <v>101</v>
      </c>
      <c r="F9" s="83">
        <f ca="1">INDIRECT("Model!F"&amp;Pregnancy!E9)</f>
        <v>100</v>
      </c>
      <c r="G9" s="86">
        <f t="shared" ca="1" si="0"/>
        <v>53.62685335588116</v>
      </c>
    </row>
    <row r="10" spans="1:7">
      <c r="A10" s="71">
        <v>26</v>
      </c>
      <c r="B10" s="97">
        <f>Pregnancy.Calc!W10</f>
        <v>2.1460949167666072E-2</v>
      </c>
      <c r="C10" s="76">
        <f>Pregnancy.Calc!X10</f>
        <v>0.89</v>
      </c>
      <c r="D10" s="81">
        <f>LOG(1-Interface!$B$20)/LOG(1-B10)+0.5</f>
        <v>57.559142136624466</v>
      </c>
      <c r="E10" s="24">
        <f ca="1">CELL("row",INDEX(Model!S:S,MATCH(MAX(Model!S:S),Model!S:S,0)))</f>
        <v>101</v>
      </c>
      <c r="F10" s="83">
        <f ca="1">INDIRECT("Model!F"&amp;Pregnancy!E10)</f>
        <v>100</v>
      </c>
      <c r="G10" s="86">
        <f t="shared" ca="1" si="0"/>
        <v>57.559142136624466</v>
      </c>
    </row>
    <row r="11" spans="1:7">
      <c r="A11" s="71">
        <v>27</v>
      </c>
      <c r="B11" s="97">
        <f>Pregnancy.Calc!W11</f>
        <v>2.0057995517369864E-2</v>
      </c>
      <c r="C11" s="76">
        <f>Pregnancy.Calc!X11</f>
        <v>0.89</v>
      </c>
      <c r="D11" s="81">
        <f>LOG(1-Interface!$B$20)/LOG(1-B11)+0.5</f>
        <v>61.593731528677516</v>
      </c>
      <c r="E11" s="24">
        <f ca="1">CELL("row",INDEX(Model!S:S,MATCH(MAX(Model!S:S),Model!S:S,0)))</f>
        <v>101</v>
      </c>
      <c r="F11" s="83">
        <f ca="1">INDIRECT("Model!F"&amp;Pregnancy!E11)</f>
        <v>100</v>
      </c>
      <c r="G11" s="86">
        <f t="shared" ca="1" si="0"/>
        <v>61.593731528677516</v>
      </c>
    </row>
    <row r="12" spans="1:7">
      <c r="A12" s="71">
        <v>28</v>
      </c>
      <c r="B12" s="97">
        <f>Pregnancy.Calc!W12</f>
        <v>1.8788786783167311E-2</v>
      </c>
      <c r="C12" s="76">
        <f>Pregnancy.Calc!X12</f>
        <v>0.89</v>
      </c>
      <c r="D12" s="81">
        <f>LOG(1-Interface!$B$20)/LOG(1-B12)+0.5</f>
        <v>65.762783020732769</v>
      </c>
      <c r="E12" s="24">
        <f ca="1">CELL("row",INDEX(Model!S:S,MATCH(MAX(Model!S:S),Model!S:S,0)))</f>
        <v>101</v>
      </c>
      <c r="F12" s="83">
        <f ca="1">INDIRECT("Model!F"&amp;Pregnancy!E12)</f>
        <v>100</v>
      </c>
      <c r="G12" s="86">
        <f t="shared" ca="1" si="0"/>
        <v>65.762783020732769</v>
      </c>
    </row>
    <row r="13" spans="1:7">
      <c r="A13" s="71">
        <v>29</v>
      </c>
      <c r="B13" s="97">
        <f>Pregnancy.Calc!W13</f>
        <v>1.7629155810877501E-2</v>
      </c>
      <c r="C13" s="76">
        <f>Pregnancy.Calc!X13</f>
        <v>0.89</v>
      </c>
      <c r="D13" s="81">
        <f>LOG(1-Interface!$B$20)/LOG(1-B13)+0.5</f>
        <v>70.096677447852457</v>
      </c>
      <c r="E13" s="24">
        <f ca="1">CELL("row",INDEX(Model!S:S,MATCH(MAX(Model!S:S),Model!S:S,0)))</f>
        <v>101</v>
      </c>
      <c r="F13" s="83">
        <f ca="1">INDIRECT("Model!F"&amp;Pregnancy!E13)</f>
        <v>100</v>
      </c>
      <c r="G13" s="86">
        <f t="shared" ca="1" si="0"/>
        <v>70.096677447852457</v>
      </c>
    </row>
    <row r="14" spans="1:7">
      <c r="A14" s="71">
        <v>30</v>
      </c>
      <c r="B14" s="97">
        <f>Pregnancy.Calc!W14</f>
        <v>1.6561012269405095E-2</v>
      </c>
      <c r="C14" s="76">
        <f>Pregnancy.Calc!X14</f>
        <v>0.85499999999999998</v>
      </c>
      <c r="D14" s="81">
        <f>LOG(1-Interface!$B$20)/LOG(1-B14)+0.5</f>
        <v>74.625638017638749</v>
      </c>
      <c r="E14" s="24">
        <f ca="1">CELL("row",INDEX(Model!S:S,MATCH(MAX(Model!S:S),Model!S:S,0)))</f>
        <v>101</v>
      </c>
      <c r="F14" s="83">
        <f ca="1">INDIRECT("Model!F"&amp;Pregnancy!E14)</f>
        <v>100</v>
      </c>
      <c r="G14" s="86">
        <f t="shared" ca="1" si="0"/>
        <v>74.625638017638749</v>
      </c>
    </row>
    <row r="15" spans="1:7">
      <c r="A15" s="71">
        <v>31</v>
      </c>
      <c r="B15" s="97">
        <f>Pregnancy.Calc!W15</f>
        <v>1.5570452536299481E-2</v>
      </c>
      <c r="C15" s="76">
        <f>Pregnancy.Calc!X15</f>
        <v>0.82</v>
      </c>
      <c r="D15" s="81">
        <f>LOG(1-Interface!$B$20)/LOG(1-B15)+0.5</f>
        <v>79.38094552538567</v>
      </c>
      <c r="E15" s="24">
        <f ca="1">CELL("row",INDEX(Model!S:S,MATCH(MAX(Model!S:S),Model!S:S,0)))</f>
        <v>101</v>
      </c>
      <c r="F15" s="83">
        <f ca="1">INDIRECT("Model!F"&amp;Pregnancy!E15)</f>
        <v>100</v>
      </c>
      <c r="G15" s="86">
        <f t="shared" ca="1" si="0"/>
        <v>79.38094552538567</v>
      </c>
    </row>
    <row r="16" spans="1:7">
      <c r="A16" s="71">
        <v>32</v>
      </c>
      <c r="B16" s="97">
        <f>Pregnancy.Calc!W16</f>
        <v>1.4646553613987387E-2</v>
      </c>
      <c r="C16" s="76">
        <f>Pregnancy.Calc!X16</f>
        <v>0.78500000000000003</v>
      </c>
      <c r="D16" s="81">
        <f>LOG(1-Interface!$B$20)/LOG(1-B16)+0.5</f>
        <v>84.395966178962439</v>
      </c>
      <c r="E16" s="24">
        <f ca="1">CELL("row",INDEX(Model!S:S,MATCH(MAX(Model!S:S),Model!S:S,0)))</f>
        <v>101</v>
      </c>
      <c r="F16" s="83">
        <f ca="1">INDIRECT("Model!F"&amp;Pregnancy!E16)</f>
        <v>100</v>
      </c>
      <c r="G16" s="86">
        <f t="shared" ca="1" si="0"/>
        <v>84.395966178962439</v>
      </c>
    </row>
    <row r="17" spans="1:7">
      <c r="A17" s="71">
        <v>33</v>
      </c>
      <c r="B17" s="97">
        <f>Pregnancy.Calc!W17</f>
        <v>1.3780573485517774E-2</v>
      </c>
      <c r="C17" s="76">
        <f>Pregnancy.Calc!X17</f>
        <v>0.75</v>
      </c>
      <c r="D17" s="81">
        <f>LOG(1-Interface!$B$20)/LOG(1-B17)+0.5</f>
        <v>89.707123496321614</v>
      </c>
      <c r="E17" s="24">
        <f ca="1">CELL("row",INDEX(Model!S:S,MATCH(MAX(Model!S:S),Model!S:S,0)))</f>
        <v>101</v>
      </c>
      <c r="F17" s="83">
        <f ca="1">INDIRECT("Model!F"&amp;Pregnancy!E17)</f>
        <v>100</v>
      </c>
      <c r="G17" s="86">
        <f t="shared" ca="1" si="0"/>
        <v>89.707123496321614</v>
      </c>
    </row>
    <row r="18" spans="1:7">
      <c r="A18" s="71">
        <v>34</v>
      </c>
      <c r="B18" s="97">
        <f>Pregnancy.Calc!W18</f>
        <v>1.2965403601659745E-2</v>
      </c>
      <c r="C18" s="76">
        <f>Pregnancy.Calc!X18</f>
        <v>0.71499999999999997</v>
      </c>
      <c r="D18" s="81">
        <f>LOG(1-Interface!$B$20)/LOG(1-B18)+0.5</f>
        <v>95.354905361362668</v>
      </c>
      <c r="E18" s="24">
        <f ca="1">CELL("row",INDEX(Model!S:S,MATCH(MAX(Model!S:S),Model!S:S,0)))</f>
        <v>101</v>
      </c>
      <c r="F18" s="83">
        <f ca="1">INDIRECT("Model!F"&amp;Pregnancy!E18)</f>
        <v>100</v>
      </c>
      <c r="G18" s="86">
        <f t="shared" ca="1" si="0"/>
        <v>95.354905361362668</v>
      </c>
    </row>
    <row r="19" spans="1:7">
      <c r="A19" s="71">
        <v>35</v>
      </c>
      <c r="B19" s="97">
        <f>Pregnancy.Calc!W19</f>
        <v>1.2195183568346923E-2</v>
      </c>
      <c r="C19" s="76">
        <f>Pregnancy.Calc!X19</f>
        <v>0.68</v>
      </c>
      <c r="D19" s="81">
        <f>LOG(1-Interface!$B$20)/LOG(1-B19)+0.5</f>
        <v>101.384981409247</v>
      </c>
      <c r="E19" s="24">
        <f ca="1">CELL("row",INDEX(Model!S:S,MATCH(MAX(Model!S:S),Model!S:S,0)))</f>
        <v>101</v>
      </c>
      <c r="F19" s="83">
        <f ca="1">INDIRECT("Model!F"&amp;Pregnancy!E19)</f>
        <v>100</v>
      </c>
      <c r="G19" s="86">
        <f t="shared" ca="1" si="0"/>
        <v>100</v>
      </c>
    </row>
    <row r="20" spans="1:7">
      <c r="A20" s="71">
        <v>36</v>
      </c>
      <c r="B20" s="97">
        <f>Pregnancy.Calc!W20</f>
        <v>1.1465023479918901E-2</v>
      </c>
      <c r="C20" s="76">
        <f>Pregnancy.Calc!X20</f>
        <v>0.64500000000000002</v>
      </c>
      <c r="D20" s="81">
        <f>LOG(1-Interface!$B$20)/LOG(1-B20)+0.5</f>
        <v>107.84950443245756</v>
      </c>
      <c r="E20" s="24">
        <f ca="1">CELL("row",INDEX(Model!S:S,MATCH(MAX(Model!S:S),Model!S:S,0)))</f>
        <v>101</v>
      </c>
      <c r="F20" s="83">
        <f ca="1">INDIRECT("Model!F"&amp;Pregnancy!E20)</f>
        <v>100</v>
      </c>
      <c r="G20" s="86">
        <f t="shared" ca="1" si="0"/>
        <v>100</v>
      </c>
    </row>
    <row r="21" spans="1:7">
      <c r="A21" s="71">
        <v>37</v>
      </c>
      <c r="B21" s="97">
        <f>Pregnancy.Calc!W21</f>
        <v>1.0770799645204387E-2</v>
      </c>
      <c r="C21" s="76">
        <f>Pregnancy.Calc!X21</f>
        <v>0.61</v>
      </c>
      <c r="D21" s="81">
        <f>LOG(1-Interface!$B$20)/LOG(1-B21)+0.5</f>
        <v>114.80867866513159</v>
      </c>
      <c r="E21" s="24">
        <f ca="1">CELL("row",INDEX(Model!S:S,MATCH(MAX(Model!S:S),Model!S:S,0)))</f>
        <v>101</v>
      </c>
      <c r="F21" s="83">
        <f ca="1">INDIRECT("Model!F"&amp;Pregnancy!E21)</f>
        <v>100</v>
      </c>
      <c r="G21" s="86">
        <f t="shared" ca="1" si="0"/>
        <v>100</v>
      </c>
    </row>
    <row r="22" spans="1:7">
      <c r="A22" s="71">
        <v>38</v>
      </c>
      <c r="B22" s="97">
        <f>Pregnancy.Calc!W22</f>
        <v>1.0109001547482213E-2</v>
      </c>
      <c r="C22" s="76">
        <f>Pregnancy.Calc!X22</f>
        <v>0.57499999999999996</v>
      </c>
      <c r="D22" s="81">
        <f>LOG(1-Interface!$B$20)/LOG(1-B22)+0.5</f>
        <v>122.33269712352684</v>
      </c>
      <c r="E22" s="24">
        <f ca="1">CELL("row",INDEX(Model!S:S,MATCH(MAX(Model!S:S),Model!S:S,0)))</f>
        <v>101</v>
      </c>
      <c r="F22" s="83">
        <f ca="1">INDIRECT("Model!F"&amp;Pregnancy!E22)</f>
        <v>100</v>
      </c>
      <c r="G22" s="86">
        <f t="shared" ca="1" si="0"/>
        <v>100</v>
      </c>
    </row>
    <row r="23" spans="1:7">
      <c r="A23" s="71">
        <v>39</v>
      </c>
      <c r="B23" s="97">
        <f>Pregnancy.Calc!W23</f>
        <v>9.4766153222484526E-3</v>
      </c>
      <c r="C23" s="76">
        <f>Pregnancy.Calc!X23</f>
        <v>0.54</v>
      </c>
      <c r="D23" s="81">
        <f>LOG(1-Interface!$B$20)/LOG(1-B23)+0.5</f>
        <v>130.50418148592618</v>
      </c>
      <c r="E23" s="24">
        <f ca="1">CELL("row",INDEX(Model!S:S,MATCH(MAX(Model!S:S),Model!S:S,0)))</f>
        <v>101</v>
      </c>
      <c r="F23" s="83">
        <f ca="1">INDIRECT("Model!F"&amp;Pregnancy!E23)</f>
        <v>100</v>
      </c>
      <c r="G23" s="86">
        <f t="shared" ca="1" si="0"/>
        <v>100</v>
      </c>
    </row>
    <row r="24" spans="1:7">
      <c r="A24" s="71">
        <v>40</v>
      </c>
      <c r="B24" s="97">
        <f>Pregnancy.Calc!W24</f>
        <v>8.8710337502010961E-3</v>
      </c>
      <c r="C24" s="76">
        <f>Pregnancy.Calc!X24</f>
        <v>0.505</v>
      </c>
      <c r="D24" s="81">
        <f>LOG(1-Interface!$B$20)/LOG(1-B24)+0.5</f>
        <v>139.42130545282771</v>
      </c>
      <c r="E24" s="24">
        <f ca="1">CELL("row",INDEX(Model!S:S,MATCH(MAX(Model!S:S),Model!S:S,0)))</f>
        <v>101</v>
      </c>
      <c r="F24" s="83">
        <f ca="1">INDIRECT("Model!F"&amp;Pregnancy!E24)</f>
        <v>100</v>
      </c>
      <c r="G24" s="86">
        <f t="shared" ca="1" si="0"/>
        <v>100</v>
      </c>
    </row>
    <row r="25" spans="1:7">
      <c r="A25" s="71">
        <v>41</v>
      </c>
      <c r="B25" s="97">
        <f>Pregnancy.Calc!W25</f>
        <v>8.2899858245492428E-3</v>
      </c>
      <c r="C25" s="76">
        <f>Pregnancy.Calc!X25</f>
        <v>0.47</v>
      </c>
      <c r="D25" s="81">
        <f>LOG(1-Interface!$B$20)/LOG(1-B25)+0.5</f>
        <v>149.20185339598783</v>
      </c>
      <c r="E25" s="24">
        <f ca="1">CELL("row",INDEX(Model!S:S,MATCH(MAX(Model!S:S),Model!S:S,0)))</f>
        <v>101</v>
      </c>
      <c r="F25" s="83">
        <f ca="1">INDIRECT("Model!F"&amp;Pregnancy!E25)</f>
        <v>100</v>
      </c>
      <c r="G25" s="86">
        <f t="shared" ca="1" si="0"/>
        <v>100</v>
      </c>
    </row>
    <row r="26" spans="1:7">
      <c r="A26" s="71">
        <v>42</v>
      </c>
      <c r="B26" s="97">
        <f>Pregnancy.Calc!W26</f>
        <v>7.7314809860949962E-3</v>
      </c>
      <c r="C26" s="76">
        <f>Pregnancy.Calc!X26</f>
        <v>0.435</v>
      </c>
      <c r="D26" s="81">
        <f>LOG(1-Interface!$B$20)/LOG(1-B26)+0.5</f>
        <v>159.98857237023049</v>
      </c>
      <c r="E26" s="24">
        <f ca="1">CELL("row",INDEX(Model!S:S,MATCH(MAX(Model!S:S),Model!S:S,0)))</f>
        <v>101</v>
      </c>
      <c r="F26" s="83">
        <f ca="1">INDIRECT("Model!F"&amp;Pregnancy!E26)</f>
        <v>100</v>
      </c>
      <c r="G26" s="86">
        <f t="shared" ca="1" si="0"/>
        <v>100</v>
      </c>
    </row>
    <row r="27" spans="1:7">
      <c r="A27" s="71">
        <v>43</v>
      </c>
      <c r="B27" s="97">
        <f>Pregnancy.Calc!W27</f>
        <v>7.1937644990620981E-3</v>
      </c>
      <c r="C27" s="76">
        <f>Pregnancy.Calc!X27</f>
        <v>0.4</v>
      </c>
      <c r="D27" s="81">
        <f>LOG(1-Interface!$B$20)/LOG(1-B27)+0.5</f>
        <v>171.95633697295651</v>
      </c>
      <c r="E27" s="24">
        <f ca="1">CELL("row",INDEX(Model!S:S,MATCH(MAX(Model!S:S),Model!S:S,0)))</f>
        <v>101</v>
      </c>
      <c r="F27" s="83">
        <f ca="1">INDIRECT("Model!F"&amp;Pregnancy!E27)</f>
        <v>100</v>
      </c>
      <c r="G27" s="86">
        <f t="shared" ca="1" si="0"/>
        <v>100</v>
      </c>
    </row>
    <row r="28" spans="1:7">
      <c r="A28" s="71">
        <v>44</v>
      </c>
      <c r="B28" s="97">
        <f>Pregnancy.Calc!W28</f>
        <v>6.6752813935105166E-3</v>
      </c>
      <c r="C28" s="76">
        <f>Pregnancy.Calc!X28</f>
        <v>0.36499999999999999</v>
      </c>
      <c r="D28" s="81">
        <f>LOG(1-Interface!$B$20)/LOG(1-B28)+0.5</f>
        <v>185.32189610609487</v>
      </c>
      <c r="E28" s="24">
        <f ca="1">CELL("row",INDEX(Model!S:S,MATCH(MAX(Model!S:S),Model!S:S,0)))</f>
        <v>101</v>
      </c>
      <c r="F28" s="83">
        <f ca="1">INDIRECT("Model!F"&amp;Pregnancy!E28)</f>
        <v>100</v>
      </c>
      <c r="G28" s="86">
        <f t="shared" ca="1" si="0"/>
        <v>100</v>
      </c>
    </row>
    <row r="29" spans="1:7">
      <c r="A29" s="71">
        <v>45</v>
      </c>
      <c r="B29" s="97">
        <f>Pregnancy.Calc!W29</f>
        <v>6.1746470694357498E-3</v>
      </c>
      <c r="C29" s="76">
        <f>Pregnancy.Calc!X29</f>
        <v>0.33306249999999998</v>
      </c>
      <c r="D29" s="81">
        <f>LOG(1-Interface!$B$20)/LOG(1-B29)+0.5</f>
        <v>200.35736485687852</v>
      </c>
      <c r="E29" s="24">
        <f ca="1">CELL("row",INDEX(Model!S:S,MATCH(MAX(Model!S:S),Model!S:S,0)))</f>
        <v>101</v>
      </c>
      <c r="F29" s="83">
        <f ca="1">INDIRECT("Model!F"&amp;Pregnancy!E29)</f>
        <v>100</v>
      </c>
      <c r="G29" s="86">
        <f t="shared" ca="1" si="0"/>
        <v>100</v>
      </c>
    </row>
    <row r="30" spans="1:7">
      <c r="A30" s="71">
        <v>46</v>
      </c>
      <c r="B30" s="97">
        <f>Pregnancy.Calc!W30</f>
        <v>5.6906231349449681E-3</v>
      </c>
      <c r="C30" s="76">
        <f>Pregnancy.Calc!X30</f>
        <v>0.30391953124999999</v>
      </c>
      <c r="D30" s="81">
        <f>LOG(1-Interface!$B$20)/LOG(1-B30)+0.5</f>
        <v>217.40926256061709</v>
      </c>
      <c r="E30" s="24">
        <f ca="1">CELL("row",INDEX(Model!S:S,MATCH(MAX(Model!S:S),Model!S:S,0)))</f>
        <v>101</v>
      </c>
      <c r="F30" s="83">
        <f ca="1">INDIRECT("Model!F"&amp;Pregnancy!E30)</f>
        <v>100</v>
      </c>
      <c r="G30" s="86">
        <f t="shared" ca="1" si="0"/>
        <v>100</v>
      </c>
    </row>
    <row r="31" spans="1:7">
      <c r="A31" s="71">
        <v>47</v>
      </c>
      <c r="B31" s="97">
        <f>Pregnancy.Calc!W31</f>
        <v>5.2220973960847572E-3</v>
      </c>
      <c r="C31" s="76">
        <f>Pregnancy.Calc!X31</f>
        <v>0.27732657226562496</v>
      </c>
      <c r="D31" s="81">
        <f>LOG(1-Interface!$B$20)/LOG(1-B31)+0.5</f>
        <v>236.92595908525547</v>
      </c>
      <c r="E31" s="24">
        <f ca="1">CELL("row",INDEX(Model!S:S,MATCH(MAX(Model!S:S),Model!S:S,0)))</f>
        <v>101</v>
      </c>
      <c r="F31" s="83">
        <f ca="1">INDIRECT("Model!F"&amp;Pregnancy!E31)</f>
        <v>100</v>
      </c>
      <c r="G31" s="86">
        <f t="shared" ca="1" si="0"/>
        <v>100</v>
      </c>
    </row>
    <row r="32" spans="1:7">
      <c r="A32" s="71">
        <v>48</v>
      </c>
      <c r="B32" s="97">
        <f>Pregnancy.Calc!W32</f>
        <v>4.7680671687667835E-3</v>
      </c>
      <c r="C32" s="76">
        <f>Pregnancy.Calc!X32</f>
        <v>0.25306049719238277</v>
      </c>
      <c r="D32" s="81">
        <f>LOG(1-Interface!$B$20)/LOG(1-B32)+0.5</f>
        <v>259.49821194721193</v>
      </c>
      <c r="E32" s="24">
        <f ca="1">CELL("row",INDEX(Model!S:S,MATCH(MAX(Model!S:S),Model!S:S,0)))</f>
        <v>101</v>
      </c>
      <c r="F32" s="83">
        <f ca="1">INDIRECT("Model!F"&amp;Pregnancy!E32)</f>
        <v>100</v>
      </c>
      <c r="G32" s="86">
        <f t="shared" ca="1" si="0"/>
        <v>100</v>
      </c>
    </row>
    <row r="33" spans="1:7">
      <c r="A33" s="71">
        <v>49</v>
      </c>
      <c r="B33" s="97">
        <f>Pregnancy.Calc!W33</f>
        <v>4.3276252706962266E-3</v>
      </c>
      <c r="C33" s="76">
        <f>Pregnancy.Calc!X33</f>
        <v>0.23091770368804929</v>
      </c>
      <c r="D33" s="81">
        <f>LOG(1-Interface!$B$20)/LOG(1-B33)+0.5</f>
        <v>285.92071330824677</v>
      </c>
      <c r="E33" s="24">
        <f ca="1">CELL("row",INDEX(Model!S:S,MATCH(MAX(Model!S:S),Model!S:S,0)))</f>
        <v>101</v>
      </c>
      <c r="F33" s="83">
        <f ca="1">INDIRECT("Model!F"&amp;Pregnancy!E33)</f>
        <v>100</v>
      </c>
      <c r="G33" s="86">
        <f t="shared" ca="1" si="0"/>
        <v>100</v>
      </c>
    </row>
    <row r="34" spans="1:7">
      <c r="A34" s="35"/>
      <c r="B34" s="98"/>
      <c r="C34" s="36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opLeftCell="T1" zoomScale="150" zoomScaleNormal="150" zoomScalePageLayoutView="150" workbookViewId="0">
      <selection activeCell="V2" sqref="V2:V33"/>
    </sheetView>
  </sheetViews>
  <sheetFormatPr baseColWidth="10" defaultRowHeight="12" x14ac:dyDescent="0"/>
  <cols>
    <col min="2" max="2" width="21.83203125" customWidth="1"/>
    <col min="3" max="3" width="21.6640625" customWidth="1"/>
    <col min="5" max="5" width="67.83203125" customWidth="1"/>
    <col min="7" max="8" width="21.5" customWidth="1"/>
    <col min="9" max="9" width="21.6640625" customWidth="1"/>
    <col min="10" max="10" width="19.1640625" customWidth="1"/>
    <col min="12" max="12" width="28" customWidth="1"/>
    <col min="19" max="20" width="21.5" customWidth="1"/>
    <col min="21" max="21" width="21.6640625" customWidth="1"/>
    <col min="22" max="22" width="19.1640625" style="95" customWidth="1"/>
    <col min="23" max="23" width="20.6640625" style="95" customWidth="1"/>
    <col min="24" max="24" width="10.6640625" customWidth="1"/>
    <col min="25" max="25" width="30.83203125" style="102" customWidth="1"/>
  </cols>
  <sheetData>
    <row r="1" spans="1:25" ht="15">
      <c r="A1" s="103" t="s">
        <v>47</v>
      </c>
      <c r="B1" s="103"/>
      <c r="C1" s="103"/>
      <c r="E1" s="60" t="s">
        <v>48</v>
      </c>
      <c r="F1" s="61" t="s">
        <v>34</v>
      </c>
      <c r="G1" s="62" t="s">
        <v>49</v>
      </c>
      <c r="H1" s="62" t="s">
        <v>50</v>
      </c>
      <c r="I1" s="62" t="s">
        <v>51</v>
      </c>
      <c r="J1" s="62" t="s">
        <v>52</v>
      </c>
      <c r="K1" s="62" t="s">
        <v>53</v>
      </c>
      <c r="L1" s="62" t="s">
        <v>54</v>
      </c>
      <c r="N1" s="63" t="s">
        <v>55</v>
      </c>
      <c r="O1" s="63" t="s">
        <v>56</v>
      </c>
      <c r="P1" s="64"/>
      <c r="Q1" s="64"/>
      <c r="R1" s="65" t="s">
        <v>34</v>
      </c>
      <c r="S1" s="66" t="s">
        <v>49</v>
      </c>
      <c r="T1" s="66" t="s">
        <v>50</v>
      </c>
      <c r="U1" s="66" t="s">
        <v>51</v>
      </c>
      <c r="V1" s="93" t="s">
        <v>52</v>
      </c>
      <c r="W1" s="93" t="s">
        <v>86</v>
      </c>
      <c r="X1" s="66" t="s">
        <v>53</v>
      </c>
      <c r="Y1" s="100" t="s">
        <v>87</v>
      </c>
    </row>
    <row r="2" spans="1:25" ht="62" thickBot="1">
      <c r="A2" s="28" t="s">
        <v>34</v>
      </c>
      <c r="B2" s="28" t="s">
        <v>35</v>
      </c>
      <c r="C2" s="29" t="s">
        <v>36</v>
      </c>
      <c r="E2" s="67" t="s">
        <v>57</v>
      </c>
      <c r="F2" s="68">
        <v>18</v>
      </c>
      <c r="G2" s="69">
        <v>0.88</v>
      </c>
      <c r="H2" s="69">
        <f>1-G2</f>
        <v>0.12</v>
      </c>
      <c r="I2" s="69">
        <f>H2^(1/12)</f>
        <v>0.83804068629273387</v>
      </c>
      <c r="J2" s="69">
        <f>1-I2</f>
        <v>0.16195931370726613</v>
      </c>
      <c r="K2" s="70">
        <v>0.89</v>
      </c>
      <c r="L2" s="69">
        <f>K2*J2</f>
        <v>0.14414378919946685</v>
      </c>
      <c r="N2" s="64">
        <v>21.5</v>
      </c>
      <c r="O2" s="64">
        <v>0.88</v>
      </c>
      <c r="P2" s="64"/>
      <c r="Q2" s="64"/>
      <c r="R2" s="71">
        <v>18</v>
      </c>
      <c r="S2" s="72">
        <f>1.416934-0.023392*R2</f>
        <v>0.99587799999999993</v>
      </c>
      <c r="T2" s="72">
        <f>1-S2</f>
        <v>4.1220000000000701E-3</v>
      </c>
      <c r="U2" s="72">
        <f>T2^(1/12)</f>
        <v>0.63278911349897149</v>
      </c>
      <c r="V2" s="94">
        <f>1-U2</f>
        <v>0.36721088650102851</v>
      </c>
      <c r="W2" s="94">
        <f>V2/6</f>
        <v>6.1201814416838085E-2</v>
      </c>
      <c r="X2" s="73">
        <v>0.89</v>
      </c>
      <c r="Y2" s="101">
        <f>W2*V2</f>
        <v>2.2473972527478542E-2</v>
      </c>
    </row>
    <row r="3" spans="1:25">
      <c r="A3" s="26">
        <v>18</v>
      </c>
      <c r="B3" s="26">
        <v>0.75</v>
      </c>
      <c r="C3" s="27">
        <v>0.89</v>
      </c>
      <c r="E3" s="74" t="s">
        <v>58</v>
      </c>
      <c r="F3" s="68">
        <v>19</v>
      </c>
      <c r="G3" s="69">
        <v>0.88</v>
      </c>
      <c r="H3" s="69">
        <f t="shared" ref="H3:H33" si="0">1-G3</f>
        <v>0.12</v>
      </c>
      <c r="I3" s="69">
        <f t="shared" ref="I3:I33" si="1">H3^(1/12)</f>
        <v>0.83804068629273387</v>
      </c>
      <c r="J3" s="69">
        <f t="shared" ref="J3:J33" si="2">1-I3</f>
        <v>0.16195931370726613</v>
      </c>
      <c r="K3" s="70">
        <v>0.89</v>
      </c>
      <c r="L3" s="69">
        <f t="shared" ref="L3:L33" si="3">K3*J3</f>
        <v>0.14414378919946685</v>
      </c>
      <c r="N3" s="64">
        <v>28</v>
      </c>
      <c r="O3" s="64">
        <v>0.8</v>
      </c>
      <c r="P3" s="64"/>
      <c r="Q3" s="64"/>
      <c r="R3" s="71">
        <v>19</v>
      </c>
      <c r="S3" s="72">
        <f t="shared" ref="S3:S33" si="4">1.416934-0.023392*R3</f>
        <v>0.97248599999999996</v>
      </c>
      <c r="T3" s="72">
        <f t="shared" ref="T3:T33" si="5">1-S3</f>
        <v>2.7514000000000038E-2</v>
      </c>
      <c r="U3" s="72">
        <f t="shared" ref="U3:U33" si="6">T3^(1/12)</f>
        <v>0.74124676513640864</v>
      </c>
      <c r="V3" s="94">
        <f t="shared" ref="V3:V33" si="7">1-U3</f>
        <v>0.25875323486359136</v>
      </c>
      <c r="W3" s="94">
        <f t="shared" ref="W3:W33" si="8">V3/6</f>
        <v>4.3125539143931892E-2</v>
      </c>
      <c r="X3" s="73">
        <v>0.89</v>
      </c>
      <c r="Y3" s="101">
        <f t="shared" ref="Y3:Y33" si="9">W3*V3</f>
        <v>1.1158872758728811E-2</v>
      </c>
    </row>
    <row r="4" spans="1:25">
      <c r="A4" s="24">
        <v>19</v>
      </c>
      <c r="B4" s="24">
        <v>0.75</v>
      </c>
      <c r="C4" s="25">
        <v>0.89</v>
      </c>
      <c r="E4" s="74" t="s">
        <v>59</v>
      </c>
      <c r="F4" s="68">
        <v>20</v>
      </c>
      <c r="G4" s="69">
        <v>0.88</v>
      </c>
      <c r="H4" s="69">
        <f t="shared" si="0"/>
        <v>0.12</v>
      </c>
      <c r="I4" s="69">
        <f t="shared" si="1"/>
        <v>0.83804068629273387</v>
      </c>
      <c r="J4" s="69">
        <f t="shared" si="2"/>
        <v>0.16195931370726613</v>
      </c>
      <c r="K4" s="70">
        <v>0.89</v>
      </c>
      <c r="L4" s="69">
        <f t="shared" si="3"/>
        <v>0.14414378919946685</v>
      </c>
      <c r="N4" s="64">
        <v>33</v>
      </c>
      <c r="O4" s="64">
        <v>0.65</v>
      </c>
      <c r="P4" s="64"/>
      <c r="Q4" s="64"/>
      <c r="R4" s="71">
        <v>20</v>
      </c>
      <c r="S4" s="72">
        <f t="shared" si="4"/>
        <v>0.94909399999999988</v>
      </c>
      <c r="T4" s="72">
        <f t="shared" si="5"/>
        <v>5.0906000000000118E-2</v>
      </c>
      <c r="U4" s="72">
        <f t="shared" si="6"/>
        <v>0.78024455711168172</v>
      </c>
      <c r="V4" s="94">
        <f t="shared" si="7"/>
        <v>0.21975544288831828</v>
      </c>
      <c r="W4" s="94">
        <f t="shared" si="8"/>
        <v>3.6625907148053048E-2</v>
      </c>
      <c r="X4" s="73">
        <v>0.89</v>
      </c>
      <c r="Y4" s="101">
        <f t="shared" si="9"/>
        <v>8.0487424465068205E-3</v>
      </c>
    </row>
    <row r="5" spans="1:25">
      <c r="A5" s="24">
        <v>20</v>
      </c>
      <c r="B5" s="24">
        <v>0.75</v>
      </c>
      <c r="C5" s="25">
        <v>0.89</v>
      </c>
      <c r="E5" s="74" t="s">
        <v>60</v>
      </c>
      <c r="F5" s="68">
        <v>21</v>
      </c>
      <c r="G5" s="69">
        <v>0.88</v>
      </c>
      <c r="H5" s="69">
        <f t="shared" si="0"/>
        <v>0.12</v>
      </c>
      <c r="I5" s="69">
        <f t="shared" si="1"/>
        <v>0.83804068629273387</v>
      </c>
      <c r="J5" s="69">
        <f t="shared" si="2"/>
        <v>0.16195931370726613</v>
      </c>
      <c r="K5" s="70">
        <v>0.89</v>
      </c>
      <c r="L5" s="69">
        <f t="shared" si="3"/>
        <v>0.14414378919946685</v>
      </c>
      <c r="N5" s="64">
        <v>38</v>
      </c>
      <c r="O5" s="64">
        <v>0.55000000000000004</v>
      </c>
      <c r="P5" s="64"/>
      <c r="Q5" s="64"/>
      <c r="R5" s="71">
        <v>21</v>
      </c>
      <c r="S5" s="72">
        <f t="shared" si="4"/>
        <v>0.92570199999999991</v>
      </c>
      <c r="T5" s="72">
        <f t="shared" si="5"/>
        <v>7.4298000000000086E-2</v>
      </c>
      <c r="U5" s="72">
        <f t="shared" si="6"/>
        <v>0.80522038369986237</v>
      </c>
      <c r="V5" s="94">
        <f t="shared" si="7"/>
        <v>0.19477961630013763</v>
      </c>
      <c r="W5" s="94">
        <f t="shared" si="8"/>
        <v>3.2463269383356273E-2</v>
      </c>
      <c r="X5" s="73">
        <v>0.89</v>
      </c>
      <c r="Y5" s="101">
        <f t="shared" si="9"/>
        <v>6.3231831543381399E-3</v>
      </c>
    </row>
    <row r="6" spans="1:25">
      <c r="A6" s="24">
        <v>21</v>
      </c>
      <c r="B6" s="24">
        <v>0.75</v>
      </c>
      <c r="C6" s="25">
        <v>0.89</v>
      </c>
      <c r="F6" s="68">
        <v>22</v>
      </c>
      <c r="G6" s="69">
        <v>0.88</v>
      </c>
      <c r="H6" s="69">
        <f t="shared" si="0"/>
        <v>0.12</v>
      </c>
      <c r="I6" s="69">
        <f t="shared" si="1"/>
        <v>0.83804068629273387</v>
      </c>
      <c r="J6" s="69">
        <f t="shared" si="2"/>
        <v>0.16195931370726613</v>
      </c>
      <c r="K6" s="70">
        <v>0.89</v>
      </c>
      <c r="L6" s="69">
        <f t="shared" si="3"/>
        <v>0.14414378919946685</v>
      </c>
      <c r="N6" s="64">
        <v>43</v>
      </c>
      <c r="O6" s="64">
        <v>0.38</v>
      </c>
      <c r="P6" s="64"/>
      <c r="Q6" s="64"/>
      <c r="R6" s="71">
        <v>22</v>
      </c>
      <c r="S6" s="72">
        <f t="shared" si="4"/>
        <v>0.90230999999999995</v>
      </c>
      <c r="T6" s="72">
        <f t="shared" si="5"/>
        <v>9.7690000000000055E-2</v>
      </c>
      <c r="U6" s="72">
        <f t="shared" si="6"/>
        <v>0.82379820716907226</v>
      </c>
      <c r="V6" s="94">
        <f t="shared" si="7"/>
        <v>0.17620179283092774</v>
      </c>
      <c r="W6" s="94">
        <f t="shared" si="8"/>
        <v>2.9366965471821289E-2</v>
      </c>
      <c r="X6" s="73">
        <v>0.89</v>
      </c>
      <c r="Y6" s="101">
        <f t="shared" si="9"/>
        <v>5.1745119661388631E-3</v>
      </c>
    </row>
    <row r="7" spans="1:25">
      <c r="A7" s="24">
        <v>22</v>
      </c>
      <c r="B7" s="24">
        <v>0.75</v>
      </c>
      <c r="C7" s="25">
        <v>0.89</v>
      </c>
      <c r="F7" s="68">
        <v>23</v>
      </c>
      <c r="G7" s="69">
        <v>0.88</v>
      </c>
      <c r="H7" s="69">
        <f t="shared" si="0"/>
        <v>0.12</v>
      </c>
      <c r="I7" s="69">
        <f t="shared" si="1"/>
        <v>0.83804068629273387</v>
      </c>
      <c r="J7" s="69">
        <f t="shared" si="2"/>
        <v>0.16195931370726613</v>
      </c>
      <c r="K7" s="70">
        <v>0.89</v>
      </c>
      <c r="L7" s="69">
        <f t="shared" si="3"/>
        <v>0.14414378919946685</v>
      </c>
      <c r="N7" s="64" t="s">
        <v>61</v>
      </c>
      <c r="O7" s="64"/>
      <c r="P7" s="64"/>
      <c r="Q7" s="64"/>
      <c r="R7" s="71">
        <v>23</v>
      </c>
      <c r="S7" s="72">
        <f t="shared" si="4"/>
        <v>0.87891799999999998</v>
      </c>
      <c r="T7" s="72">
        <f t="shared" si="5"/>
        <v>0.12108200000000002</v>
      </c>
      <c r="U7" s="72">
        <f t="shared" si="6"/>
        <v>0.83866779334610153</v>
      </c>
      <c r="V7" s="94">
        <f t="shared" si="7"/>
        <v>0.16133220665389847</v>
      </c>
      <c r="W7" s="94">
        <f t="shared" si="8"/>
        <v>2.6888701108983077E-2</v>
      </c>
      <c r="X7" s="73">
        <v>0.89</v>
      </c>
      <c r="Y7" s="101">
        <f t="shared" si="9"/>
        <v>4.3380134839693671E-3</v>
      </c>
    </row>
    <row r="8" spans="1:25">
      <c r="A8" s="24">
        <v>23</v>
      </c>
      <c r="B8" s="24">
        <v>0.75</v>
      </c>
      <c r="C8" s="25">
        <v>0.89</v>
      </c>
      <c r="F8" s="68">
        <v>24</v>
      </c>
      <c r="G8" s="69">
        <v>0.88</v>
      </c>
      <c r="H8" s="69">
        <f t="shared" si="0"/>
        <v>0.12</v>
      </c>
      <c r="I8" s="69">
        <f t="shared" si="1"/>
        <v>0.83804068629273387</v>
      </c>
      <c r="J8" s="69">
        <f t="shared" si="2"/>
        <v>0.16195931370726613</v>
      </c>
      <c r="K8" s="70">
        <v>0.89</v>
      </c>
      <c r="L8" s="69">
        <f t="shared" si="3"/>
        <v>0.14414378919946685</v>
      </c>
      <c r="N8" s="64" t="s">
        <v>62</v>
      </c>
      <c r="O8" s="64"/>
      <c r="P8" s="64"/>
      <c r="Q8" s="64"/>
      <c r="R8" s="71">
        <v>24</v>
      </c>
      <c r="S8" s="72">
        <f t="shared" si="4"/>
        <v>0.8555259999999999</v>
      </c>
      <c r="T8" s="72">
        <f t="shared" si="5"/>
        <v>0.1444740000000001</v>
      </c>
      <c r="U8" s="72">
        <f t="shared" si="6"/>
        <v>0.85110369261711527</v>
      </c>
      <c r="V8" s="94">
        <f t="shared" si="7"/>
        <v>0.14889630738288473</v>
      </c>
      <c r="W8" s="94">
        <f t="shared" si="8"/>
        <v>2.4816051230480789E-2</v>
      </c>
      <c r="X8" s="73">
        <v>0.89</v>
      </c>
      <c r="Y8" s="101">
        <f t="shared" si="9"/>
        <v>3.6950183920430825E-3</v>
      </c>
    </row>
    <row r="9" spans="1:25">
      <c r="A9" s="24">
        <v>24</v>
      </c>
      <c r="B9" s="24">
        <v>0.75</v>
      </c>
      <c r="C9" s="25">
        <v>0.89</v>
      </c>
      <c r="F9" s="68">
        <v>25</v>
      </c>
      <c r="G9" s="69">
        <v>0.88</v>
      </c>
      <c r="H9" s="69">
        <f t="shared" si="0"/>
        <v>0.12</v>
      </c>
      <c r="I9" s="69">
        <f t="shared" si="1"/>
        <v>0.83804068629273387</v>
      </c>
      <c r="J9" s="69">
        <f t="shared" si="2"/>
        <v>0.16195931370726613</v>
      </c>
      <c r="K9" s="70">
        <v>0.89</v>
      </c>
      <c r="L9" s="69">
        <f t="shared" si="3"/>
        <v>0.14414378919946685</v>
      </c>
      <c r="N9" s="64" t="s">
        <v>63</v>
      </c>
      <c r="O9" s="64"/>
      <c r="P9" s="64"/>
      <c r="Q9" s="64"/>
      <c r="R9" s="71">
        <v>25</v>
      </c>
      <c r="S9" s="72">
        <f t="shared" si="4"/>
        <v>0.83213399999999993</v>
      </c>
      <c r="T9" s="72">
        <f t="shared" si="5"/>
        <v>0.16786600000000007</v>
      </c>
      <c r="U9" s="72">
        <f t="shared" si="6"/>
        <v>0.86181403371652254</v>
      </c>
      <c r="V9" s="94">
        <f t="shared" si="7"/>
        <v>0.13818596628347746</v>
      </c>
      <c r="W9" s="94">
        <f t="shared" si="8"/>
        <v>2.3030994380579577E-2</v>
      </c>
      <c r="X9" s="73">
        <v>0.89</v>
      </c>
      <c r="Y9" s="101">
        <f t="shared" si="9"/>
        <v>3.1825602129497282E-3</v>
      </c>
    </row>
    <row r="10" spans="1:25">
      <c r="A10" s="24">
        <v>25</v>
      </c>
      <c r="B10" s="24">
        <v>0.72</v>
      </c>
      <c r="C10" s="25">
        <v>0.89</v>
      </c>
      <c r="F10" s="68">
        <v>26</v>
      </c>
      <c r="G10" s="69">
        <v>0.8</v>
      </c>
      <c r="H10" s="69">
        <f t="shared" si="0"/>
        <v>0.19999999999999996</v>
      </c>
      <c r="I10" s="69">
        <f t="shared" si="1"/>
        <v>0.87448527222116779</v>
      </c>
      <c r="J10" s="69">
        <f t="shared" si="2"/>
        <v>0.12551472777883221</v>
      </c>
      <c r="K10" s="70">
        <v>0.89</v>
      </c>
      <c r="L10" s="69">
        <f t="shared" si="3"/>
        <v>0.11170810772316067</v>
      </c>
      <c r="N10" s="64" t="s">
        <v>64</v>
      </c>
      <c r="O10" s="64"/>
      <c r="P10" s="64"/>
      <c r="Q10" s="64"/>
      <c r="R10" s="71">
        <v>26</v>
      </c>
      <c r="S10" s="72">
        <f t="shared" si="4"/>
        <v>0.80874199999999996</v>
      </c>
      <c r="T10" s="72">
        <f t="shared" si="5"/>
        <v>0.19125800000000004</v>
      </c>
      <c r="U10" s="72">
        <f t="shared" si="6"/>
        <v>0.87123430499400356</v>
      </c>
      <c r="V10" s="94">
        <f t="shared" si="7"/>
        <v>0.12876569500599644</v>
      </c>
      <c r="W10" s="94">
        <f t="shared" si="8"/>
        <v>2.1460949167666072E-2</v>
      </c>
      <c r="X10" s="73">
        <v>0.89</v>
      </c>
      <c r="Y10" s="101">
        <f t="shared" si="9"/>
        <v>2.7634340350628827E-3</v>
      </c>
    </row>
    <row r="11" spans="1:25">
      <c r="A11" s="24">
        <v>26</v>
      </c>
      <c r="B11" s="24">
        <v>0.72</v>
      </c>
      <c r="C11" s="25">
        <v>0.89</v>
      </c>
      <c r="F11" s="68">
        <v>27</v>
      </c>
      <c r="G11" s="69">
        <v>0.8</v>
      </c>
      <c r="H11" s="69">
        <f t="shared" si="0"/>
        <v>0.19999999999999996</v>
      </c>
      <c r="I11" s="69">
        <f t="shared" si="1"/>
        <v>0.87448527222116779</v>
      </c>
      <c r="J11" s="69">
        <f t="shared" si="2"/>
        <v>0.12551472777883221</v>
      </c>
      <c r="K11" s="70">
        <v>0.89</v>
      </c>
      <c r="L11" s="69">
        <f t="shared" si="3"/>
        <v>0.11170810772316067</v>
      </c>
      <c r="N11" s="64"/>
      <c r="O11" s="64"/>
      <c r="P11" s="64"/>
      <c r="Q11" s="64"/>
      <c r="R11" s="71">
        <v>27</v>
      </c>
      <c r="S11" s="72">
        <f t="shared" si="4"/>
        <v>0.78534999999999988</v>
      </c>
      <c r="T11" s="72">
        <f t="shared" si="5"/>
        <v>0.21465000000000012</v>
      </c>
      <c r="U11" s="72">
        <f t="shared" si="6"/>
        <v>0.87965202689578081</v>
      </c>
      <c r="V11" s="94">
        <f t="shared" si="7"/>
        <v>0.12034797310421919</v>
      </c>
      <c r="W11" s="94">
        <f t="shared" si="8"/>
        <v>2.0057995517369864E-2</v>
      </c>
      <c r="X11" s="73">
        <v>0.89</v>
      </c>
      <c r="Y11" s="101">
        <f t="shared" si="9"/>
        <v>2.4139391050489773E-3</v>
      </c>
    </row>
    <row r="12" spans="1:25">
      <c r="A12" s="24">
        <v>27</v>
      </c>
      <c r="B12" s="24">
        <v>0.72</v>
      </c>
      <c r="C12" s="25">
        <v>0.89</v>
      </c>
      <c r="F12" s="68">
        <v>28</v>
      </c>
      <c r="G12" s="69">
        <v>0.8</v>
      </c>
      <c r="H12" s="69">
        <f t="shared" si="0"/>
        <v>0.19999999999999996</v>
      </c>
      <c r="I12" s="69">
        <f t="shared" si="1"/>
        <v>0.87448527222116779</v>
      </c>
      <c r="J12" s="69">
        <f t="shared" si="2"/>
        <v>0.12551472777883221</v>
      </c>
      <c r="K12" s="70">
        <v>0.89</v>
      </c>
      <c r="L12" s="69">
        <f t="shared" si="3"/>
        <v>0.11170810772316067</v>
      </c>
      <c r="N12" s="64" t="s">
        <v>65</v>
      </c>
      <c r="O12" s="64"/>
      <c r="P12" s="64"/>
      <c r="Q12" s="64"/>
      <c r="R12" s="71">
        <v>28</v>
      </c>
      <c r="S12" s="72">
        <f t="shared" si="4"/>
        <v>0.76195799999999991</v>
      </c>
      <c r="T12" s="72">
        <f t="shared" si="5"/>
        <v>0.23804200000000009</v>
      </c>
      <c r="U12" s="72">
        <f t="shared" si="6"/>
        <v>0.88726727930099614</v>
      </c>
      <c r="V12" s="94">
        <f t="shared" si="7"/>
        <v>0.11273272069900386</v>
      </c>
      <c r="W12" s="94">
        <f t="shared" si="8"/>
        <v>1.8788786783167311E-2</v>
      </c>
      <c r="X12" s="73">
        <v>0.89</v>
      </c>
      <c r="Y12" s="101">
        <f t="shared" si="9"/>
        <v>2.1181110526999358E-3</v>
      </c>
    </row>
    <row r="13" spans="1:25">
      <c r="A13" s="24">
        <v>28</v>
      </c>
      <c r="B13" s="24">
        <v>0.72</v>
      </c>
      <c r="C13" s="25">
        <v>0.89</v>
      </c>
      <c r="F13" s="68">
        <v>29</v>
      </c>
      <c r="G13" s="69">
        <v>0.8</v>
      </c>
      <c r="H13" s="69">
        <f t="shared" si="0"/>
        <v>0.19999999999999996</v>
      </c>
      <c r="I13" s="69">
        <f t="shared" si="1"/>
        <v>0.87448527222116779</v>
      </c>
      <c r="J13" s="69">
        <f t="shared" si="2"/>
        <v>0.12551472777883221</v>
      </c>
      <c r="K13" s="70">
        <v>0.89</v>
      </c>
      <c r="L13" s="69">
        <f t="shared" si="3"/>
        <v>0.11170810772316067</v>
      </c>
      <c r="N13" s="64" t="s">
        <v>66</v>
      </c>
      <c r="O13" s="64"/>
      <c r="P13" s="64"/>
      <c r="Q13" s="64"/>
      <c r="R13" s="71">
        <v>29</v>
      </c>
      <c r="S13" s="72">
        <f t="shared" si="4"/>
        <v>0.73856599999999994</v>
      </c>
      <c r="T13" s="72">
        <f t="shared" si="5"/>
        <v>0.26143400000000006</v>
      </c>
      <c r="U13" s="72">
        <f t="shared" si="6"/>
        <v>0.89422506513473499</v>
      </c>
      <c r="V13" s="94">
        <f t="shared" si="7"/>
        <v>0.10577493486526501</v>
      </c>
      <c r="W13" s="94">
        <f t="shared" si="8"/>
        <v>1.7629155810877501E-2</v>
      </c>
      <c r="X13" s="73">
        <v>0.89</v>
      </c>
      <c r="Y13" s="101">
        <f t="shared" si="9"/>
        <v>1.8647228076251758E-3</v>
      </c>
    </row>
    <row r="14" spans="1:25">
      <c r="A14" s="24">
        <v>29</v>
      </c>
      <c r="B14" s="24">
        <v>0.72</v>
      </c>
      <c r="C14" s="25">
        <v>0.89</v>
      </c>
      <c r="F14" s="68">
        <v>30</v>
      </c>
      <c r="G14" s="69">
        <v>0.8</v>
      </c>
      <c r="H14" s="69">
        <f t="shared" si="0"/>
        <v>0.19999999999999996</v>
      </c>
      <c r="I14" s="69">
        <f t="shared" si="1"/>
        <v>0.87448527222116779</v>
      </c>
      <c r="J14" s="69">
        <f t="shared" si="2"/>
        <v>0.12551472777883221</v>
      </c>
      <c r="K14" s="70">
        <v>0.85499999999999998</v>
      </c>
      <c r="L14" s="69">
        <f t="shared" si="3"/>
        <v>0.10731509225090154</v>
      </c>
      <c r="N14" s="64"/>
      <c r="O14" s="64"/>
      <c r="P14" s="64"/>
      <c r="Q14" s="64"/>
      <c r="R14" s="71">
        <v>30</v>
      </c>
      <c r="S14" s="72">
        <f t="shared" si="4"/>
        <v>0.71517399999999998</v>
      </c>
      <c r="T14" s="72">
        <f t="shared" si="5"/>
        <v>0.28482600000000002</v>
      </c>
      <c r="U14" s="72">
        <f t="shared" si="6"/>
        <v>0.90063392638356943</v>
      </c>
      <c r="V14" s="94">
        <f t="shared" si="7"/>
        <v>9.9366073616430572E-2</v>
      </c>
      <c r="W14" s="94">
        <f t="shared" si="8"/>
        <v>1.6561012269405095E-2</v>
      </c>
      <c r="X14" s="73">
        <v>0.85499999999999998</v>
      </c>
      <c r="Y14" s="101">
        <f t="shared" si="9"/>
        <v>1.6456027643243166E-3</v>
      </c>
    </row>
    <row r="15" spans="1:25">
      <c r="A15" s="24">
        <v>30</v>
      </c>
      <c r="B15" s="24">
        <v>0.72</v>
      </c>
      <c r="C15" s="25">
        <v>0.85499999999999998</v>
      </c>
      <c r="F15" s="68">
        <v>31</v>
      </c>
      <c r="G15" s="69">
        <v>0.65</v>
      </c>
      <c r="H15" s="69">
        <f t="shared" si="0"/>
        <v>0.35</v>
      </c>
      <c r="I15" s="69">
        <f t="shared" si="1"/>
        <v>0.91623245282579358</v>
      </c>
      <c r="J15" s="69">
        <f t="shared" si="2"/>
        <v>8.3767547174206425E-2</v>
      </c>
      <c r="K15" s="70">
        <v>0.82</v>
      </c>
      <c r="L15" s="69">
        <f t="shared" si="3"/>
        <v>6.8689388682849267E-2</v>
      </c>
      <c r="N15" s="64" t="s">
        <v>67</v>
      </c>
      <c r="O15" s="64"/>
      <c r="P15" s="64"/>
      <c r="Q15" s="64"/>
      <c r="R15" s="71">
        <v>31</v>
      </c>
      <c r="S15" s="72">
        <f t="shared" si="4"/>
        <v>0.6917819999999999</v>
      </c>
      <c r="T15" s="72">
        <f t="shared" si="5"/>
        <v>0.3082180000000001</v>
      </c>
      <c r="U15" s="72">
        <f t="shared" si="6"/>
        <v>0.90657728478220312</v>
      </c>
      <c r="V15" s="94">
        <f t="shared" si="7"/>
        <v>9.3422715217796881E-2</v>
      </c>
      <c r="W15" s="94">
        <f t="shared" si="8"/>
        <v>1.5570452536299481E-2</v>
      </c>
      <c r="X15" s="73">
        <v>0.82</v>
      </c>
      <c r="Y15" s="101">
        <f t="shared" si="9"/>
        <v>1.4546339531109295E-3</v>
      </c>
    </row>
    <row r="16" spans="1:25">
      <c r="A16" s="24">
        <v>31</v>
      </c>
      <c r="B16" s="24">
        <v>0.72</v>
      </c>
      <c r="C16" s="25">
        <v>0.82</v>
      </c>
      <c r="F16" s="68">
        <v>32</v>
      </c>
      <c r="G16" s="69">
        <v>0.65</v>
      </c>
      <c r="H16" s="69">
        <f t="shared" si="0"/>
        <v>0.35</v>
      </c>
      <c r="I16" s="69">
        <f t="shared" si="1"/>
        <v>0.91623245282579358</v>
      </c>
      <c r="J16" s="69">
        <f t="shared" si="2"/>
        <v>8.3767547174206425E-2</v>
      </c>
      <c r="K16" s="70">
        <v>0.78500000000000003</v>
      </c>
      <c r="L16" s="69">
        <f t="shared" si="3"/>
        <v>6.5757524531752043E-2</v>
      </c>
      <c r="N16" s="64" t="s">
        <v>68</v>
      </c>
      <c r="O16" s="64"/>
      <c r="P16" s="64"/>
      <c r="Q16" s="64"/>
      <c r="R16" s="71">
        <v>32</v>
      </c>
      <c r="S16" s="72">
        <f t="shared" si="4"/>
        <v>0.66838999999999993</v>
      </c>
      <c r="T16" s="72">
        <f t="shared" si="5"/>
        <v>0.33161000000000007</v>
      </c>
      <c r="U16" s="72">
        <f t="shared" si="6"/>
        <v>0.91212067831607568</v>
      </c>
      <c r="V16" s="94">
        <f t="shared" si="7"/>
        <v>8.7879321683924316E-2</v>
      </c>
      <c r="W16" s="94">
        <f t="shared" si="8"/>
        <v>1.4646553613987387E-2</v>
      </c>
      <c r="X16" s="73">
        <v>0.78500000000000003</v>
      </c>
      <c r="Y16" s="101">
        <f t="shared" si="9"/>
        <v>1.2871291966044418E-3</v>
      </c>
    </row>
    <row r="17" spans="1:25">
      <c r="A17" s="24">
        <v>32</v>
      </c>
      <c r="B17" s="24">
        <v>0.72</v>
      </c>
      <c r="C17" s="25">
        <v>0.78500000000000003</v>
      </c>
      <c r="F17" s="68">
        <v>33</v>
      </c>
      <c r="G17" s="69">
        <v>0.65</v>
      </c>
      <c r="H17" s="69">
        <f t="shared" si="0"/>
        <v>0.35</v>
      </c>
      <c r="I17" s="69">
        <f t="shared" si="1"/>
        <v>0.91623245282579358</v>
      </c>
      <c r="J17" s="69">
        <f t="shared" si="2"/>
        <v>8.3767547174206425E-2</v>
      </c>
      <c r="K17" s="70">
        <v>0.75</v>
      </c>
      <c r="L17" s="69">
        <f t="shared" si="3"/>
        <v>6.2825660380654819E-2</v>
      </c>
      <c r="N17" s="64" t="s">
        <v>69</v>
      </c>
      <c r="O17" s="64"/>
      <c r="P17" s="64"/>
      <c r="Q17" s="64"/>
      <c r="R17" s="71">
        <v>33</v>
      </c>
      <c r="S17" s="72">
        <f t="shared" si="4"/>
        <v>0.64499799999999996</v>
      </c>
      <c r="T17" s="72">
        <f t="shared" si="5"/>
        <v>0.35500200000000004</v>
      </c>
      <c r="U17" s="72">
        <f t="shared" si="6"/>
        <v>0.91731655908689336</v>
      </c>
      <c r="V17" s="94">
        <f t="shared" si="7"/>
        <v>8.2683440913106643E-2</v>
      </c>
      <c r="W17" s="94">
        <f t="shared" si="8"/>
        <v>1.3780573485517774E-2</v>
      </c>
      <c r="X17" s="73">
        <v>0.75</v>
      </c>
      <c r="Y17" s="101">
        <f t="shared" si="9"/>
        <v>1.139425233538533E-3</v>
      </c>
    </row>
    <row r="18" spans="1:25">
      <c r="A18" s="24">
        <v>33</v>
      </c>
      <c r="B18" s="24">
        <v>0.72</v>
      </c>
      <c r="C18" s="25">
        <v>0.75</v>
      </c>
      <c r="F18" s="68">
        <v>34</v>
      </c>
      <c r="G18" s="69">
        <v>0.65</v>
      </c>
      <c r="H18" s="69">
        <f t="shared" si="0"/>
        <v>0.35</v>
      </c>
      <c r="I18" s="69">
        <f t="shared" si="1"/>
        <v>0.91623245282579358</v>
      </c>
      <c r="J18" s="69">
        <f t="shared" si="2"/>
        <v>8.3767547174206425E-2</v>
      </c>
      <c r="K18" s="70">
        <v>0.71499999999999997</v>
      </c>
      <c r="L18" s="69">
        <f t="shared" si="3"/>
        <v>5.9893796229557594E-2</v>
      </c>
      <c r="N18" s="64"/>
      <c r="O18" s="64"/>
      <c r="P18" s="64"/>
      <c r="Q18" s="64"/>
      <c r="R18" s="71">
        <v>34</v>
      </c>
      <c r="S18" s="72">
        <f t="shared" si="4"/>
        <v>0.62160599999999988</v>
      </c>
      <c r="T18" s="72">
        <f t="shared" si="5"/>
        <v>0.37839400000000012</v>
      </c>
      <c r="U18" s="72">
        <f t="shared" si="6"/>
        <v>0.92220757839004153</v>
      </c>
      <c r="V18" s="94">
        <f t="shared" si="7"/>
        <v>7.7792421609958473E-2</v>
      </c>
      <c r="W18" s="94">
        <f t="shared" si="8"/>
        <v>1.2965403601659745E-2</v>
      </c>
      <c r="X18" s="73">
        <v>0.71499999999999997</v>
      </c>
      <c r="Y18" s="101">
        <f t="shared" si="9"/>
        <v>1.008610143323589E-3</v>
      </c>
    </row>
    <row r="19" spans="1:25">
      <c r="A19" s="24">
        <v>34</v>
      </c>
      <c r="B19" s="24">
        <v>0.72</v>
      </c>
      <c r="C19" s="25">
        <v>0.71499999999999997</v>
      </c>
      <c r="F19" s="68">
        <v>35</v>
      </c>
      <c r="G19" s="69">
        <v>0.65</v>
      </c>
      <c r="H19" s="69">
        <f t="shared" si="0"/>
        <v>0.35</v>
      </c>
      <c r="I19" s="69">
        <f t="shared" si="1"/>
        <v>0.91623245282579358</v>
      </c>
      <c r="J19" s="69">
        <f t="shared" si="2"/>
        <v>8.3767547174206425E-2</v>
      </c>
      <c r="K19" s="70">
        <v>0.68</v>
      </c>
      <c r="L19" s="69">
        <f t="shared" si="3"/>
        <v>5.696193207846037E-2</v>
      </c>
      <c r="N19" s="64" t="s">
        <v>70</v>
      </c>
      <c r="O19" s="64"/>
      <c r="P19" s="64"/>
      <c r="Q19" s="64"/>
      <c r="R19" s="71">
        <v>35</v>
      </c>
      <c r="S19" s="72">
        <f t="shared" si="4"/>
        <v>0.59821399999999991</v>
      </c>
      <c r="T19" s="72">
        <f t="shared" si="5"/>
        <v>0.40178600000000009</v>
      </c>
      <c r="U19" s="72">
        <f t="shared" si="6"/>
        <v>0.92682889858991846</v>
      </c>
      <c r="V19" s="94">
        <f t="shared" si="7"/>
        <v>7.317110141008154E-2</v>
      </c>
      <c r="W19" s="94">
        <f t="shared" si="8"/>
        <v>1.2195183568346923E-2</v>
      </c>
      <c r="X19" s="73">
        <v>0.68</v>
      </c>
      <c r="Y19" s="101">
        <f t="shared" si="9"/>
        <v>8.9233501359407277E-4</v>
      </c>
    </row>
    <row r="20" spans="1:25">
      <c r="A20" s="24">
        <v>35</v>
      </c>
      <c r="B20" s="24">
        <v>0.49</v>
      </c>
      <c r="C20" s="25">
        <v>0.68</v>
      </c>
      <c r="F20" s="68">
        <v>36</v>
      </c>
      <c r="G20" s="69">
        <v>0.55000000000000004</v>
      </c>
      <c r="H20" s="69">
        <f t="shared" si="0"/>
        <v>0.44999999999999996</v>
      </c>
      <c r="I20" s="69">
        <f t="shared" si="1"/>
        <v>0.93562333065009839</v>
      </c>
      <c r="J20" s="69">
        <f t="shared" si="2"/>
        <v>6.4376669349901605E-2</v>
      </c>
      <c r="K20" s="70">
        <v>0.64500000000000002</v>
      </c>
      <c r="L20" s="69">
        <f t="shared" si="3"/>
        <v>4.1522951730686534E-2</v>
      </c>
      <c r="N20" s="64" t="s">
        <v>71</v>
      </c>
      <c r="O20" s="64"/>
      <c r="P20" s="64"/>
      <c r="Q20" s="64"/>
      <c r="R20" s="71">
        <v>36</v>
      </c>
      <c r="S20" s="72">
        <f t="shared" si="4"/>
        <v>0.57482199999999994</v>
      </c>
      <c r="T20" s="72">
        <f t="shared" si="5"/>
        <v>0.42517800000000006</v>
      </c>
      <c r="U20" s="72">
        <f t="shared" si="6"/>
        <v>0.93120985912048659</v>
      </c>
      <c r="V20" s="94">
        <f t="shared" si="7"/>
        <v>6.8790140879513406E-2</v>
      </c>
      <c r="W20" s="94">
        <f t="shared" si="8"/>
        <v>1.1465023479918901E-2</v>
      </c>
      <c r="X20" s="73">
        <v>0.64500000000000002</v>
      </c>
      <c r="Y20" s="101">
        <f t="shared" si="9"/>
        <v>7.8868058037055027E-4</v>
      </c>
    </row>
    <row r="21" spans="1:25">
      <c r="A21" s="24">
        <v>36</v>
      </c>
      <c r="B21" s="24">
        <v>0.49</v>
      </c>
      <c r="C21" s="25">
        <v>0.64500000000000002</v>
      </c>
      <c r="F21" s="68">
        <v>37</v>
      </c>
      <c r="G21" s="69">
        <v>0.55000000000000004</v>
      </c>
      <c r="H21" s="69">
        <f t="shared" si="0"/>
        <v>0.44999999999999996</v>
      </c>
      <c r="I21" s="69">
        <f t="shared" si="1"/>
        <v>0.93562333065009839</v>
      </c>
      <c r="J21" s="69">
        <f t="shared" si="2"/>
        <v>6.4376669349901605E-2</v>
      </c>
      <c r="K21" s="70">
        <v>0.61</v>
      </c>
      <c r="L21" s="69">
        <f t="shared" si="3"/>
        <v>3.9269768303439978E-2</v>
      </c>
      <c r="N21" s="64" t="s">
        <v>72</v>
      </c>
      <c r="O21" s="64"/>
      <c r="P21" s="64"/>
      <c r="Q21" s="64"/>
      <c r="R21" s="71">
        <v>37</v>
      </c>
      <c r="S21" s="72">
        <f t="shared" si="4"/>
        <v>0.55142999999999998</v>
      </c>
      <c r="T21" s="72">
        <f t="shared" si="5"/>
        <v>0.44857000000000002</v>
      </c>
      <c r="U21" s="72">
        <f t="shared" si="6"/>
        <v>0.93537520212877368</v>
      </c>
      <c r="V21" s="94">
        <f t="shared" si="7"/>
        <v>6.4624797871226325E-2</v>
      </c>
      <c r="W21" s="94">
        <f t="shared" si="8"/>
        <v>1.0770799645204387E-2</v>
      </c>
      <c r="X21" s="73">
        <v>0.61</v>
      </c>
      <c r="Y21" s="101">
        <f t="shared" si="9"/>
        <v>6.9606074998280977E-4</v>
      </c>
    </row>
    <row r="22" spans="1:25">
      <c r="A22" s="24">
        <v>37</v>
      </c>
      <c r="B22" s="24">
        <v>0.49</v>
      </c>
      <c r="C22" s="25">
        <v>0.61</v>
      </c>
      <c r="F22" s="68">
        <v>38</v>
      </c>
      <c r="G22" s="69">
        <v>0.55000000000000004</v>
      </c>
      <c r="H22" s="69">
        <f t="shared" si="0"/>
        <v>0.44999999999999996</v>
      </c>
      <c r="I22" s="69">
        <f t="shared" si="1"/>
        <v>0.93562333065009839</v>
      </c>
      <c r="J22" s="69">
        <f t="shared" si="2"/>
        <v>6.4376669349901605E-2</v>
      </c>
      <c r="K22" s="70">
        <v>0.57499999999999996</v>
      </c>
      <c r="L22" s="69">
        <f t="shared" si="3"/>
        <v>3.7016584876193422E-2</v>
      </c>
      <c r="N22" s="64" t="s">
        <v>73</v>
      </c>
      <c r="O22" s="64"/>
      <c r="P22" s="64"/>
      <c r="Q22" s="64"/>
      <c r="R22" s="71">
        <v>38</v>
      </c>
      <c r="S22" s="72">
        <f t="shared" si="4"/>
        <v>0.5280379999999999</v>
      </c>
      <c r="T22" s="72">
        <f t="shared" si="5"/>
        <v>0.4719620000000001</v>
      </c>
      <c r="U22" s="72">
        <f t="shared" si="6"/>
        <v>0.93934599071510672</v>
      </c>
      <c r="V22" s="94">
        <f t="shared" si="7"/>
        <v>6.0654009284893284E-2</v>
      </c>
      <c r="W22" s="94">
        <f t="shared" si="8"/>
        <v>1.0109001547482213E-2</v>
      </c>
      <c r="X22" s="73">
        <v>0.57499999999999996</v>
      </c>
      <c r="Y22" s="101">
        <f t="shared" si="9"/>
        <v>6.1315147372198681E-4</v>
      </c>
    </row>
    <row r="23" spans="1:25">
      <c r="A23" s="24">
        <v>38</v>
      </c>
      <c r="B23" s="24">
        <v>0.49</v>
      </c>
      <c r="C23" s="25">
        <v>0.57499999999999996</v>
      </c>
      <c r="F23" s="68">
        <v>39</v>
      </c>
      <c r="G23" s="69">
        <v>0.55000000000000004</v>
      </c>
      <c r="H23" s="69">
        <f t="shared" si="0"/>
        <v>0.44999999999999996</v>
      </c>
      <c r="I23" s="69">
        <f t="shared" si="1"/>
        <v>0.93562333065009839</v>
      </c>
      <c r="J23" s="69">
        <f t="shared" si="2"/>
        <v>6.4376669349901605E-2</v>
      </c>
      <c r="K23" s="70">
        <v>0.54</v>
      </c>
      <c r="L23" s="69">
        <f t="shared" si="3"/>
        <v>3.4763401448946872E-2</v>
      </c>
      <c r="N23" s="64" t="s">
        <v>74</v>
      </c>
      <c r="O23" s="64"/>
      <c r="P23" s="64"/>
      <c r="Q23" s="64"/>
      <c r="R23" s="71">
        <v>39</v>
      </c>
      <c r="S23" s="72">
        <f t="shared" si="4"/>
        <v>0.50464599999999993</v>
      </c>
      <c r="T23" s="72">
        <f t="shared" si="5"/>
        <v>0.49535400000000007</v>
      </c>
      <c r="U23" s="72">
        <f t="shared" si="6"/>
        <v>0.94314030806650928</v>
      </c>
      <c r="V23" s="94">
        <f t="shared" si="7"/>
        <v>5.6859691933490719E-2</v>
      </c>
      <c r="W23" s="94">
        <f t="shared" si="8"/>
        <v>9.4766153222484526E-3</v>
      </c>
      <c r="X23" s="73">
        <v>0.54</v>
      </c>
      <c r="Y23" s="101">
        <f t="shared" si="9"/>
        <v>5.3883742779524488E-4</v>
      </c>
    </row>
    <row r="24" spans="1:25">
      <c r="A24" s="24">
        <v>39</v>
      </c>
      <c r="B24" s="24">
        <v>0.49</v>
      </c>
      <c r="C24" s="25">
        <v>0.54</v>
      </c>
      <c r="F24" s="68">
        <v>40</v>
      </c>
      <c r="G24" s="69">
        <v>0.55000000000000004</v>
      </c>
      <c r="H24" s="69">
        <f t="shared" si="0"/>
        <v>0.44999999999999996</v>
      </c>
      <c r="I24" s="69">
        <f t="shared" si="1"/>
        <v>0.93562333065009839</v>
      </c>
      <c r="J24" s="69">
        <f t="shared" si="2"/>
        <v>6.4376669349901605E-2</v>
      </c>
      <c r="K24" s="70">
        <v>0.505</v>
      </c>
      <c r="L24" s="69">
        <f t="shared" si="3"/>
        <v>3.2510218021700309E-2</v>
      </c>
      <c r="N24" s="64" t="s">
        <v>75</v>
      </c>
      <c r="O24" s="64"/>
      <c r="P24" s="64"/>
      <c r="Q24" s="64"/>
      <c r="R24" s="71">
        <v>40</v>
      </c>
      <c r="S24" s="72">
        <f t="shared" si="4"/>
        <v>0.48125399999999996</v>
      </c>
      <c r="T24" s="72">
        <f t="shared" si="5"/>
        <v>0.51874600000000004</v>
      </c>
      <c r="U24" s="72">
        <f t="shared" si="6"/>
        <v>0.94677379749879342</v>
      </c>
      <c r="V24" s="94">
        <f t="shared" si="7"/>
        <v>5.3226202501206576E-2</v>
      </c>
      <c r="W24" s="94">
        <f t="shared" si="8"/>
        <v>8.8710337502010961E-3</v>
      </c>
      <c r="X24" s="73">
        <v>0.505</v>
      </c>
      <c r="Y24" s="101">
        <f t="shared" si="9"/>
        <v>4.7217143878324153E-4</v>
      </c>
    </row>
    <row r="25" spans="1:25">
      <c r="A25" s="24">
        <v>40</v>
      </c>
      <c r="B25" s="24">
        <v>0.49</v>
      </c>
      <c r="C25" s="25">
        <v>0.505</v>
      </c>
      <c r="F25" s="68">
        <v>41</v>
      </c>
      <c r="G25" s="69">
        <v>0.38</v>
      </c>
      <c r="H25" s="69">
        <f t="shared" si="0"/>
        <v>0.62</v>
      </c>
      <c r="I25" s="69">
        <f t="shared" si="1"/>
        <v>0.96094671716639057</v>
      </c>
      <c r="J25" s="69">
        <f t="shared" si="2"/>
        <v>3.9053282833609426E-2</v>
      </c>
      <c r="K25" s="70">
        <v>0.47</v>
      </c>
      <c r="L25" s="69">
        <f t="shared" si="3"/>
        <v>1.835504293179643E-2</v>
      </c>
      <c r="N25" s="64"/>
      <c r="O25" s="64"/>
      <c r="P25" s="64"/>
      <c r="Q25" s="64"/>
      <c r="R25" s="71">
        <v>41</v>
      </c>
      <c r="S25" s="72">
        <f t="shared" si="4"/>
        <v>0.45786199999999988</v>
      </c>
      <c r="T25" s="72">
        <f t="shared" si="5"/>
        <v>0.54213800000000012</v>
      </c>
      <c r="U25" s="72">
        <f t="shared" si="6"/>
        <v>0.95026008505270454</v>
      </c>
      <c r="V25" s="94">
        <f t="shared" si="7"/>
        <v>4.973991494729546E-2</v>
      </c>
      <c r="W25" s="94">
        <f t="shared" si="8"/>
        <v>8.2899858245492428E-3</v>
      </c>
      <c r="X25" s="73">
        <v>0.47</v>
      </c>
      <c r="Y25" s="101">
        <f t="shared" si="9"/>
        <v>4.1234318982736435E-4</v>
      </c>
    </row>
    <row r="26" spans="1:25">
      <c r="A26" s="24">
        <v>41</v>
      </c>
      <c r="B26" s="24">
        <v>0.49</v>
      </c>
      <c r="C26" s="25">
        <v>0.47</v>
      </c>
      <c r="F26" s="68">
        <v>42</v>
      </c>
      <c r="G26" s="69">
        <v>0.38</v>
      </c>
      <c r="H26" s="69">
        <f t="shared" si="0"/>
        <v>0.62</v>
      </c>
      <c r="I26" s="69">
        <f t="shared" si="1"/>
        <v>0.96094671716639057</v>
      </c>
      <c r="J26" s="69">
        <f t="shared" si="2"/>
        <v>3.9053282833609426E-2</v>
      </c>
      <c r="K26" s="70">
        <v>0.435</v>
      </c>
      <c r="L26" s="69">
        <f t="shared" si="3"/>
        <v>1.6988178032620101E-2</v>
      </c>
      <c r="N26" s="64" t="s">
        <v>76</v>
      </c>
      <c r="O26" s="64"/>
      <c r="P26" s="64"/>
      <c r="Q26" s="64"/>
      <c r="R26" s="71">
        <v>42</v>
      </c>
      <c r="S26" s="72">
        <f t="shared" si="4"/>
        <v>0.43446999999999991</v>
      </c>
      <c r="T26" s="72">
        <f t="shared" si="5"/>
        <v>0.56553000000000009</v>
      </c>
      <c r="U26" s="72">
        <f t="shared" si="6"/>
        <v>0.95361111408343002</v>
      </c>
      <c r="V26" s="94">
        <f t="shared" si="7"/>
        <v>4.6388885916569977E-2</v>
      </c>
      <c r="W26" s="94">
        <f t="shared" si="8"/>
        <v>7.7314809860949962E-3</v>
      </c>
      <c r="X26" s="73">
        <v>0.435</v>
      </c>
      <c r="Y26" s="101">
        <f t="shared" si="9"/>
        <v>3.5865478943009071E-4</v>
      </c>
    </row>
    <row r="27" spans="1:25">
      <c r="A27" s="24">
        <v>42</v>
      </c>
      <c r="B27" s="24">
        <v>0.49</v>
      </c>
      <c r="C27" s="25">
        <v>0.435</v>
      </c>
      <c r="F27" s="68">
        <v>43</v>
      </c>
      <c r="G27" s="69">
        <v>0.38</v>
      </c>
      <c r="H27" s="69">
        <f t="shared" si="0"/>
        <v>0.62</v>
      </c>
      <c r="I27" s="69">
        <f t="shared" si="1"/>
        <v>0.96094671716639057</v>
      </c>
      <c r="J27" s="69">
        <f t="shared" si="2"/>
        <v>3.9053282833609426E-2</v>
      </c>
      <c r="K27" s="70">
        <v>0.4</v>
      </c>
      <c r="L27" s="69">
        <f t="shared" si="3"/>
        <v>1.5621313133443771E-2</v>
      </c>
      <c r="N27" s="64" t="s">
        <v>77</v>
      </c>
      <c r="O27" s="64" t="s">
        <v>78</v>
      </c>
      <c r="P27" s="64"/>
      <c r="Q27" s="64"/>
      <c r="R27" s="71">
        <v>43</v>
      </c>
      <c r="S27" s="72">
        <f t="shared" si="4"/>
        <v>0.41107799999999983</v>
      </c>
      <c r="T27" s="72">
        <f t="shared" si="5"/>
        <v>0.58892200000000017</v>
      </c>
      <c r="U27" s="72">
        <f t="shared" si="6"/>
        <v>0.95683741300562741</v>
      </c>
      <c r="V27" s="94">
        <f t="shared" si="7"/>
        <v>4.3162586994372587E-2</v>
      </c>
      <c r="W27" s="94">
        <f t="shared" si="8"/>
        <v>7.1937644990620981E-3</v>
      </c>
      <c r="X27" s="73">
        <v>0.4</v>
      </c>
      <c r="Y27" s="101">
        <f t="shared" si="9"/>
        <v>3.1050148600779697E-4</v>
      </c>
    </row>
    <row r="28" spans="1:25">
      <c r="A28" s="24">
        <v>43</v>
      </c>
      <c r="B28" s="24">
        <v>0.49</v>
      </c>
      <c r="C28" s="25">
        <v>0.4</v>
      </c>
      <c r="F28" s="68">
        <v>44</v>
      </c>
      <c r="G28" s="69">
        <v>0.38</v>
      </c>
      <c r="H28" s="69">
        <f t="shared" si="0"/>
        <v>0.62</v>
      </c>
      <c r="I28" s="69">
        <f t="shared" si="1"/>
        <v>0.96094671716639057</v>
      </c>
      <c r="J28" s="69">
        <f t="shared" si="2"/>
        <v>3.9053282833609426E-2</v>
      </c>
      <c r="K28" s="70">
        <v>0.36499999999999999</v>
      </c>
      <c r="L28" s="69">
        <f t="shared" si="3"/>
        <v>1.425444823426744E-2</v>
      </c>
      <c r="N28" s="64" t="s">
        <v>79</v>
      </c>
      <c r="O28" s="64"/>
      <c r="P28" s="64"/>
      <c r="Q28" s="64"/>
      <c r="R28" s="71">
        <v>44</v>
      </c>
      <c r="S28" s="72">
        <f t="shared" si="4"/>
        <v>0.38768599999999998</v>
      </c>
      <c r="T28" s="72">
        <f t="shared" si="5"/>
        <v>0.61231400000000002</v>
      </c>
      <c r="U28" s="72">
        <f t="shared" si="6"/>
        <v>0.9599483116389369</v>
      </c>
      <c r="V28" s="94">
        <f t="shared" si="7"/>
        <v>4.0051688361063098E-2</v>
      </c>
      <c r="W28" s="94">
        <f t="shared" si="8"/>
        <v>6.6752813935105166E-3</v>
      </c>
      <c r="X28" s="73">
        <v>0.36499999999999999</v>
      </c>
      <c r="Y28" s="101">
        <f t="shared" si="9"/>
        <v>2.6735629009528623E-4</v>
      </c>
    </row>
    <row r="29" spans="1:25">
      <c r="A29" s="24">
        <v>44</v>
      </c>
      <c r="B29" s="24">
        <v>0.49</v>
      </c>
      <c r="C29" s="25">
        <v>0.36499999999999999</v>
      </c>
      <c r="F29" s="68">
        <v>45</v>
      </c>
      <c r="G29" s="69">
        <v>0.38</v>
      </c>
      <c r="H29" s="69">
        <f t="shared" si="0"/>
        <v>0.62</v>
      </c>
      <c r="I29" s="69">
        <f t="shared" si="1"/>
        <v>0.96094671716639057</v>
      </c>
      <c r="J29" s="69">
        <f t="shared" si="2"/>
        <v>3.9053282833609426E-2</v>
      </c>
      <c r="K29" s="70">
        <f>($C$29/$C$28)*K28</f>
        <v>0.33306249999999998</v>
      </c>
      <c r="L29" s="69">
        <f t="shared" si="3"/>
        <v>1.3007184013769039E-2</v>
      </c>
      <c r="R29" s="71">
        <v>45</v>
      </c>
      <c r="S29" s="72">
        <f t="shared" si="4"/>
        <v>0.3642939999999999</v>
      </c>
      <c r="T29" s="72">
        <f t="shared" si="5"/>
        <v>0.6357060000000001</v>
      </c>
      <c r="U29" s="72">
        <f t="shared" si="6"/>
        <v>0.9629521175833855</v>
      </c>
      <c r="V29" s="94">
        <f t="shared" si="7"/>
        <v>3.7047882416614497E-2</v>
      </c>
      <c r="W29" s="94">
        <f t="shared" si="8"/>
        <v>6.1746470694357498E-3</v>
      </c>
      <c r="X29" s="73">
        <f>($C$29/$C$28)*X28</f>
        <v>0.33306249999999998</v>
      </c>
      <c r="Y29" s="101">
        <f t="shared" si="9"/>
        <v>2.2875759859254896E-4</v>
      </c>
    </row>
    <row r="30" spans="1:25">
      <c r="A30" s="24">
        <v>45</v>
      </c>
      <c r="B30" s="24">
        <v>0.49</v>
      </c>
      <c r="C30" s="25">
        <f>($C$29/$C$28)*C29</f>
        <v>0.33306249999999998</v>
      </c>
      <c r="F30" s="68">
        <v>46</v>
      </c>
      <c r="G30" s="69">
        <v>0.38</v>
      </c>
      <c r="H30" s="69">
        <f t="shared" si="0"/>
        <v>0.62</v>
      </c>
      <c r="I30" s="69">
        <f t="shared" si="1"/>
        <v>0.96094671716639057</v>
      </c>
      <c r="J30" s="69">
        <f t="shared" si="2"/>
        <v>3.9053282833609426E-2</v>
      </c>
      <c r="K30" s="70">
        <f>($C$29/$C$28)*K29</f>
        <v>0.30391953124999999</v>
      </c>
      <c r="L30" s="69">
        <f t="shared" si="3"/>
        <v>1.1869055412564248E-2</v>
      </c>
      <c r="R30" s="71">
        <v>46</v>
      </c>
      <c r="S30" s="72">
        <f t="shared" si="4"/>
        <v>0.34090200000000004</v>
      </c>
      <c r="T30" s="72">
        <f t="shared" si="5"/>
        <v>0.65909799999999996</v>
      </c>
      <c r="U30" s="72">
        <f t="shared" si="6"/>
        <v>0.96585626119033019</v>
      </c>
      <c r="V30" s="94">
        <f t="shared" si="7"/>
        <v>3.414373880966981E-2</v>
      </c>
      <c r="W30" s="94">
        <f t="shared" si="8"/>
        <v>5.6906231349449681E-3</v>
      </c>
      <c r="X30" s="73">
        <f>($C$29/$C$28)*X29</f>
        <v>0.30391953124999999</v>
      </c>
      <c r="Y30" s="101">
        <f t="shared" si="9"/>
        <v>1.942991499838254E-4</v>
      </c>
    </row>
    <row r="31" spans="1:25">
      <c r="A31" s="24">
        <v>46</v>
      </c>
      <c r="B31" s="24">
        <v>0.49</v>
      </c>
      <c r="C31" s="25">
        <f>($C$29/$C$28)*C30</f>
        <v>0.30391953124999999</v>
      </c>
      <c r="F31" s="68">
        <v>47</v>
      </c>
      <c r="G31" s="69">
        <v>0.38</v>
      </c>
      <c r="H31" s="69">
        <f t="shared" si="0"/>
        <v>0.62</v>
      </c>
      <c r="I31" s="69">
        <f t="shared" si="1"/>
        <v>0.96094671716639057</v>
      </c>
      <c r="J31" s="69">
        <f t="shared" si="2"/>
        <v>3.9053282833609426E-2</v>
      </c>
      <c r="K31" s="70">
        <f>($C$29/$C$28)*K30</f>
        <v>0.27732657226562496</v>
      </c>
      <c r="L31" s="69">
        <f t="shared" si="3"/>
        <v>1.0830513063964875E-2</v>
      </c>
      <c r="R31" s="71">
        <v>47</v>
      </c>
      <c r="S31" s="72">
        <f t="shared" si="4"/>
        <v>0.31750999999999996</v>
      </c>
      <c r="T31" s="72">
        <f t="shared" si="5"/>
        <v>0.68249000000000004</v>
      </c>
      <c r="U31" s="72">
        <f t="shared" si="6"/>
        <v>0.96866741562349146</v>
      </c>
      <c r="V31" s="94">
        <f t="shared" si="7"/>
        <v>3.1332584376508543E-2</v>
      </c>
      <c r="W31" s="94">
        <f t="shared" si="8"/>
        <v>5.2220973960847572E-3</v>
      </c>
      <c r="X31" s="73">
        <f>($C$29/$C$28)*X30</f>
        <v>0.27732657226562496</v>
      </c>
      <c r="Y31" s="101">
        <f t="shared" si="9"/>
        <v>1.6362180728517122E-4</v>
      </c>
    </row>
    <row r="32" spans="1:25">
      <c r="A32" s="24">
        <v>47</v>
      </c>
      <c r="B32" s="24">
        <v>0.49</v>
      </c>
      <c r="C32" s="25">
        <f>($C$29/$C$28)*C31</f>
        <v>0.27732657226562496</v>
      </c>
      <c r="F32" s="68">
        <v>48</v>
      </c>
      <c r="G32" s="69">
        <v>0.38</v>
      </c>
      <c r="H32" s="69">
        <f t="shared" si="0"/>
        <v>0.62</v>
      </c>
      <c r="I32" s="69">
        <f t="shared" si="1"/>
        <v>0.96094671716639057</v>
      </c>
      <c r="J32" s="69">
        <f t="shared" si="2"/>
        <v>3.9053282833609426E-2</v>
      </c>
      <c r="K32" s="70">
        <f>($C$29/$C$28)*K31</f>
        <v>0.25306049719238277</v>
      </c>
      <c r="L32" s="69">
        <f t="shared" si="3"/>
        <v>9.8828431708679488E-3</v>
      </c>
      <c r="R32" s="71">
        <v>48</v>
      </c>
      <c r="S32" s="72">
        <f t="shared" si="4"/>
        <v>0.29411799999999988</v>
      </c>
      <c r="T32" s="72">
        <f t="shared" si="5"/>
        <v>0.70588200000000012</v>
      </c>
      <c r="U32" s="72">
        <f t="shared" si="6"/>
        <v>0.9713915969873993</v>
      </c>
      <c r="V32" s="94">
        <f t="shared" si="7"/>
        <v>2.8608403012600703E-2</v>
      </c>
      <c r="W32" s="94">
        <f t="shared" si="8"/>
        <v>4.7680671687667835E-3</v>
      </c>
      <c r="X32" s="73">
        <f>($C$29/$C$28)*X31</f>
        <v>0.25306049719238277</v>
      </c>
      <c r="Y32" s="101">
        <f t="shared" si="9"/>
        <v>1.3640678715523015E-4</v>
      </c>
    </row>
    <row r="33" spans="1:25">
      <c r="A33" s="24">
        <v>48</v>
      </c>
      <c r="B33" s="24">
        <v>0.49</v>
      </c>
      <c r="C33" s="25">
        <f>($C$29/$C$28)*C32</f>
        <v>0.25306049719238277</v>
      </c>
      <c r="F33" s="68">
        <v>49</v>
      </c>
      <c r="G33" s="69">
        <v>0.38</v>
      </c>
      <c r="H33" s="69">
        <f t="shared" si="0"/>
        <v>0.62</v>
      </c>
      <c r="I33" s="69">
        <f t="shared" si="1"/>
        <v>0.96094671716639057</v>
      </c>
      <c r="J33" s="69">
        <f t="shared" si="2"/>
        <v>3.9053282833609426E-2</v>
      </c>
      <c r="K33" s="70">
        <f>($C$29/$C$28)*K32</f>
        <v>0.23091770368804929</v>
      </c>
      <c r="L33" s="69">
        <f t="shared" si="3"/>
        <v>9.0180943934170029E-3</v>
      </c>
      <c r="R33" s="71">
        <v>49</v>
      </c>
      <c r="S33" s="72">
        <f t="shared" si="4"/>
        <v>0.27072600000000002</v>
      </c>
      <c r="T33" s="72">
        <f t="shared" si="5"/>
        <v>0.72927399999999998</v>
      </c>
      <c r="U33" s="72">
        <f t="shared" si="6"/>
        <v>0.97403424837582264</v>
      </c>
      <c r="V33" s="94">
        <f t="shared" si="7"/>
        <v>2.5965751624177358E-2</v>
      </c>
      <c r="W33" s="94">
        <f t="shared" si="8"/>
        <v>4.3276252706962266E-3</v>
      </c>
      <c r="X33" s="73">
        <f>($C$29/$C$28)*X32</f>
        <v>0.23091770368804929</v>
      </c>
      <c r="Y33" s="101">
        <f t="shared" si="9"/>
        <v>1.1237004290141152E-4</v>
      </c>
    </row>
    <row r="34" spans="1:25">
      <c r="A34" s="24">
        <v>49</v>
      </c>
      <c r="B34" s="24">
        <v>0.49</v>
      </c>
      <c r="C34" s="25">
        <f>($C$29/$C$28)*C33</f>
        <v>0.23091770368804929</v>
      </c>
      <c r="S34" s="69"/>
    </row>
    <row r="35" spans="1:25">
      <c r="S35" s="69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</vt:lpstr>
      <vt:lpstr>Model</vt:lpstr>
      <vt:lpstr>Pregnancy</vt:lpstr>
      <vt:lpstr>Pregnancy.Calc</vt:lpstr>
    </vt:vector>
  </TitlesOfParts>
  <Company>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/>
  <dcterms:created xsi:type="dcterms:W3CDTF">2004-12-11T00:54:06Z</dcterms:created>
  <dcterms:modified xsi:type="dcterms:W3CDTF">2012-10-16T19:22:54Z</dcterms:modified>
</cp:coreProperties>
</file>