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odeName="ThisWorkbook" autoCompressPictures="0"/>
  <bookViews>
    <workbookView xWindow="0" yWindow="0" windowWidth="23620" windowHeight="14440"/>
  </bookViews>
  <sheets>
    <sheet name="Interface" sheetId="1" r:id="rId1"/>
    <sheet name="Model" sheetId="3" r:id="rId2"/>
    <sheet name="Pregnancy" sheetId="4" r:id="rId3"/>
    <sheet name="Pregnancy.Calc" sheetId="5" r:id="rId4"/>
  </sheets>
  <definedNames>
    <definedName name="alpha">Model!$B$1</definedName>
    <definedName name="h.hormon">Interface!#REF!</definedName>
    <definedName name="h.late">Interface!$B$6</definedName>
    <definedName name="h.mtctx">Interface!$B$17</definedName>
    <definedName name="h.prep">Interface!$B$9</definedName>
    <definedName name="h.std">Interface!$B$8</definedName>
    <definedName name="h.tx">Interface!$B$7</definedName>
    <definedName name="N">Interface!$B$24</definedName>
    <definedName name="p.conception">Model!$B$2</definedName>
    <definedName name="p.concieve">Model!$C$15</definedName>
    <definedName name="p.delivery">Model!$C$16</definedName>
    <definedName name="p.mtct">Interface!$B$16</definedName>
    <definedName name="TT">Interface!$B$3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2" i="5"/>
  <c r="S13" i="5"/>
  <c r="T13" i="5"/>
  <c r="U13" i="5"/>
  <c r="V13" i="5"/>
  <c r="B12" i="1"/>
  <c r="C15" i="3"/>
  <c r="B2" i="3"/>
  <c r="B21" i="1"/>
  <c r="B20" i="1"/>
  <c r="D26" i="3"/>
  <c r="B8" i="1"/>
  <c r="B6" i="1"/>
  <c r="B9" i="1"/>
  <c r="B3" i="1"/>
  <c r="B1" i="3"/>
  <c r="C13" i="4"/>
  <c r="C16" i="3"/>
  <c r="L2" i="3"/>
  <c r="M2" i="3"/>
  <c r="P2" i="3"/>
  <c r="B17" i="1"/>
  <c r="B16" i="1"/>
  <c r="I2" i="3"/>
  <c r="R2" i="3"/>
  <c r="S2" i="3"/>
  <c r="L3" i="3"/>
  <c r="M3" i="3"/>
  <c r="P3" i="3"/>
  <c r="I3" i="3"/>
  <c r="R3" i="3"/>
  <c r="S3" i="3"/>
  <c r="L4" i="3"/>
  <c r="M4" i="3"/>
  <c r="P4" i="3"/>
  <c r="I4" i="3"/>
  <c r="R4" i="3"/>
  <c r="S4" i="3"/>
  <c r="L5" i="3"/>
  <c r="M5" i="3"/>
  <c r="P5" i="3"/>
  <c r="I5" i="3"/>
  <c r="R5" i="3"/>
  <c r="S5" i="3"/>
  <c r="L6" i="3"/>
  <c r="M6" i="3"/>
  <c r="P6" i="3"/>
  <c r="I6" i="3"/>
  <c r="R6" i="3"/>
  <c r="S6" i="3"/>
  <c r="L7" i="3"/>
  <c r="M7" i="3"/>
  <c r="P7" i="3"/>
  <c r="I7" i="3"/>
  <c r="R7" i="3"/>
  <c r="S7" i="3"/>
  <c r="L8" i="3"/>
  <c r="M8" i="3"/>
  <c r="P8" i="3"/>
  <c r="I8" i="3"/>
  <c r="R8" i="3"/>
  <c r="S8" i="3"/>
  <c r="L9" i="3"/>
  <c r="M9" i="3"/>
  <c r="P9" i="3"/>
  <c r="I9" i="3"/>
  <c r="R9" i="3"/>
  <c r="S9" i="3"/>
  <c r="L10" i="3"/>
  <c r="M10" i="3"/>
  <c r="P10" i="3"/>
  <c r="I10" i="3"/>
  <c r="R10" i="3"/>
  <c r="S10" i="3"/>
  <c r="L11" i="3"/>
  <c r="M11" i="3"/>
  <c r="P11" i="3"/>
  <c r="I11" i="3"/>
  <c r="R11" i="3"/>
  <c r="S11" i="3"/>
  <c r="L12" i="3"/>
  <c r="M12" i="3"/>
  <c r="P12" i="3"/>
  <c r="I12" i="3"/>
  <c r="R12" i="3"/>
  <c r="S12" i="3"/>
  <c r="L13" i="3"/>
  <c r="M13" i="3"/>
  <c r="P13" i="3"/>
  <c r="I13" i="3"/>
  <c r="R13" i="3"/>
  <c r="S13" i="3"/>
  <c r="L14" i="3"/>
  <c r="M14" i="3"/>
  <c r="P14" i="3"/>
  <c r="I14" i="3"/>
  <c r="R14" i="3"/>
  <c r="S14" i="3"/>
  <c r="L15" i="3"/>
  <c r="M15" i="3"/>
  <c r="P15" i="3"/>
  <c r="I15" i="3"/>
  <c r="R15" i="3"/>
  <c r="S15" i="3"/>
  <c r="L16" i="3"/>
  <c r="M16" i="3"/>
  <c r="P16" i="3"/>
  <c r="I16" i="3"/>
  <c r="R16" i="3"/>
  <c r="S16" i="3"/>
  <c r="L17" i="3"/>
  <c r="M17" i="3"/>
  <c r="P17" i="3"/>
  <c r="I17" i="3"/>
  <c r="R17" i="3"/>
  <c r="S17" i="3"/>
  <c r="L18" i="3"/>
  <c r="M18" i="3"/>
  <c r="P18" i="3"/>
  <c r="I18" i="3"/>
  <c r="R18" i="3"/>
  <c r="S18" i="3"/>
  <c r="L19" i="3"/>
  <c r="M19" i="3"/>
  <c r="P19" i="3"/>
  <c r="I19" i="3"/>
  <c r="R19" i="3"/>
  <c r="S19" i="3"/>
  <c r="L20" i="3"/>
  <c r="M20" i="3"/>
  <c r="P20" i="3"/>
  <c r="I20" i="3"/>
  <c r="R20" i="3"/>
  <c r="S20" i="3"/>
  <c r="L21" i="3"/>
  <c r="M21" i="3"/>
  <c r="P21" i="3"/>
  <c r="I21" i="3"/>
  <c r="R21" i="3"/>
  <c r="S21" i="3"/>
  <c r="L22" i="3"/>
  <c r="M22" i="3"/>
  <c r="P22" i="3"/>
  <c r="I22" i="3"/>
  <c r="R22" i="3"/>
  <c r="S22" i="3"/>
  <c r="L23" i="3"/>
  <c r="M23" i="3"/>
  <c r="P23" i="3"/>
  <c r="I23" i="3"/>
  <c r="R23" i="3"/>
  <c r="S23" i="3"/>
  <c r="L24" i="3"/>
  <c r="M24" i="3"/>
  <c r="P24" i="3"/>
  <c r="I24" i="3"/>
  <c r="R24" i="3"/>
  <c r="S24" i="3"/>
  <c r="L25" i="3"/>
  <c r="M25" i="3"/>
  <c r="P25" i="3"/>
  <c r="I25" i="3"/>
  <c r="R25" i="3"/>
  <c r="S25" i="3"/>
  <c r="L26" i="3"/>
  <c r="M26" i="3"/>
  <c r="P26" i="3"/>
  <c r="I26" i="3"/>
  <c r="R26" i="3"/>
  <c r="S26" i="3"/>
  <c r="L27" i="3"/>
  <c r="M27" i="3"/>
  <c r="P27" i="3"/>
  <c r="I27" i="3"/>
  <c r="R27" i="3"/>
  <c r="S27" i="3"/>
  <c r="L28" i="3"/>
  <c r="M28" i="3"/>
  <c r="P28" i="3"/>
  <c r="I28" i="3"/>
  <c r="R28" i="3"/>
  <c r="S28" i="3"/>
  <c r="L29" i="3"/>
  <c r="M29" i="3"/>
  <c r="P29" i="3"/>
  <c r="I29" i="3"/>
  <c r="R29" i="3"/>
  <c r="S29" i="3"/>
  <c r="L30" i="3"/>
  <c r="M30" i="3"/>
  <c r="P30" i="3"/>
  <c r="I30" i="3"/>
  <c r="R30" i="3"/>
  <c r="S30" i="3"/>
  <c r="L31" i="3"/>
  <c r="M31" i="3"/>
  <c r="P31" i="3"/>
  <c r="I31" i="3"/>
  <c r="R31" i="3"/>
  <c r="S31" i="3"/>
  <c r="L32" i="3"/>
  <c r="M32" i="3"/>
  <c r="P32" i="3"/>
  <c r="I32" i="3"/>
  <c r="R32" i="3"/>
  <c r="S32" i="3"/>
  <c r="L33" i="3"/>
  <c r="M33" i="3"/>
  <c r="P33" i="3"/>
  <c r="I33" i="3"/>
  <c r="R33" i="3"/>
  <c r="S33" i="3"/>
  <c r="L34" i="3"/>
  <c r="M34" i="3"/>
  <c r="P34" i="3"/>
  <c r="I34" i="3"/>
  <c r="R34" i="3"/>
  <c r="S34" i="3"/>
  <c r="L35" i="3"/>
  <c r="M35" i="3"/>
  <c r="P35" i="3"/>
  <c r="I35" i="3"/>
  <c r="R35" i="3"/>
  <c r="S35" i="3"/>
  <c r="L36" i="3"/>
  <c r="M36" i="3"/>
  <c r="P36" i="3"/>
  <c r="I36" i="3"/>
  <c r="R36" i="3"/>
  <c r="S36" i="3"/>
  <c r="L37" i="3"/>
  <c r="M37" i="3"/>
  <c r="P37" i="3"/>
  <c r="I37" i="3"/>
  <c r="R37" i="3"/>
  <c r="S37" i="3"/>
  <c r="L38" i="3"/>
  <c r="M38" i="3"/>
  <c r="P38" i="3"/>
  <c r="I38" i="3"/>
  <c r="R38" i="3"/>
  <c r="S38" i="3"/>
  <c r="L39" i="3"/>
  <c r="M39" i="3"/>
  <c r="P39" i="3"/>
  <c r="I39" i="3"/>
  <c r="R39" i="3"/>
  <c r="S39" i="3"/>
  <c r="L40" i="3"/>
  <c r="M40" i="3"/>
  <c r="P40" i="3"/>
  <c r="I40" i="3"/>
  <c r="R40" i="3"/>
  <c r="S40" i="3"/>
  <c r="L41" i="3"/>
  <c r="M41" i="3"/>
  <c r="P41" i="3"/>
  <c r="I41" i="3"/>
  <c r="R41" i="3"/>
  <c r="S41" i="3"/>
  <c r="L42" i="3"/>
  <c r="M42" i="3"/>
  <c r="P42" i="3"/>
  <c r="I42" i="3"/>
  <c r="R42" i="3"/>
  <c r="S42" i="3"/>
  <c r="L43" i="3"/>
  <c r="M43" i="3"/>
  <c r="P43" i="3"/>
  <c r="I43" i="3"/>
  <c r="R43" i="3"/>
  <c r="S43" i="3"/>
  <c r="L44" i="3"/>
  <c r="M44" i="3"/>
  <c r="P44" i="3"/>
  <c r="I44" i="3"/>
  <c r="R44" i="3"/>
  <c r="S44" i="3"/>
  <c r="L45" i="3"/>
  <c r="M45" i="3"/>
  <c r="P45" i="3"/>
  <c r="I45" i="3"/>
  <c r="R45" i="3"/>
  <c r="S45" i="3"/>
  <c r="L46" i="3"/>
  <c r="M46" i="3"/>
  <c r="P46" i="3"/>
  <c r="I46" i="3"/>
  <c r="R46" i="3"/>
  <c r="S46" i="3"/>
  <c r="L47" i="3"/>
  <c r="M47" i="3"/>
  <c r="P47" i="3"/>
  <c r="I47" i="3"/>
  <c r="R47" i="3"/>
  <c r="S47" i="3"/>
  <c r="L48" i="3"/>
  <c r="M48" i="3"/>
  <c r="P48" i="3"/>
  <c r="I48" i="3"/>
  <c r="R48" i="3"/>
  <c r="S48" i="3"/>
  <c r="L49" i="3"/>
  <c r="M49" i="3"/>
  <c r="P49" i="3"/>
  <c r="I49" i="3"/>
  <c r="R49" i="3"/>
  <c r="S49" i="3"/>
  <c r="L50" i="3"/>
  <c r="M50" i="3"/>
  <c r="P50" i="3"/>
  <c r="I50" i="3"/>
  <c r="R50" i="3"/>
  <c r="S50" i="3"/>
  <c r="L51" i="3"/>
  <c r="M51" i="3"/>
  <c r="P51" i="3"/>
  <c r="I51" i="3"/>
  <c r="R51" i="3"/>
  <c r="S51" i="3"/>
  <c r="L52" i="3"/>
  <c r="M52" i="3"/>
  <c r="P52" i="3"/>
  <c r="I52" i="3"/>
  <c r="R52" i="3"/>
  <c r="S52" i="3"/>
  <c r="L53" i="3"/>
  <c r="M53" i="3"/>
  <c r="P53" i="3"/>
  <c r="I53" i="3"/>
  <c r="R53" i="3"/>
  <c r="S53" i="3"/>
  <c r="L54" i="3"/>
  <c r="M54" i="3"/>
  <c r="P54" i="3"/>
  <c r="I54" i="3"/>
  <c r="R54" i="3"/>
  <c r="S54" i="3"/>
  <c r="L55" i="3"/>
  <c r="M55" i="3"/>
  <c r="P55" i="3"/>
  <c r="I55" i="3"/>
  <c r="R55" i="3"/>
  <c r="S55" i="3"/>
  <c r="L56" i="3"/>
  <c r="M56" i="3"/>
  <c r="P56" i="3"/>
  <c r="I56" i="3"/>
  <c r="R56" i="3"/>
  <c r="S56" i="3"/>
  <c r="L57" i="3"/>
  <c r="M57" i="3"/>
  <c r="P57" i="3"/>
  <c r="I57" i="3"/>
  <c r="R57" i="3"/>
  <c r="S57" i="3"/>
  <c r="L58" i="3"/>
  <c r="M58" i="3"/>
  <c r="P58" i="3"/>
  <c r="I58" i="3"/>
  <c r="R58" i="3"/>
  <c r="S58" i="3"/>
  <c r="L59" i="3"/>
  <c r="M59" i="3"/>
  <c r="P59" i="3"/>
  <c r="I59" i="3"/>
  <c r="R59" i="3"/>
  <c r="S59" i="3"/>
  <c r="L60" i="3"/>
  <c r="M60" i="3"/>
  <c r="P60" i="3"/>
  <c r="I60" i="3"/>
  <c r="R60" i="3"/>
  <c r="S60" i="3"/>
  <c r="L61" i="3"/>
  <c r="M61" i="3"/>
  <c r="P61" i="3"/>
  <c r="I61" i="3"/>
  <c r="R61" i="3"/>
  <c r="S61" i="3"/>
  <c r="L62" i="3"/>
  <c r="M62" i="3"/>
  <c r="P62" i="3"/>
  <c r="I62" i="3"/>
  <c r="R62" i="3"/>
  <c r="S62" i="3"/>
  <c r="L63" i="3"/>
  <c r="M63" i="3"/>
  <c r="P63" i="3"/>
  <c r="I63" i="3"/>
  <c r="R63" i="3"/>
  <c r="S63" i="3"/>
  <c r="L64" i="3"/>
  <c r="M64" i="3"/>
  <c r="P64" i="3"/>
  <c r="I64" i="3"/>
  <c r="R64" i="3"/>
  <c r="S64" i="3"/>
  <c r="L65" i="3"/>
  <c r="M65" i="3"/>
  <c r="P65" i="3"/>
  <c r="I65" i="3"/>
  <c r="R65" i="3"/>
  <c r="S65" i="3"/>
  <c r="L66" i="3"/>
  <c r="M66" i="3"/>
  <c r="P66" i="3"/>
  <c r="I66" i="3"/>
  <c r="R66" i="3"/>
  <c r="S66" i="3"/>
  <c r="L67" i="3"/>
  <c r="M67" i="3"/>
  <c r="P67" i="3"/>
  <c r="I67" i="3"/>
  <c r="R67" i="3"/>
  <c r="S67" i="3"/>
  <c r="L68" i="3"/>
  <c r="M68" i="3"/>
  <c r="P68" i="3"/>
  <c r="I68" i="3"/>
  <c r="R68" i="3"/>
  <c r="S68" i="3"/>
  <c r="L69" i="3"/>
  <c r="M69" i="3"/>
  <c r="P69" i="3"/>
  <c r="I69" i="3"/>
  <c r="R69" i="3"/>
  <c r="S69" i="3"/>
  <c r="L70" i="3"/>
  <c r="M70" i="3"/>
  <c r="P70" i="3"/>
  <c r="I70" i="3"/>
  <c r="R70" i="3"/>
  <c r="S70" i="3"/>
  <c r="L71" i="3"/>
  <c r="M71" i="3"/>
  <c r="P71" i="3"/>
  <c r="I71" i="3"/>
  <c r="R71" i="3"/>
  <c r="S71" i="3"/>
  <c r="L72" i="3"/>
  <c r="M72" i="3"/>
  <c r="P72" i="3"/>
  <c r="I72" i="3"/>
  <c r="R72" i="3"/>
  <c r="S72" i="3"/>
  <c r="L73" i="3"/>
  <c r="M73" i="3"/>
  <c r="P73" i="3"/>
  <c r="I73" i="3"/>
  <c r="R73" i="3"/>
  <c r="S73" i="3"/>
  <c r="L74" i="3"/>
  <c r="M74" i="3"/>
  <c r="P74" i="3"/>
  <c r="I74" i="3"/>
  <c r="R74" i="3"/>
  <c r="S74" i="3"/>
  <c r="L75" i="3"/>
  <c r="M75" i="3"/>
  <c r="P75" i="3"/>
  <c r="I75" i="3"/>
  <c r="R75" i="3"/>
  <c r="S75" i="3"/>
  <c r="L76" i="3"/>
  <c r="M76" i="3"/>
  <c r="P76" i="3"/>
  <c r="I76" i="3"/>
  <c r="R76" i="3"/>
  <c r="S76" i="3"/>
  <c r="L77" i="3"/>
  <c r="M77" i="3"/>
  <c r="P77" i="3"/>
  <c r="I77" i="3"/>
  <c r="R77" i="3"/>
  <c r="S77" i="3"/>
  <c r="L78" i="3"/>
  <c r="M78" i="3"/>
  <c r="P78" i="3"/>
  <c r="I78" i="3"/>
  <c r="R78" i="3"/>
  <c r="S78" i="3"/>
  <c r="L79" i="3"/>
  <c r="M79" i="3"/>
  <c r="P79" i="3"/>
  <c r="I79" i="3"/>
  <c r="R79" i="3"/>
  <c r="S79" i="3"/>
  <c r="L80" i="3"/>
  <c r="M80" i="3"/>
  <c r="P80" i="3"/>
  <c r="I80" i="3"/>
  <c r="R80" i="3"/>
  <c r="S80" i="3"/>
  <c r="L81" i="3"/>
  <c r="M81" i="3"/>
  <c r="P81" i="3"/>
  <c r="I81" i="3"/>
  <c r="R81" i="3"/>
  <c r="S81" i="3"/>
  <c r="L82" i="3"/>
  <c r="M82" i="3"/>
  <c r="P82" i="3"/>
  <c r="I82" i="3"/>
  <c r="R82" i="3"/>
  <c r="S82" i="3"/>
  <c r="L83" i="3"/>
  <c r="M83" i="3"/>
  <c r="P83" i="3"/>
  <c r="I83" i="3"/>
  <c r="R83" i="3"/>
  <c r="S83" i="3"/>
  <c r="L84" i="3"/>
  <c r="M84" i="3"/>
  <c r="P84" i="3"/>
  <c r="I84" i="3"/>
  <c r="R84" i="3"/>
  <c r="S84" i="3"/>
  <c r="L85" i="3"/>
  <c r="M85" i="3"/>
  <c r="P85" i="3"/>
  <c r="I85" i="3"/>
  <c r="R85" i="3"/>
  <c r="S85" i="3"/>
  <c r="L86" i="3"/>
  <c r="M86" i="3"/>
  <c r="P86" i="3"/>
  <c r="I86" i="3"/>
  <c r="R86" i="3"/>
  <c r="S86" i="3"/>
  <c r="L87" i="3"/>
  <c r="M87" i="3"/>
  <c r="P87" i="3"/>
  <c r="I87" i="3"/>
  <c r="R87" i="3"/>
  <c r="S87" i="3"/>
  <c r="L88" i="3"/>
  <c r="M88" i="3"/>
  <c r="P88" i="3"/>
  <c r="I88" i="3"/>
  <c r="R88" i="3"/>
  <c r="S88" i="3"/>
  <c r="L89" i="3"/>
  <c r="M89" i="3"/>
  <c r="P89" i="3"/>
  <c r="I89" i="3"/>
  <c r="R89" i="3"/>
  <c r="S89" i="3"/>
  <c r="L90" i="3"/>
  <c r="M90" i="3"/>
  <c r="P90" i="3"/>
  <c r="I90" i="3"/>
  <c r="R90" i="3"/>
  <c r="S90" i="3"/>
  <c r="L91" i="3"/>
  <c r="M91" i="3"/>
  <c r="P91" i="3"/>
  <c r="I91" i="3"/>
  <c r="R91" i="3"/>
  <c r="S91" i="3"/>
  <c r="L92" i="3"/>
  <c r="M92" i="3"/>
  <c r="P92" i="3"/>
  <c r="I92" i="3"/>
  <c r="R92" i="3"/>
  <c r="S92" i="3"/>
  <c r="L93" i="3"/>
  <c r="M93" i="3"/>
  <c r="P93" i="3"/>
  <c r="I93" i="3"/>
  <c r="R93" i="3"/>
  <c r="S93" i="3"/>
  <c r="L94" i="3"/>
  <c r="M94" i="3"/>
  <c r="P94" i="3"/>
  <c r="I94" i="3"/>
  <c r="R94" i="3"/>
  <c r="S94" i="3"/>
  <c r="L95" i="3"/>
  <c r="M95" i="3"/>
  <c r="P95" i="3"/>
  <c r="I95" i="3"/>
  <c r="R95" i="3"/>
  <c r="S95" i="3"/>
  <c r="L96" i="3"/>
  <c r="M96" i="3"/>
  <c r="P96" i="3"/>
  <c r="I96" i="3"/>
  <c r="R96" i="3"/>
  <c r="S96" i="3"/>
  <c r="L97" i="3"/>
  <c r="M97" i="3"/>
  <c r="P97" i="3"/>
  <c r="I97" i="3"/>
  <c r="R97" i="3"/>
  <c r="S97" i="3"/>
  <c r="L98" i="3"/>
  <c r="M98" i="3"/>
  <c r="P98" i="3"/>
  <c r="I98" i="3"/>
  <c r="R98" i="3"/>
  <c r="S98" i="3"/>
  <c r="L99" i="3"/>
  <c r="M99" i="3"/>
  <c r="P99" i="3"/>
  <c r="I99" i="3"/>
  <c r="R99" i="3"/>
  <c r="S99" i="3"/>
  <c r="L100" i="3"/>
  <c r="M100" i="3"/>
  <c r="P100" i="3"/>
  <c r="I100" i="3"/>
  <c r="R100" i="3"/>
  <c r="S100" i="3"/>
  <c r="L101" i="3"/>
  <c r="M101" i="3"/>
  <c r="P101" i="3"/>
  <c r="I101" i="3"/>
  <c r="R101" i="3"/>
  <c r="S101" i="3"/>
  <c r="E14" i="4"/>
  <c r="E13" i="4"/>
  <c r="E12" i="4"/>
  <c r="E11" i="4"/>
  <c r="E10" i="4"/>
  <c r="E9" i="4"/>
  <c r="E8" i="4"/>
  <c r="E7" i="4"/>
  <c r="E6" i="4"/>
  <c r="E5" i="4"/>
  <c r="E3" i="4"/>
  <c r="E2" i="4"/>
  <c r="E33" i="4"/>
  <c r="E32" i="4"/>
  <c r="E21" i="4"/>
  <c r="E16" i="4"/>
  <c r="E25" i="4"/>
  <c r="E18" i="4"/>
  <c r="E17" i="4"/>
  <c r="E20" i="4"/>
  <c r="E24" i="4"/>
  <c r="E23" i="4"/>
  <c r="E19" i="4"/>
  <c r="E22" i="4"/>
  <c r="D23" i="3"/>
  <c r="D27" i="3"/>
  <c r="D28" i="3"/>
  <c r="B24" i="1"/>
  <c r="D13" i="4"/>
  <c r="D22" i="3"/>
  <c r="F3" i="4"/>
  <c r="E4" i="4"/>
  <c r="F4" i="4"/>
  <c r="F5" i="4"/>
  <c r="F6" i="4"/>
  <c r="F7" i="4"/>
  <c r="F8" i="4"/>
  <c r="F9" i="4"/>
  <c r="F10" i="4"/>
  <c r="F11" i="4"/>
  <c r="F12" i="4"/>
  <c r="F13" i="4"/>
  <c r="F14" i="4"/>
  <c r="E15" i="4"/>
  <c r="F15" i="4"/>
  <c r="F16" i="4"/>
  <c r="F17" i="4"/>
  <c r="F18" i="4"/>
  <c r="F19" i="4"/>
  <c r="F20" i="4"/>
  <c r="F21" i="4"/>
  <c r="F22" i="4"/>
  <c r="F23" i="4"/>
  <c r="F24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F32" i="4"/>
  <c r="F33" i="4"/>
  <c r="F2" i="4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2" i="5"/>
  <c r="T2" i="5"/>
  <c r="U2" i="5"/>
  <c r="V2" i="5"/>
  <c r="D3" i="4"/>
  <c r="D4" i="4"/>
  <c r="D5" i="4"/>
  <c r="D6" i="4"/>
  <c r="D7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X29" i="5"/>
  <c r="C29" i="4"/>
  <c r="X30" i="5"/>
  <c r="C30" i="4"/>
  <c r="X31" i="5"/>
  <c r="C31" i="4"/>
  <c r="X32" i="5"/>
  <c r="C32" i="4"/>
  <c r="X33" i="5"/>
  <c r="C33" i="4"/>
  <c r="C2" i="4"/>
  <c r="C30" i="5"/>
  <c r="C31" i="5"/>
  <c r="C32" i="5"/>
  <c r="C33" i="5"/>
  <c r="C34" i="5"/>
  <c r="Y33" i="5"/>
  <c r="K29" i="5"/>
  <c r="K30" i="5"/>
  <c r="K31" i="5"/>
  <c r="K32" i="5"/>
  <c r="K33" i="5"/>
  <c r="H33" i="5"/>
  <c r="I33" i="5"/>
  <c r="J33" i="5"/>
  <c r="L33" i="5"/>
  <c r="Y32" i="5"/>
  <c r="H32" i="5"/>
  <c r="I32" i="5"/>
  <c r="J32" i="5"/>
  <c r="L32" i="5"/>
  <c r="Y31" i="5"/>
  <c r="H31" i="5"/>
  <c r="I31" i="5"/>
  <c r="J31" i="5"/>
  <c r="L31" i="5"/>
  <c r="Y30" i="5"/>
  <c r="H30" i="5"/>
  <c r="I30" i="5"/>
  <c r="J30" i="5"/>
  <c r="L30" i="5"/>
  <c r="Y29" i="5"/>
  <c r="H29" i="5"/>
  <c r="I29" i="5"/>
  <c r="J29" i="5"/>
  <c r="L29" i="5"/>
  <c r="Y28" i="5"/>
  <c r="H28" i="5"/>
  <c r="I28" i="5"/>
  <c r="J28" i="5"/>
  <c r="L28" i="5"/>
  <c r="Y27" i="5"/>
  <c r="H27" i="5"/>
  <c r="I27" i="5"/>
  <c r="J27" i="5"/>
  <c r="L27" i="5"/>
  <c r="Y26" i="5"/>
  <c r="H26" i="5"/>
  <c r="I26" i="5"/>
  <c r="J26" i="5"/>
  <c r="L26" i="5"/>
  <c r="Y25" i="5"/>
  <c r="H25" i="5"/>
  <c r="I25" i="5"/>
  <c r="J25" i="5"/>
  <c r="L25" i="5"/>
  <c r="Y24" i="5"/>
  <c r="H24" i="5"/>
  <c r="I24" i="5"/>
  <c r="J24" i="5"/>
  <c r="L24" i="5"/>
  <c r="Y23" i="5"/>
  <c r="H23" i="5"/>
  <c r="I23" i="5"/>
  <c r="J23" i="5"/>
  <c r="L23" i="5"/>
  <c r="Y22" i="5"/>
  <c r="H22" i="5"/>
  <c r="I22" i="5"/>
  <c r="J22" i="5"/>
  <c r="L22" i="5"/>
  <c r="Y21" i="5"/>
  <c r="H21" i="5"/>
  <c r="I21" i="5"/>
  <c r="J21" i="5"/>
  <c r="L21" i="5"/>
  <c r="Y20" i="5"/>
  <c r="H20" i="5"/>
  <c r="I20" i="5"/>
  <c r="J20" i="5"/>
  <c r="L20" i="5"/>
  <c r="Y19" i="5"/>
  <c r="H19" i="5"/>
  <c r="I19" i="5"/>
  <c r="J19" i="5"/>
  <c r="L19" i="5"/>
  <c r="Y18" i="5"/>
  <c r="H18" i="5"/>
  <c r="I18" i="5"/>
  <c r="J18" i="5"/>
  <c r="L18" i="5"/>
  <c r="Y17" i="5"/>
  <c r="H17" i="5"/>
  <c r="I17" i="5"/>
  <c r="J17" i="5"/>
  <c r="L17" i="5"/>
  <c r="Y16" i="5"/>
  <c r="H16" i="5"/>
  <c r="I16" i="5"/>
  <c r="J16" i="5"/>
  <c r="L16" i="5"/>
  <c r="Y15" i="5"/>
  <c r="H15" i="5"/>
  <c r="I15" i="5"/>
  <c r="J15" i="5"/>
  <c r="L15" i="5"/>
  <c r="Y14" i="5"/>
  <c r="H14" i="5"/>
  <c r="I14" i="5"/>
  <c r="J14" i="5"/>
  <c r="L14" i="5"/>
  <c r="Y13" i="5"/>
  <c r="H13" i="5"/>
  <c r="I13" i="5"/>
  <c r="J13" i="5"/>
  <c r="L13" i="5"/>
  <c r="Y12" i="5"/>
  <c r="H12" i="5"/>
  <c r="I12" i="5"/>
  <c r="J12" i="5"/>
  <c r="L12" i="5"/>
  <c r="Y11" i="5"/>
  <c r="H11" i="5"/>
  <c r="I11" i="5"/>
  <c r="J11" i="5"/>
  <c r="L11" i="5"/>
  <c r="Y10" i="5"/>
  <c r="H10" i="5"/>
  <c r="I10" i="5"/>
  <c r="J10" i="5"/>
  <c r="L10" i="5"/>
  <c r="Y9" i="5"/>
  <c r="H9" i="5"/>
  <c r="I9" i="5"/>
  <c r="J9" i="5"/>
  <c r="L9" i="5"/>
  <c r="Y8" i="5"/>
  <c r="H8" i="5"/>
  <c r="I8" i="5"/>
  <c r="J8" i="5"/>
  <c r="L8" i="5"/>
  <c r="Y7" i="5"/>
  <c r="H7" i="5"/>
  <c r="I7" i="5"/>
  <c r="J7" i="5"/>
  <c r="L7" i="5"/>
  <c r="Y6" i="5"/>
  <c r="H6" i="5"/>
  <c r="I6" i="5"/>
  <c r="J6" i="5"/>
  <c r="L6" i="5"/>
  <c r="Y5" i="5"/>
  <c r="H5" i="5"/>
  <c r="I5" i="5"/>
  <c r="J5" i="5"/>
  <c r="L5" i="5"/>
  <c r="Y4" i="5"/>
  <c r="H4" i="5"/>
  <c r="I4" i="5"/>
  <c r="J4" i="5"/>
  <c r="L4" i="5"/>
  <c r="Y3" i="5"/>
  <c r="H3" i="5"/>
  <c r="I3" i="5"/>
  <c r="J3" i="5"/>
  <c r="L3" i="5"/>
  <c r="Y2" i="5"/>
  <c r="H2" i="5"/>
  <c r="I2" i="5"/>
  <c r="J2" i="5"/>
  <c r="L2" i="5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B110" i="3"/>
  <c r="J101" i="3"/>
  <c r="K101" i="3"/>
  <c r="O101" i="3"/>
  <c r="H101" i="3"/>
  <c r="G101" i="3"/>
  <c r="Q101" i="3"/>
  <c r="N101" i="3"/>
  <c r="J100" i="3"/>
  <c r="K100" i="3"/>
  <c r="O100" i="3"/>
  <c r="H100" i="3"/>
  <c r="G100" i="3"/>
  <c r="Q100" i="3"/>
  <c r="N100" i="3"/>
  <c r="J99" i="3"/>
  <c r="K99" i="3"/>
  <c r="O99" i="3"/>
  <c r="H99" i="3"/>
  <c r="G99" i="3"/>
  <c r="Q99" i="3"/>
  <c r="N99" i="3"/>
  <c r="J98" i="3"/>
  <c r="K98" i="3"/>
  <c r="O98" i="3"/>
  <c r="H98" i="3"/>
  <c r="G98" i="3"/>
  <c r="Q98" i="3"/>
  <c r="N98" i="3"/>
  <c r="J97" i="3"/>
  <c r="K97" i="3"/>
  <c r="O97" i="3"/>
  <c r="H97" i="3"/>
  <c r="G97" i="3"/>
  <c r="Q97" i="3"/>
  <c r="N97" i="3"/>
  <c r="J96" i="3"/>
  <c r="K96" i="3"/>
  <c r="O96" i="3"/>
  <c r="H96" i="3"/>
  <c r="G96" i="3"/>
  <c r="Q96" i="3"/>
  <c r="N96" i="3"/>
  <c r="J95" i="3"/>
  <c r="K95" i="3"/>
  <c r="O95" i="3"/>
  <c r="H95" i="3"/>
  <c r="G95" i="3"/>
  <c r="Q95" i="3"/>
  <c r="N95" i="3"/>
  <c r="J94" i="3"/>
  <c r="K94" i="3"/>
  <c r="O94" i="3"/>
  <c r="H94" i="3"/>
  <c r="G94" i="3"/>
  <c r="Q94" i="3"/>
  <c r="N94" i="3"/>
  <c r="J93" i="3"/>
  <c r="K93" i="3"/>
  <c r="O93" i="3"/>
  <c r="H93" i="3"/>
  <c r="G93" i="3"/>
  <c r="Q93" i="3"/>
  <c r="N93" i="3"/>
  <c r="J92" i="3"/>
  <c r="K92" i="3"/>
  <c r="O92" i="3"/>
  <c r="H92" i="3"/>
  <c r="G92" i="3"/>
  <c r="Q92" i="3"/>
  <c r="N92" i="3"/>
  <c r="J91" i="3"/>
  <c r="K91" i="3"/>
  <c r="O91" i="3"/>
  <c r="H91" i="3"/>
  <c r="G91" i="3"/>
  <c r="Q91" i="3"/>
  <c r="N91" i="3"/>
  <c r="J90" i="3"/>
  <c r="K90" i="3"/>
  <c r="O90" i="3"/>
  <c r="H90" i="3"/>
  <c r="G90" i="3"/>
  <c r="Q90" i="3"/>
  <c r="N90" i="3"/>
  <c r="J89" i="3"/>
  <c r="K89" i="3"/>
  <c r="O89" i="3"/>
  <c r="H89" i="3"/>
  <c r="G89" i="3"/>
  <c r="Q89" i="3"/>
  <c r="N89" i="3"/>
  <c r="J88" i="3"/>
  <c r="K88" i="3"/>
  <c r="O88" i="3"/>
  <c r="H88" i="3"/>
  <c r="G88" i="3"/>
  <c r="Q88" i="3"/>
  <c r="N88" i="3"/>
  <c r="J87" i="3"/>
  <c r="K87" i="3"/>
  <c r="O87" i="3"/>
  <c r="H87" i="3"/>
  <c r="G87" i="3"/>
  <c r="Q87" i="3"/>
  <c r="N87" i="3"/>
  <c r="J86" i="3"/>
  <c r="K86" i="3"/>
  <c r="O86" i="3"/>
  <c r="H86" i="3"/>
  <c r="G86" i="3"/>
  <c r="Q86" i="3"/>
  <c r="N86" i="3"/>
  <c r="J85" i="3"/>
  <c r="K85" i="3"/>
  <c r="O85" i="3"/>
  <c r="H85" i="3"/>
  <c r="G85" i="3"/>
  <c r="Q85" i="3"/>
  <c r="N85" i="3"/>
  <c r="J84" i="3"/>
  <c r="K84" i="3"/>
  <c r="O84" i="3"/>
  <c r="H84" i="3"/>
  <c r="G84" i="3"/>
  <c r="Q84" i="3"/>
  <c r="N84" i="3"/>
  <c r="J83" i="3"/>
  <c r="K83" i="3"/>
  <c r="O83" i="3"/>
  <c r="H83" i="3"/>
  <c r="G83" i="3"/>
  <c r="Q83" i="3"/>
  <c r="N83" i="3"/>
  <c r="J82" i="3"/>
  <c r="K82" i="3"/>
  <c r="O82" i="3"/>
  <c r="H82" i="3"/>
  <c r="G82" i="3"/>
  <c r="Q82" i="3"/>
  <c r="N82" i="3"/>
  <c r="J81" i="3"/>
  <c r="K81" i="3"/>
  <c r="O81" i="3"/>
  <c r="H81" i="3"/>
  <c r="G81" i="3"/>
  <c r="Q81" i="3"/>
  <c r="N81" i="3"/>
  <c r="J80" i="3"/>
  <c r="K80" i="3"/>
  <c r="O80" i="3"/>
  <c r="H80" i="3"/>
  <c r="G80" i="3"/>
  <c r="Q80" i="3"/>
  <c r="N80" i="3"/>
  <c r="J79" i="3"/>
  <c r="K79" i="3"/>
  <c r="O79" i="3"/>
  <c r="H79" i="3"/>
  <c r="G79" i="3"/>
  <c r="Q79" i="3"/>
  <c r="N79" i="3"/>
  <c r="J78" i="3"/>
  <c r="K78" i="3"/>
  <c r="O78" i="3"/>
  <c r="H78" i="3"/>
  <c r="G78" i="3"/>
  <c r="Q78" i="3"/>
  <c r="N78" i="3"/>
  <c r="J77" i="3"/>
  <c r="K77" i="3"/>
  <c r="O77" i="3"/>
  <c r="H77" i="3"/>
  <c r="G77" i="3"/>
  <c r="Q77" i="3"/>
  <c r="N77" i="3"/>
  <c r="J76" i="3"/>
  <c r="K76" i="3"/>
  <c r="O76" i="3"/>
  <c r="H76" i="3"/>
  <c r="G76" i="3"/>
  <c r="Q76" i="3"/>
  <c r="N76" i="3"/>
  <c r="J75" i="3"/>
  <c r="K75" i="3"/>
  <c r="O75" i="3"/>
  <c r="H75" i="3"/>
  <c r="G75" i="3"/>
  <c r="Q75" i="3"/>
  <c r="N75" i="3"/>
  <c r="J74" i="3"/>
  <c r="K74" i="3"/>
  <c r="O74" i="3"/>
  <c r="H74" i="3"/>
  <c r="G74" i="3"/>
  <c r="Q74" i="3"/>
  <c r="N74" i="3"/>
  <c r="J73" i="3"/>
  <c r="K73" i="3"/>
  <c r="O73" i="3"/>
  <c r="H73" i="3"/>
  <c r="G73" i="3"/>
  <c r="Q73" i="3"/>
  <c r="N73" i="3"/>
  <c r="J72" i="3"/>
  <c r="K72" i="3"/>
  <c r="O72" i="3"/>
  <c r="H72" i="3"/>
  <c r="G72" i="3"/>
  <c r="Q72" i="3"/>
  <c r="N72" i="3"/>
  <c r="J71" i="3"/>
  <c r="K71" i="3"/>
  <c r="O71" i="3"/>
  <c r="H71" i="3"/>
  <c r="G71" i="3"/>
  <c r="Q71" i="3"/>
  <c r="N71" i="3"/>
  <c r="J70" i="3"/>
  <c r="K70" i="3"/>
  <c r="O70" i="3"/>
  <c r="H70" i="3"/>
  <c r="G70" i="3"/>
  <c r="Q70" i="3"/>
  <c r="N70" i="3"/>
  <c r="J69" i="3"/>
  <c r="K69" i="3"/>
  <c r="O69" i="3"/>
  <c r="H69" i="3"/>
  <c r="G69" i="3"/>
  <c r="Q69" i="3"/>
  <c r="N69" i="3"/>
  <c r="J68" i="3"/>
  <c r="K68" i="3"/>
  <c r="O68" i="3"/>
  <c r="H68" i="3"/>
  <c r="G68" i="3"/>
  <c r="Q68" i="3"/>
  <c r="N68" i="3"/>
  <c r="J67" i="3"/>
  <c r="K67" i="3"/>
  <c r="O67" i="3"/>
  <c r="H67" i="3"/>
  <c r="G67" i="3"/>
  <c r="Q67" i="3"/>
  <c r="N67" i="3"/>
  <c r="J66" i="3"/>
  <c r="K66" i="3"/>
  <c r="O66" i="3"/>
  <c r="H66" i="3"/>
  <c r="G66" i="3"/>
  <c r="Q66" i="3"/>
  <c r="N66" i="3"/>
  <c r="J65" i="3"/>
  <c r="K65" i="3"/>
  <c r="O65" i="3"/>
  <c r="H65" i="3"/>
  <c r="G65" i="3"/>
  <c r="Q65" i="3"/>
  <c r="N65" i="3"/>
  <c r="J64" i="3"/>
  <c r="K64" i="3"/>
  <c r="O64" i="3"/>
  <c r="H64" i="3"/>
  <c r="G64" i="3"/>
  <c r="Q64" i="3"/>
  <c r="N64" i="3"/>
  <c r="J63" i="3"/>
  <c r="K63" i="3"/>
  <c r="O63" i="3"/>
  <c r="H63" i="3"/>
  <c r="G63" i="3"/>
  <c r="Q63" i="3"/>
  <c r="N63" i="3"/>
  <c r="J62" i="3"/>
  <c r="K62" i="3"/>
  <c r="O62" i="3"/>
  <c r="H62" i="3"/>
  <c r="G62" i="3"/>
  <c r="Q62" i="3"/>
  <c r="N62" i="3"/>
  <c r="J61" i="3"/>
  <c r="K61" i="3"/>
  <c r="O61" i="3"/>
  <c r="H61" i="3"/>
  <c r="G61" i="3"/>
  <c r="Q61" i="3"/>
  <c r="N61" i="3"/>
  <c r="J60" i="3"/>
  <c r="K60" i="3"/>
  <c r="O60" i="3"/>
  <c r="H60" i="3"/>
  <c r="G60" i="3"/>
  <c r="Q60" i="3"/>
  <c r="N60" i="3"/>
  <c r="J59" i="3"/>
  <c r="K59" i="3"/>
  <c r="O59" i="3"/>
  <c r="H59" i="3"/>
  <c r="G59" i="3"/>
  <c r="Q59" i="3"/>
  <c r="N59" i="3"/>
  <c r="J58" i="3"/>
  <c r="K58" i="3"/>
  <c r="O58" i="3"/>
  <c r="H58" i="3"/>
  <c r="G58" i="3"/>
  <c r="Q58" i="3"/>
  <c r="N58" i="3"/>
  <c r="J57" i="3"/>
  <c r="K57" i="3"/>
  <c r="O57" i="3"/>
  <c r="H57" i="3"/>
  <c r="G57" i="3"/>
  <c r="Q57" i="3"/>
  <c r="N57" i="3"/>
  <c r="J56" i="3"/>
  <c r="K56" i="3"/>
  <c r="O56" i="3"/>
  <c r="H56" i="3"/>
  <c r="G56" i="3"/>
  <c r="Q56" i="3"/>
  <c r="N56" i="3"/>
  <c r="J55" i="3"/>
  <c r="K55" i="3"/>
  <c r="O55" i="3"/>
  <c r="H55" i="3"/>
  <c r="G55" i="3"/>
  <c r="Q55" i="3"/>
  <c r="N55" i="3"/>
  <c r="J54" i="3"/>
  <c r="K54" i="3"/>
  <c r="O54" i="3"/>
  <c r="H54" i="3"/>
  <c r="G54" i="3"/>
  <c r="Q54" i="3"/>
  <c r="N54" i="3"/>
  <c r="J53" i="3"/>
  <c r="K53" i="3"/>
  <c r="O53" i="3"/>
  <c r="H53" i="3"/>
  <c r="G53" i="3"/>
  <c r="Q53" i="3"/>
  <c r="N53" i="3"/>
  <c r="J52" i="3"/>
  <c r="K52" i="3"/>
  <c r="O52" i="3"/>
  <c r="H52" i="3"/>
  <c r="G52" i="3"/>
  <c r="Q52" i="3"/>
  <c r="N52" i="3"/>
  <c r="J51" i="3"/>
  <c r="K51" i="3"/>
  <c r="O51" i="3"/>
  <c r="H51" i="3"/>
  <c r="G51" i="3"/>
  <c r="Q51" i="3"/>
  <c r="N51" i="3"/>
  <c r="J50" i="3"/>
  <c r="K50" i="3"/>
  <c r="O50" i="3"/>
  <c r="H50" i="3"/>
  <c r="G50" i="3"/>
  <c r="Q50" i="3"/>
  <c r="N50" i="3"/>
  <c r="J49" i="3"/>
  <c r="K49" i="3"/>
  <c r="O49" i="3"/>
  <c r="H49" i="3"/>
  <c r="G49" i="3"/>
  <c r="Q49" i="3"/>
  <c r="N49" i="3"/>
  <c r="J48" i="3"/>
  <c r="K48" i="3"/>
  <c r="O48" i="3"/>
  <c r="H48" i="3"/>
  <c r="G48" i="3"/>
  <c r="Q48" i="3"/>
  <c r="N48" i="3"/>
  <c r="J47" i="3"/>
  <c r="K47" i="3"/>
  <c r="O47" i="3"/>
  <c r="H47" i="3"/>
  <c r="G47" i="3"/>
  <c r="Q47" i="3"/>
  <c r="N47" i="3"/>
  <c r="J46" i="3"/>
  <c r="K46" i="3"/>
  <c r="O46" i="3"/>
  <c r="H46" i="3"/>
  <c r="G46" i="3"/>
  <c r="Q46" i="3"/>
  <c r="N46" i="3"/>
  <c r="J45" i="3"/>
  <c r="K45" i="3"/>
  <c r="O45" i="3"/>
  <c r="H45" i="3"/>
  <c r="G45" i="3"/>
  <c r="Q45" i="3"/>
  <c r="N45" i="3"/>
  <c r="J44" i="3"/>
  <c r="K44" i="3"/>
  <c r="O44" i="3"/>
  <c r="H44" i="3"/>
  <c r="G44" i="3"/>
  <c r="Q44" i="3"/>
  <c r="N44" i="3"/>
  <c r="J43" i="3"/>
  <c r="K43" i="3"/>
  <c r="O43" i="3"/>
  <c r="H43" i="3"/>
  <c r="G43" i="3"/>
  <c r="Q43" i="3"/>
  <c r="N43" i="3"/>
  <c r="J42" i="3"/>
  <c r="K42" i="3"/>
  <c r="O42" i="3"/>
  <c r="H42" i="3"/>
  <c r="G42" i="3"/>
  <c r="Q42" i="3"/>
  <c r="N42" i="3"/>
  <c r="J41" i="3"/>
  <c r="K41" i="3"/>
  <c r="O41" i="3"/>
  <c r="H41" i="3"/>
  <c r="G41" i="3"/>
  <c r="Q41" i="3"/>
  <c r="N41" i="3"/>
  <c r="J40" i="3"/>
  <c r="K40" i="3"/>
  <c r="O40" i="3"/>
  <c r="H40" i="3"/>
  <c r="G40" i="3"/>
  <c r="Q40" i="3"/>
  <c r="N40" i="3"/>
  <c r="J39" i="3"/>
  <c r="K39" i="3"/>
  <c r="O39" i="3"/>
  <c r="H39" i="3"/>
  <c r="G39" i="3"/>
  <c r="Q39" i="3"/>
  <c r="N39" i="3"/>
  <c r="J38" i="3"/>
  <c r="K38" i="3"/>
  <c r="O38" i="3"/>
  <c r="H38" i="3"/>
  <c r="G38" i="3"/>
  <c r="Q38" i="3"/>
  <c r="N38" i="3"/>
  <c r="J37" i="3"/>
  <c r="K37" i="3"/>
  <c r="O37" i="3"/>
  <c r="H37" i="3"/>
  <c r="G37" i="3"/>
  <c r="Q37" i="3"/>
  <c r="N37" i="3"/>
  <c r="J36" i="3"/>
  <c r="K36" i="3"/>
  <c r="O36" i="3"/>
  <c r="H36" i="3"/>
  <c r="G36" i="3"/>
  <c r="Q36" i="3"/>
  <c r="N36" i="3"/>
  <c r="J35" i="3"/>
  <c r="K35" i="3"/>
  <c r="O35" i="3"/>
  <c r="H35" i="3"/>
  <c r="G35" i="3"/>
  <c r="Q35" i="3"/>
  <c r="N35" i="3"/>
  <c r="J34" i="3"/>
  <c r="K34" i="3"/>
  <c r="O34" i="3"/>
  <c r="H34" i="3"/>
  <c r="G34" i="3"/>
  <c r="Q34" i="3"/>
  <c r="N34" i="3"/>
  <c r="J33" i="3"/>
  <c r="K33" i="3"/>
  <c r="O33" i="3"/>
  <c r="H33" i="3"/>
  <c r="G33" i="3"/>
  <c r="Q33" i="3"/>
  <c r="N33" i="3"/>
  <c r="J32" i="3"/>
  <c r="K32" i="3"/>
  <c r="O32" i="3"/>
  <c r="H32" i="3"/>
  <c r="G32" i="3"/>
  <c r="Q32" i="3"/>
  <c r="N32" i="3"/>
  <c r="J31" i="3"/>
  <c r="K31" i="3"/>
  <c r="O31" i="3"/>
  <c r="H31" i="3"/>
  <c r="G31" i="3"/>
  <c r="Q31" i="3"/>
  <c r="N31" i="3"/>
  <c r="J30" i="3"/>
  <c r="K30" i="3"/>
  <c r="O30" i="3"/>
  <c r="H30" i="3"/>
  <c r="G30" i="3"/>
  <c r="Q30" i="3"/>
  <c r="N30" i="3"/>
  <c r="J29" i="3"/>
  <c r="K29" i="3"/>
  <c r="O29" i="3"/>
  <c r="H29" i="3"/>
  <c r="G29" i="3"/>
  <c r="Q29" i="3"/>
  <c r="N29" i="3"/>
  <c r="J28" i="3"/>
  <c r="K28" i="3"/>
  <c r="O28" i="3"/>
  <c r="H28" i="3"/>
  <c r="G28" i="3"/>
  <c r="Q28" i="3"/>
  <c r="N28" i="3"/>
  <c r="J27" i="3"/>
  <c r="K27" i="3"/>
  <c r="O27" i="3"/>
  <c r="H27" i="3"/>
  <c r="G27" i="3"/>
  <c r="Q27" i="3"/>
  <c r="N27" i="3"/>
  <c r="J26" i="3"/>
  <c r="K26" i="3"/>
  <c r="O26" i="3"/>
  <c r="H26" i="3"/>
  <c r="G26" i="3"/>
  <c r="Q26" i="3"/>
  <c r="N26" i="3"/>
  <c r="J25" i="3"/>
  <c r="K25" i="3"/>
  <c r="O25" i="3"/>
  <c r="H25" i="3"/>
  <c r="G25" i="3"/>
  <c r="Q25" i="3"/>
  <c r="N25" i="3"/>
  <c r="J24" i="3"/>
  <c r="K24" i="3"/>
  <c r="O24" i="3"/>
  <c r="H24" i="3"/>
  <c r="G24" i="3"/>
  <c r="Q24" i="3"/>
  <c r="N24" i="3"/>
  <c r="J23" i="3"/>
  <c r="K23" i="3"/>
  <c r="O23" i="3"/>
  <c r="H23" i="3"/>
  <c r="G23" i="3"/>
  <c r="Q23" i="3"/>
  <c r="N23" i="3"/>
  <c r="J22" i="3"/>
  <c r="K22" i="3"/>
  <c r="O22" i="3"/>
  <c r="H22" i="3"/>
  <c r="G22" i="3"/>
  <c r="Q22" i="3"/>
  <c r="N22" i="3"/>
  <c r="J21" i="3"/>
  <c r="K21" i="3"/>
  <c r="O21" i="3"/>
  <c r="H21" i="3"/>
  <c r="G21" i="3"/>
  <c r="Q21" i="3"/>
  <c r="N21" i="3"/>
  <c r="J20" i="3"/>
  <c r="K20" i="3"/>
  <c r="O20" i="3"/>
  <c r="H20" i="3"/>
  <c r="G20" i="3"/>
  <c r="Q20" i="3"/>
  <c r="N20" i="3"/>
  <c r="J19" i="3"/>
  <c r="K19" i="3"/>
  <c r="O19" i="3"/>
  <c r="H19" i="3"/>
  <c r="G19" i="3"/>
  <c r="Q19" i="3"/>
  <c r="N19" i="3"/>
  <c r="J18" i="3"/>
  <c r="K18" i="3"/>
  <c r="O18" i="3"/>
  <c r="H18" i="3"/>
  <c r="G18" i="3"/>
  <c r="Q18" i="3"/>
  <c r="N18" i="3"/>
  <c r="J17" i="3"/>
  <c r="K17" i="3"/>
  <c r="O17" i="3"/>
  <c r="H17" i="3"/>
  <c r="G17" i="3"/>
  <c r="Q17" i="3"/>
  <c r="N17" i="3"/>
  <c r="J16" i="3"/>
  <c r="K16" i="3"/>
  <c r="O16" i="3"/>
  <c r="H16" i="3"/>
  <c r="G16" i="3"/>
  <c r="Q16" i="3"/>
  <c r="N16" i="3"/>
  <c r="J15" i="3"/>
  <c r="K15" i="3"/>
  <c r="O15" i="3"/>
  <c r="H15" i="3"/>
  <c r="G15" i="3"/>
  <c r="Q15" i="3"/>
  <c r="N15" i="3"/>
  <c r="J14" i="3"/>
  <c r="K14" i="3"/>
  <c r="O14" i="3"/>
  <c r="H14" i="3"/>
  <c r="G14" i="3"/>
  <c r="Q14" i="3"/>
  <c r="N14" i="3"/>
  <c r="J13" i="3"/>
  <c r="K13" i="3"/>
  <c r="O13" i="3"/>
  <c r="H13" i="3"/>
  <c r="G13" i="3"/>
  <c r="Q13" i="3"/>
  <c r="N13" i="3"/>
  <c r="J12" i="3"/>
  <c r="K12" i="3"/>
  <c r="O12" i="3"/>
  <c r="H12" i="3"/>
  <c r="G12" i="3"/>
  <c r="Q12" i="3"/>
  <c r="N12" i="3"/>
  <c r="J11" i="3"/>
  <c r="K11" i="3"/>
  <c r="O11" i="3"/>
  <c r="H11" i="3"/>
  <c r="G11" i="3"/>
  <c r="Q11" i="3"/>
  <c r="N11" i="3"/>
  <c r="J10" i="3"/>
  <c r="K10" i="3"/>
  <c r="O10" i="3"/>
  <c r="H10" i="3"/>
  <c r="G10" i="3"/>
  <c r="Q10" i="3"/>
  <c r="N10" i="3"/>
  <c r="J9" i="3"/>
  <c r="K9" i="3"/>
  <c r="O9" i="3"/>
  <c r="H9" i="3"/>
  <c r="G9" i="3"/>
  <c r="Q9" i="3"/>
  <c r="N9" i="3"/>
  <c r="J8" i="3"/>
  <c r="K8" i="3"/>
  <c r="O8" i="3"/>
  <c r="H8" i="3"/>
  <c r="G8" i="3"/>
  <c r="Q8" i="3"/>
  <c r="N8" i="3"/>
  <c r="J7" i="3"/>
  <c r="K7" i="3"/>
  <c r="O7" i="3"/>
  <c r="H7" i="3"/>
  <c r="G7" i="3"/>
  <c r="Q7" i="3"/>
  <c r="N7" i="3"/>
  <c r="J6" i="3"/>
  <c r="K6" i="3"/>
  <c r="O6" i="3"/>
  <c r="H6" i="3"/>
  <c r="G6" i="3"/>
  <c r="Q6" i="3"/>
  <c r="N6" i="3"/>
  <c r="J5" i="3"/>
  <c r="K5" i="3"/>
  <c r="O5" i="3"/>
  <c r="H5" i="3"/>
  <c r="G5" i="3"/>
  <c r="Q5" i="3"/>
  <c r="N5" i="3"/>
  <c r="J4" i="3"/>
  <c r="K4" i="3"/>
  <c r="O4" i="3"/>
  <c r="H4" i="3"/>
  <c r="G4" i="3"/>
  <c r="Q4" i="3"/>
  <c r="N4" i="3"/>
  <c r="J3" i="3"/>
  <c r="K3" i="3"/>
  <c r="O3" i="3"/>
  <c r="H3" i="3"/>
  <c r="G3" i="3"/>
  <c r="Q3" i="3"/>
  <c r="N3" i="3"/>
  <c r="J2" i="3"/>
  <c r="K2" i="3"/>
  <c r="O2" i="3"/>
  <c r="H2" i="3"/>
  <c r="G2" i="3"/>
  <c r="Q2" i="3"/>
  <c r="N2" i="3"/>
  <c r="B29" i="1"/>
  <c r="C29" i="1"/>
  <c r="D29" i="1"/>
  <c r="E29" i="1"/>
  <c r="F29" i="1"/>
  <c r="A30" i="1"/>
  <c r="B30" i="1"/>
  <c r="C30" i="1"/>
  <c r="D30" i="1"/>
  <c r="E30" i="1"/>
  <c r="F30" i="1"/>
  <c r="G2" i="4"/>
</calcChain>
</file>

<file path=xl/comments1.xml><?xml version="1.0" encoding="utf-8"?>
<comments xmlns="http://schemas.openxmlformats.org/spreadsheetml/2006/main">
  <authors>
    <author>IST</author>
    <author>CSD</author>
  </authors>
  <commentList>
    <comment ref="A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of transmission during a single unprotected set act between an infected male and uninfected female when the male is past the primary infection but his CD4 count is greater than 350 cells/microL</t>
        </r>
      </text>
    </comment>
    <comment ref="J3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Viral load and transmission probabilities for individuals infected with wild-type strains. Viral load is high during primary infection, low after primary infection (when the CD4 count is greater than 350 cells/microL) and high once the CD4 count drops below 350 cells/microL.  Viral load ranges were estimated from empirical studies (S27, S32, S45-S50).</t>
        </r>
      </text>
    </comment>
    <comment ref="A6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in a later stage of infection whereby his has less than 350 cells/microL</t>
        </r>
      </text>
    </comment>
    <comment ref="J6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See: Science DOI: 10.1126/science.1180556 
Evolutionary Dynamics of Complex Networks of HIV Drug-Resistant Strains: The Case of San Francisco
http://www.sciencemag.org/content/suppl/2010/01/14/science.1180556.DC1/Smith.SOM.pdf
Table S2: Take the min and max of the ratio between treatment and primary infection.  Range is 1.29 to 2.35, mean is 1.82</t>
        </r>
      </text>
    </comment>
    <comment ref="A7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male is on ART and is compliant.</t>
        </r>
      </text>
    </comment>
    <comment ref="J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 xml:space="preserve">See: Cohen et al. (2011) </t>
        </r>
        <r>
          <rPr>
            <sz val="10"/>
            <color indexed="81"/>
            <rFont val="Tahoma"/>
          </rPr>
          <t xml:space="preserve">Prevention of HIV-1 Infection with Early Antiretroviral Therapy.  Table 2, Hazard for total linked transmission.  
</t>
        </r>
        <r>
          <rPr>
            <b/>
            <sz val="10"/>
            <color indexed="81"/>
            <rFont val="Tahoma"/>
          </rPr>
          <t>reduction factor is thus 0.01-0.27 with peak at 0.04.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From Previous NY Times Article:</t>
        </r>
        <r>
          <rPr>
            <sz val="10"/>
            <color indexed="81"/>
            <rFont val="Tahoma"/>
          </rPr>
          <t xml:space="preserve"> ART (Treatment As Prevention) (HPN 052) 96%
(HR  0.037) 95% CIs for HR, 0.005-0.272; exact log-rank test statistic, 13, p&lt;1.15 10-7
*Total of 39 cases of HIV infection among the previously uninfected partners. Of those, 28 were linked through genetic analysis to the HIV-infected partner. Of the 28 linked infections, 27 infections occurred among the 877 couples in which the HIV-infected partner was off ART. Only one case of HIV infection occurred among those couples where the HIV-infected partner was on ART
Ref-HPTN 052, unpublished abstract
</t>
        </r>
      </text>
    </comment>
    <comment ref="A8" authorId="0">
      <text>
        <r>
          <rPr>
            <b/>
            <sz val="10"/>
            <color indexed="81"/>
            <rFont val="Tahoma"/>
          </rPr>
          <t>multiplicative factor of the base transmissibility that yields the overall transmissibility if either the male or the female has other STDs.</t>
        </r>
      </text>
    </comment>
    <comment ref="J8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see Sex Transm Inf 1999;75:3–17
range is 2 to 23
Table 4 gives the peak for HSV2 at 4.1. </t>
        </r>
      </text>
    </comment>
    <comment ref="A9" authorId="1">
      <text>
        <r>
          <rPr>
            <b/>
            <sz val="8"/>
            <color indexed="81"/>
            <rFont val="Tahoma"/>
          </rPr>
          <t>multiplicative factor of the base transmissibility that yields the overall transmissibility if the female is on PrEP.</t>
        </r>
      </text>
    </comment>
    <comment ref="J9" authorId="0">
      <text>
        <r>
          <rPr>
            <b/>
            <sz val="10"/>
            <color indexed="81"/>
            <rFont val="Tahoma"/>
          </rPr>
          <t xml:space="preserve">IST:
Factor = 1- efficacy.
From Partners PrEP study: peak at .66 range (.28-.84)
The PrEP IPREX study shows that efficacy ranges from 15.4% to 87.5%
with peak at 43.8%:
Myers and Mayer (2011) http://dx.doi.org/10.1089/apc.2010.0222
</t>
        </r>
        <r>
          <rPr>
            <sz val="10"/>
            <color indexed="81"/>
            <rFont val="Tahoma"/>
          </rPr>
          <t xml:space="preserve">
PreP (IPREX)-
OVERALL RESULT 43.8% 95% CI 
15.4 to 62.6%; p=.005
PreP (IPREX)-
50% or more adherence 50.2% 95% CI 17.9-69.7%; P=0.006
PreP (IPREX)-
90% or more adherence 72.8% 95% CI 40.7-87.5%; P=0.001
</t>
        </r>
        <r>
          <rPr>
            <i/>
            <u/>
            <sz val="10"/>
            <color indexed="81"/>
            <rFont val="Tahoma"/>
            <family val="2"/>
          </rPr>
          <t>Thus 1-0.438 = 0.562 for a peak 
1-0.154 =  0.8460 for a maximum
1-0.875 = 0.1250 for a minimum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Tenofovir Gel 39% overall
Quarraisha et al. (2010) http://dx.doi.org/10.1126/science.1193748</t>
        </r>
        <r>
          <rPr>
            <sz val="10"/>
            <color indexed="81"/>
            <rFont val="Tahoma"/>
          </rPr>
          <t xml:space="preserve">
54% (adherence &gt;80%)
38% (intermediate 50-80%)
28% (low &lt; 50%) 5.6 per 100 women-years (person time of
study observation) (38 out of 680.6 women-years) compared with 9.1 per 100 women-years (60 out of
660.7 women-years) in the placebo gel arm (incidence rate ratio = 0.61; P = 0.017 Ref: Effectiveness and Safety of Tenofovir Gel, an Antiretroviral Microbicide, for the Prevention of HIV Infection in WomenScience 3 September 2010: 
Vol. 329 no. 5996 pp. 1168-1174
(see Figure 2 and Table 2)
</t>
        </r>
        <r>
          <rPr>
            <i/>
            <u/>
            <sz val="10"/>
            <color indexed="81"/>
            <rFont val="Tahoma"/>
            <family val="2"/>
          </rPr>
          <t>1-0.39 = 0. 61 which is included in the range above (0.125 to 0.846)</t>
        </r>
      </text>
    </comment>
    <comment ref="A16" authorId="0">
      <text>
        <r>
          <rPr>
            <b/>
            <sz val="10"/>
            <color indexed="81"/>
            <rFont val="Tahoma"/>
          </rPr>
          <t xml:space="preserve">Probability that a pregnant  HIV+ve woman will infect her baby during pregnancy. </t>
        </r>
      </text>
    </comment>
    <comment ref="J16" authorId="0">
      <text>
        <r>
          <rPr>
            <b/>
            <sz val="10"/>
            <color indexed="81"/>
            <rFont val="Tahoma"/>
          </rPr>
          <t xml:space="preserve">IST:
see:  Cock et al. (2000) Prevention of Mother-to-Child HIV Transmission in Resource-Poor Countries
http://jama.ama-assn.org/content/283/9/1175.long
</t>
        </r>
        <r>
          <rPr>
            <sz val="10"/>
            <color indexed="81"/>
            <rFont val="Tahoma"/>
          </rPr>
          <t xml:space="preserve">10 to 20%
</t>
        </r>
        <r>
          <rPr>
            <b/>
            <sz val="10"/>
            <color indexed="81"/>
            <rFont val="Tahoma"/>
          </rPr>
          <t>However we now use: mode of 0.255 and range 0.184 to  0.325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
</t>
        </r>
      </text>
    </comment>
    <comment ref="A17" authorId="1">
      <text>
        <r>
          <rPr>
            <b/>
            <sz val="8"/>
            <color indexed="81"/>
            <rFont val="Tahoma"/>
          </rPr>
          <t>Multaplicative factor that lowers the mother to child probability of transmission  during pregnancy due to the mother being on ART.</t>
        </r>
      </text>
    </comment>
    <comment ref="J17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</t>
        </r>
        <r>
          <rPr>
            <b/>
            <sz val="10"/>
            <color indexed="81"/>
            <rFont val="Tahoma"/>
          </rPr>
          <t>see:</t>
        </r>
        <r>
          <rPr>
            <sz val="10"/>
            <color indexed="81"/>
            <rFont val="Tahoma"/>
          </rPr>
          <t xml:space="preserve"> </t>
        </r>
        <r>
          <rPr>
            <b/>
            <sz val="10"/>
            <color indexed="81"/>
            <rFont val="Tahoma"/>
          </rPr>
          <t>Zutlevics, T. (2006). "Should ART be offered to HIV-serodiscordant and HIV-seroconcordant couples: an ethical discussion?" Hum Reprod 21(8): 1956-1960.</t>
        </r>
        <r>
          <rPr>
            <sz val="10"/>
            <color indexed="81"/>
            <rFont val="Tahoma"/>
          </rPr>
          <t xml:space="preserve">
This paper states that with treatment - risks fall to 1 to 2% thus the multiplicative reduction factor that multiplies the MTCT prob is between 0.05 and 0.2. Thus, a factor of 1/5 to 1/10
</t>
        </r>
        <r>
          <rPr>
            <b/>
            <sz val="10"/>
            <color indexed="81"/>
            <rFont val="Tahoma"/>
          </rPr>
          <t>However now we use mode of 0.325 and range 0.179 to 0.593</t>
        </r>
        <r>
          <rPr>
            <sz val="10"/>
            <color indexed="81"/>
            <rFont val="Tahoma"/>
          </rPr>
          <t xml:space="preserve">
see:
E. M. Connor, R. S. Sperling, R. Gelber, P. Kiselev, G. Scott, M. J. O’Sullivan, R. VanDyke, M. Bey,
W. Shearer, and R. L. Jacobson. Reduction of maternal-infant transmission of human immunodeficiency
virus type 1 with zidovudine treatment. pediatric aids clinical trials group protocol 076 study group. N Engl J
Med, 331(18):1173–1180, Nov 1994. doi: 10.1056/NEJM199411033311801. URL http://dx.doi.org/10.
1056/NEJM199411033311801.</t>
        </r>
      </text>
    </comment>
    <comment ref="A24" authorId="0">
      <text>
        <r>
          <rPr>
            <b/>
            <sz val="10"/>
            <color indexed="81"/>
            <rFont val="Tahoma"/>
          </rPr>
          <t>Number of unprotected sex acts between an infected male and an uninfected female - prior to the woman being tested for either pregancy and HIV infection.</t>
        </r>
      </text>
    </comment>
  </commentList>
</comments>
</file>

<file path=xl/comments2.xml><?xml version="1.0" encoding="utf-8"?>
<comments xmlns="http://schemas.openxmlformats.org/spreadsheetml/2006/main">
  <authors>
    <author>The RAND Corporation</author>
  </authors>
  <commentList>
    <comment ref="D10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Transmission scroller
</t>
        </r>
      </text>
    </comment>
    <comment ref="C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Late infection?</t>
        </r>
      </text>
    </comment>
    <comment ref="D1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Lae Infection Scrller
</t>
        </r>
      </text>
    </comment>
    <comment ref="C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Treatment?</t>
        </r>
      </text>
    </comment>
    <comment ref="D12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Treatment scroller</t>
        </r>
      </text>
    </comment>
    <comment ref="C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STD?</t>
        </r>
      </text>
    </comment>
    <comment ref="D13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other STD scroller
</t>
        </r>
      </text>
    </comment>
    <comment ref="C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Prep?</t>
        </r>
      </text>
    </comment>
    <comment ref="D14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Prep eff scroller
</t>
        </r>
      </text>
    </comment>
    <comment ref="C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conception
</t>
        </r>
      </text>
    </comment>
    <comment ref="D15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Age</t>
        </r>
      </text>
    </comment>
    <comment ref="C16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Prob of delivery
</t>
        </r>
      </text>
    </comment>
  </commentList>
</comments>
</file>

<file path=xl/comments3.xml><?xml version="1.0" encoding="utf-8"?>
<comments xmlns="http://schemas.openxmlformats.org/spreadsheetml/2006/main">
  <authors>
    <author>IST</author>
    <author>The RAND Corporation</author>
  </authors>
  <commentList>
    <comment ref="B1" authorId="0">
      <text>
        <r>
          <rPr>
            <b/>
            <sz val="10"/>
            <color indexed="81"/>
            <rFont val="Tahoma"/>
          </rPr>
          <t>IST:
NOTE - here we are assuming that the probability of conception per sex act = probability of conception during the 3 days of a females fertility in a cycle.
THIS is a bad assumption!! Need to change.</t>
        </r>
      </text>
    </comment>
    <comment ref="C1" authorId="0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  <comment ref="D1" authorId="1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p = prob of conception per sex act (column B) during one cycle. Here we need the number of sex acts per cycle.
T = threshold probability of conception. That is the minimum probability desired of conceiving. This is defined in Model sheet - cell B20
T=1-(1-p)^N
thus N= log(1-T)/log(1-p)
We then add 0.5 and round.</t>
        </r>
      </text>
    </comment>
  </commentList>
</comments>
</file>

<file path=xl/comments4.xml><?xml version="1.0" encoding="utf-8"?>
<comments xmlns="http://schemas.openxmlformats.org/spreadsheetml/2006/main">
  <authors>
    <author>The RAND Corporation</author>
    <author>IST</author>
  </authors>
  <commentList>
    <comment ref="W1" authorId="0">
      <text>
        <r>
          <rPr>
            <b/>
            <sz val="9"/>
            <color indexed="81"/>
            <rFont val="Arial"/>
          </rPr>
          <t>The RAND Corporation:</t>
        </r>
        <r>
          <rPr>
            <sz val="9"/>
            <color indexed="81"/>
            <rFont val="Arial"/>
          </rPr>
          <t xml:space="preserve">
Assumes six sex acts over the three day window.  This is a best guess based upon Subject Matter Expert (SME)
</t>
        </r>
      </text>
    </comment>
    <comment ref="B2" authorId="1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probability per sexual act that the woman becomes preganant.
See Van Noord-Zaadstra et al., 1991</t>
        </r>
      </text>
    </comment>
    <comment ref="C2" authorId="1">
      <text>
        <r>
          <rPr>
            <b/>
            <sz val="10"/>
            <color indexed="81"/>
            <rFont val="Tahoma"/>
          </rPr>
          <t>IST:</t>
        </r>
        <r>
          <rPr>
            <sz val="10"/>
            <color indexed="81"/>
            <rFont val="Tahoma"/>
          </rPr>
          <t xml:space="preserve">
Probabilitity that a preganant woman will successfully deliver a baby.
Van Noord-Zaadstra et al., 1991</t>
        </r>
      </text>
    </comment>
  </commentList>
</comments>
</file>

<file path=xl/sharedStrings.xml><?xml version="1.0" encoding="utf-8"?>
<sst xmlns="http://schemas.openxmlformats.org/spreadsheetml/2006/main" count="100" uniqueCount="89">
  <si>
    <t>delta</t>
  </si>
  <si>
    <t>TT</t>
  </si>
  <si>
    <t>start.year</t>
  </si>
  <si>
    <t>duration</t>
  </si>
  <si>
    <t>pay.period</t>
  </si>
  <si>
    <t>cur.elast</t>
  </si>
  <si>
    <t>cost</t>
  </si>
  <si>
    <t>MC</t>
  </si>
  <si>
    <t>VA</t>
  </si>
  <si>
    <t>Transmissibility per Act Parameters (alpha)</t>
  </si>
  <si>
    <t>Factors impacting transmission</t>
  </si>
  <si>
    <t>Pregnancy Parameters</t>
  </si>
  <si>
    <t>Mother to Child Transmission during Pregnency</t>
  </si>
  <si>
    <t>MTCT prob.</t>
  </si>
  <si>
    <t>Number of Sexual acts before tests</t>
  </si>
  <si>
    <t>N</t>
  </si>
  <si>
    <t>other STDs</t>
  </si>
  <si>
    <t xml:space="preserve">Treatment  </t>
  </si>
  <si>
    <t>PrEP</t>
  </si>
  <si>
    <t>Base Transmissibility</t>
  </si>
  <si>
    <t xml:space="preserve">Late Stage Infection  </t>
  </si>
  <si>
    <t xml:space="preserve"> overall transmissibility </t>
  </si>
  <si>
    <t xml:space="preserve"> overall prob. to concieve</t>
  </si>
  <si>
    <t>acts</t>
  </si>
  <si>
    <t>SANITY CHECK</t>
  </si>
  <si>
    <t>SCENARIO 4A</t>
  </si>
  <si>
    <t>SCENARIO 4B</t>
  </si>
  <si>
    <t>SCENARIO 5A</t>
  </si>
  <si>
    <t>SCENARIO 5B</t>
  </si>
  <si>
    <t>HIV-ve &amp; baby</t>
  </si>
  <si>
    <t>HIV+ve &amp; -ve baby</t>
  </si>
  <si>
    <t>HIV+ve &amp; +ve baby</t>
  </si>
  <si>
    <t>HIV-ve</t>
  </si>
  <si>
    <t>HIV+ve</t>
  </si>
  <si>
    <t>age</t>
  </si>
  <si>
    <t>Prob of conception</t>
  </si>
  <si>
    <t>Prob of delivery</t>
  </si>
  <si>
    <t>Age</t>
  </si>
  <si>
    <t>Treatment factor</t>
  </si>
  <si>
    <t>0.0017 to 0.0031</t>
  </si>
  <si>
    <t>N conception</t>
  </si>
  <si>
    <t xml:space="preserve">N HIV </t>
  </si>
  <si>
    <t>Total HIV-ve</t>
  </si>
  <si>
    <t>Total HIV+ve</t>
  </si>
  <si>
    <t>HIV+ below threshold</t>
  </si>
  <si>
    <t>reference row</t>
  </si>
  <si>
    <t>N Conception both constraints</t>
  </si>
  <si>
    <t>PREVIOUS CONCEPTION NUMBERS (ANNUAL)</t>
  </si>
  <si>
    <t>Annual P(Conception), Risa Pregnancy Calculator</t>
  </si>
  <si>
    <t>P(conceive), Annual</t>
  </si>
  <si>
    <t>P(not conceive), Annual</t>
  </si>
  <si>
    <t>p(not conceive), monthly</t>
  </si>
  <si>
    <t>p(conceive), monthly</t>
  </si>
  <si>
    <t>p(delivery)</t>
  </si>
  <si>
    <t>p(conceive_monthly)*p(delivery)</t>
  </si>
  <si>
    <t>AGE</t>
  </si>
  <si>
    <t>P(CONCEPTION)_ANNUAL</t>
  </si>
  <si>
    <t>odds of pregnancy at age18-25 is 88% in one year
26-30 years, 80%
31-35 is 65%
36-40 is 55%
41-45 is 38%</t>
  </si>
  <si>
    <t>We use one minus these values to get the probability of not conceiving in a year</t>
  </si>
  <si>
    <t>To get the monthly probability of not conceiving in a year: let P = probability of not conceiving in a year and p = probability of not conceiving in a month then P = p^12.  Solve for p = P^(1/12).</t>
  </si>
  <si>
    <t>The monthly probability of conceiving is then 1-p(not conceive) = 1-P^(1/12)</t>
  </si>
  <si>
    <t>&gt; AGE = c(21.5,28,33,38,43)</t>
  </si>
  <si>
    <t>&gt; P.CONCEIVE = c(.88,.8,.65,.55,.38)</t>
  </si>
  <si>
    <t>&gt; lm.mod = lm(P.CONCEIVE~AGE)</t>
  </si>
  <si>
    <t>&gt; summary(lm.mod)</t>
  </si>
  <si>
    <t>Call:</t>
  </si>
  <si>
    <t>lm(formula = P.CONCEIVE ~ AGE)</t>
  </si>
  <si>
    <t>Residuals:</t>
  </si>
  <si>
    <t xml:space="preserve">        1         2         3         4         5 </t>
  </si>
  <si>
    <t xml:space="preserve">-0.033996  0.038055  0.005018  0.021980 -0.031057 </t>
  </si>
  <si>
    <t>Coefficients:</t>
  </si>
  <si>
    <t xml:space="preserve">             Estimate Std. Error t value Pr(&gt;|t|)    </t>
  </si>
  <si>
    <t>(Intercept)  1.416934   0.073677   19.23 0.000307 ***</t>
  </si>
  <si>
    <t xml:space="preserve">AGE         -0.023392   0.002196  -10.65 0.001768 ** </t>
  </si>
  <si>
    <t>---</t>
  </si>
  <si>
    <t xml:space="preserve">Signif. codes:  0 ‘***’ 0.001 ‘**’ 0.01 ‘*’ 0.05 ‘.’ 0.1 ‘ ’ 1 </t>
  </si>
  <si>
    <t>Residual standard error: 0.03686 on 3 degrees of freedom</t>
  </si>
  <si>
    <t>Multiple R-squared: 0.9742,</t>
  </si>
  <si>
    <t xml:space="preserve">Adjusted R-squared: 0.9657 </t>
  </si>
  <si>
    <t xml:space="preserve">F-statistic: 113.5 on 1 and 3 DF,  p-value: 0.001768 </t>
  </si>
  <si>
    <t xml:space="preserve">Desired Probability of Conception </t>
  </si>
  <si>
    <t xml:space="preserve">Desired Maximum Tolerance of HIV infection </t>
  </si>
  <si>
    <t>Controls</t>
  </si>
  <si>
    <t>Slider bar values</t>
  </si>
  <si>
    <t>1.29 to 2.35</t>
  </si>
  <si>
    <t xml:space="preserve">Median Reference Value </t>
  </si>
  <si>
    <t>p(conceive), per sex act</t>
  </si>
  <si>
    <t>p(conceive_per sex act)*p(delivery)</t>
  </si>
  <si>
    <t>0.28 to 0.84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</si>
</sst>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5" x14ac:knownFonts="1"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b/>
      <sz val="11"/>
      <color indexed="10"/>
      <name val="Times New Roman"/>
      <family val="1"/>
    </font>
    <font>
      <b/>
      <sz val="11"/>
      <color indexed="57"/>
      <name val="Times New Roman"/>
      <family val="1"/>
    </font>
    <font>
      <b/>
      <sz val="11"/>
      <color indexed="48"/>
      <name val="Times New Roman"/>
      <family val="1"/>
    </font>
    <font>
      <b/>
      <sz val="11"/>
      <color indexed="61"/>
      <name val="Times New Roman"/>
      <family val="1"/>
    </font>
    <font>
      <b/>
      <sz val="11"/>
      <color indexed="14"/>
      <name val="Times New Roman"/>
      <family val="1"/>
    </font>
    <font>
      <b/>
      <sz val="8"/>
      <color indexed="81"/>
      <name val="Tahoma"/>
    </font>
    <font>
      <b/>
      <sz val="11"/>
      <color indexed="10"/>
      <name val="Arial"/>
      <family val="2"/>
    </font>
    <font>
      <sz val="8"/>
      <name val="Arial"/>
    </font>
    <font>
      <b/>
      <sz val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10"/>
      <color indexed="8"/>
      <name val="Arial"/>
    </font>
    <font>
      <b/>
      <sz val="12"/>
      <color indexed="8"/>
      <name val="Arial"/>
      <family val="2"/>
    </font>
    <font>
      <i/>
      <u/>
      <sz val="10"/>
      <color indexed="81"/>
      <name val="Tahoma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1"/>
      <color theme="7" tint="-0.499984740745262"/>
      <name val="Times New Roman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1">
    <xf numFmtId="0" fontId="0" fillId="0" borderId="0" xfId="0"/>
    <xf numFmtId="2" fontId="0" fillId="2" borderId="0" xfId="0" applyNumberFormat="1" applyFill="1"/>
    <xf numFmtId="2" fontId="3" fillId="2" borderId="0" xfId="0" applyNumberFormat="1" applyFont="1" applyFill="1"/>
    <xf numFmtId="2" fontId="4" fillId="2" borderId="0" xfId="0" applyNumberFormat="1" applyFont="1" applyFill="1"/>
    <xf numFmtId="2" fontId="5" fillId="2" borderId="0" xfId="0" applyNumberFormat="1" applyFont="1" applyFill="1"/>
    <xf numFmtId="2" fontId="6" fillId="2" borderId="0" xfId="0" applyNumberFormat="1" applyFont="1" applyFill="1"/>
    <xf numFmtId="2" fontId="7" fillId="2" borderId="0" xfId="0" applyNumberFormat="1" applyFont="1" applyFill="1"/>
    <xf numFmtId="3" fontId="7" fillId="2" borderId="0" xfId="0" applyNumberFormat="1" applyFont="1" applyFill="1"/>
    <xf numFmtId="4" fontId="2" fillId="2" borderId="0" xfId="0" applyNumberFormat="1" applyFont="1" applyFill="1"/>
    <xf numFmtId="2" fontId="2" fillId="2" borderId="0" xfId="0" applyNumberFormat="1" applyFont="1" applyFill="1"/>
    <xf numFmtId="2" fontId="1" fillId="2" borderId="0" xfId="0" applyNumberFormat="1" applyFont="1" applyFill="1"/>
    <xf numFmtId="2" fontId="9" fillId="2" borderId="0" xfId="0" applyNumberFormat="1" applyFont="1" applyFill="1"/>
    <xf numFmtId="164" fontId="9" fillId="2" borderId="0" xfId="0" applyNumberFormat="1" applyFont="1" applyFill="1"/>
    <xf numFmtId="4" fontId="6" fillId="2" borderId="0" xfId="0" applyNumberFormat="1" applyFont="1" applyFill="1"/>
    <xf numFmtId="0" fontId="0" fillId="3" borderId="0" xfId="0" applyFill="1"/>
    <xf numFmtId="0" fontId="0" fillId="4" borderId="3" xfId="0" applyFill="1" applyBorder="1"/>
    <xf numFmtId="0" fontId="11" fillId="5" borderId="1" xfId="0" applyFont="1" applyFill="1" applyBorder="1"/>
    <xf numFmtId="11" fontId="11" fillId="6" borderId="1" xfId="0" applyNumberFormat="1" applyFont="1" applyFill="1" applyBorder="1"/>
    <xf numFmtId="10" fontId="0" fillId="5" borderId="3" xfId="0" applyNumberFormat="1" applyFill="1" applyBorder="1"/>
    <xf numFmtId="10" fontId="0" fillId="6" borderId="0" xfId="0" applyNumberFormat="1" applyFill="1"/>
    <xf numFmtId="10" fontId="0" fillId="4" borderId="3" xfId="0" applyNumberFormat="1" applyFill="1" applyBorder="1"/>
    <xf numFmtId="0" fontId="14" fillId="7" borderId="0" xfId="0" applyFont="1" applyFill="1"/>
    <xf numFmtId="2" fontId="14" fillId="7" borderId="0" xfId="0" applyNumberFormat="1" applyFont="1" applyFill="1"/>
    <xf numFmtId="0" fontId="15" fillId="7" borderId="0" xfId="0" applyFont="1" applyFill="1"/>
    <xf numFmtId="0" fontId="14" fillId="7" borderId="3" xfId="0" applyFont="1" applyFill="1" applyBorder="1"/>
    <xf numFmtId="2" fontId="14" fillId="7" borderId="3" xfId="0" applyNumberFormat="1" applyFont="1" applyFill="1" applyBorder="1"/>
    <xf numFmtId="0" fontId="14" fillId="7" borderId="2" xfId="0" applyFont="1" applyFill="1" applyBorder="1"/>
    <xf numFmtId="2" fontId="14" fillId="7" borderId="2" xfId="0" applyNumberFormat="1" applyFont="1" applyFill="1" applyBorder="1"/>
    <xf numFmtId="0" fontId="15" fillId="7" borderId="1" xfId="0" applyFont="1" applyFill="1" applyBorder="1"/>
    <xf numFmtId="2" fontId="15" fillId="7" borderId="1" xfId="0" applyNumberFormat="1" applyFont="1" applyFill="1" applyBorder="1"/>
    <xf numFmtId="1" fontId="5" fillId="2" borderId="0" xfId="0" applyNumberFormat="1" applyFont="1" applyFill="1"/>
    <xf numFmtId="165" fontId="3" fillId="2" borderId="0" xfId="0" applyNumberFormat="1" applyFont="1" applyFill="1"/>
    <xf numFmtId="2" fontId="17" fillId="2" borderId="0" xfId="0" applyNumberFormat="1" applyFont="1" applyFill="1"/>
    <xf numFmtId="2" fontId="18" fillId="2" borderId="0" xfId="0" applyNumberFormat="1" applyFont="1" applyFill="1" applyAlignment="1">
      <alignment horizontal="right"/>
    </xf>
    <xf numFmtId="2" fontId="15" fillId="2" borderId="0" xfId="0" applyNumberFormat="1" applyFont="1" applyFill="1"/>
    <xf numFmtId="0" fontId="14" fillId="7" borderId="5" xfId="0" applyFont="1" applyFill="1" applyBorder="1"/>
    <xf numFmtId="2" fontId="14" fillId="7" borderId="5" xfId="0" applyNumberFormat="1" applyFont="1" applyFill="1" applyBorder="1"/>
    <xf numFmtId="0" fontId="0" fillId="8" borderId="0" xfId="0" applyFill="1"/>
    <xf numFmtId="2" fontId="0" fillId="9" borderId="0" xfId="0" applyNumberFormat="1" applyFill="1"/>
    <xf numFmtId="0" fontId="0" fillId="10" borderId="0" xfId="0" applyFill="1"/>
    <xf numFmtId="0" fontId="11" fillId="10" borderId="0" xfId="0" applyFont="1" applyFill="1"/>
    <xf numFmtId="0" fontId="11" fillId="11" borderId="1" xfId="0" applyFont="1" applyFill="1" applyBorder="1"/>
    <xf numFmtId="10" fontId="11" fillId="9" borderId="7" xfId="0" applyNumberFormat="1" applyFont="1" applyFill="1" applyBorder="1"/>
    <xf numFmtId="10" fontId="11" fillId="11" borderId="7" xfId="0" applyNumberFormat="1" applyFont="1" applyFill="1" applyBorder="1"/>
    <xf numFmtId="10" fontId="11" fillId="12" borderId="7" xfId="0" applyNumberFormat="1" applyFont="1" applyFill="1" applyBorder="1"/>
    <xf numFmtId="0" fontId="11" fillId="13" borderId="6" xfId="0" applyFont="1" applyFill="1" applyBorder="1"/>
    <xf numFmtId="0" fontId="0" fillId="11" borderId="2" xfId="0" applyFill="1" applyBorder="1"/>
    <xf numFmtId="10" fontId="0" fillId="9" borderId="8" xfId="0" applyNumberFormat="1" applyFill="1" applyBorder="1"/>
    <xf numFmtId="10" fontId="0" fillId="11" borderId="8" xfId="0" applyNumberFormat="1" applyFill="1" applyBorder="1"/>
    <xf numFmtId="10" fontId="0" fillId="12" borderId="0" xfId="0" applyNumberFormat="1" applyFill="1"/>
    <xf numFmtId="10" fontId="0" fillId="13" borderId="0" xfId="0" applyNumberFormat="1" applyFill="1"/>
    <xf numFmtId="10" fontId="0" fillId="10" borderId="0" xfId="0" applyNumberFormat="1" applyFill="1"/>
    <xf numFmtId="0" fontId="0" fillId="13" borderId="0" xfId="0" applyFill="1"/>
    <xf numFmtId="0" fontId="11" fillId="11" borderId="9" xfId="0" applyFont="1" applyFill="1" applyBorder="1"/>
    <xf numFmtId="10" fontId="11" fillId="9" borderId="10" xfId="0" applyNumberFormat="1" applyFont="1" applyFill="1" applyBorder="1"/>
    <xf numFmtId="10" fontId="11" fillId="11" borderId="10" xfId="0" applyNumberFormat="1" applyFont="1" applyFill="1" applyBorder="1"/>
    <xf numFmtId="0" fontId="0" fillId="11" borderId="3" xfId="0" applyFill="1" applyBorder="1"/>
    <xf numFmtId="10" fontId="0" fillId="9" borderId="11" xfId="0" applyNumberFormat="1" applyFill="1" applyBorder="1"/>
    <xf numFmtId="10" fontId="0" fillId="11" borderId="11" xfId="0" applyNumberFormat="1" applyFill="1" applyBorder="1"/>
    <xf numFmtId="1" fontId="14" fillId="7" borderId="0" xfId="0" applyNumberFormat="1" applyFont="1" applyFill="1"/>
    <xf numFmtId="0" fontId="19" fillId="15" borderId="0" xfId="0" applyFont="1" applyFill="1"/>
    <xf numFmtId="0" fontId="15" fillId="16" borderId="3" xfId="0" applyFont="1" applyFill="1" applyBorder="1"/>
    <xf numFmtId="0" fontId="19" fillId="16" borderId="3" xfId="0" applyFont="1" applyFill="1" applyBorder="1"/>
    <xf numFmtId="0" fontId="19" fillId="17" borderId="4" xfId="0" applyFont="1" applyFill="1" applyBorder="1"/>
    <xf numFmtId="0" fontId="0" fillId="17" borderId="0" xfId="0" applyFill="1"/>
    <xf numFmtId="0" fontId="15" fillId="18" borderId="3" xfId="0" applyFont="1" applyFill="1" applyBorder="1"/>
    <xf numFmtId="0" fontId="19" fillId="18" borderId="3" xfId="0" applyFont="1" applyFill="1" applyBorder="1"/>
    <xf numFmtId="0" fontId="0" fillId="15" borderId="0" xfId="0" applyFill="1" applyAlignment="1">
      <alignment wrapText="1"/>
    </xf>
    <xf numFmtId="0" fontId="14" fillId="16" borderId="3" xfId="0" applyFont="1" applyFill="1" applyBorder="1"/>
    <xf numFmtId="0" fontId="0" fillId="16" borderId="3" xfId="0" applyFill="1" applyBorder="1"/>
    <xf numFmtId="2" fontId="14" fillId="16" borderId="3" xfId="0" applyNumberFormat="1" applyFont="1" applyFill="1" applyBorder="1"/>
    <xf numFmtId="0" fontId="14" fillId="18" borderId="3" xfId="0" applyFont="1" applyFill="1" applyBorder="1"/>
    <xf numFmtId="0" fontId="0" fillId="18" borderId="3" xfId="0" applyFill="1" applyBorder="1"/>
    <xf numFmtId="2" fontId="14" fillId="18" borderId="3" xfId="0" applyNumberFormat="1" applyFont="1" applyFill="1" applyBorder="1"/>
    <xf numFmtId="0" fontId="0" fillId="15" borderId="0" xfId="0" applyFill="1"/>
    <xf numFmtId="2" fontId="15" fillId="14" borderId="1" xfId="0" applyNumberFormat="1" applyFont="1" applyFill="1" applyBorder="1"/>
    <xf numFmtId="2" fontId="14" fillId="14" borderId="2" xfId="0" applyNumberFormat="1" applyFont="1" applyFill="1" applyBorder="1"/>
    <xf numFmtId="0" fontId="15" fillId="18" borderId="1" xfId="0" applyFont="1" applyFill="1" applyBorder="1"/>
    <xf numFmtId="0" fontId="14" fillId="18" borderId="2" xfId="0" applyFont="1" applyFill="1" applyBorder="1"/>
    <xf numFmtId="0" fontId="15" fillId="20" borderId="1" xfId="0" applyFont="1" applyFill="1" applyBorder="1"/>
    <xf numFmtId="1" fontId="14" fillId="20" borderId="2" xfId="0" applyNumberFormat="1" applyFont="1" applyFill="1" applyBorder="1"/>
    <xf numFmtId="1" fontId="14" fillId="20" borderId="3" xfId="0" applyNumberFormat="1" applyFont="1" applyFill="1" applyBorder="1"/>
    <xf numFmtId="0" fontId="15" fillId="21" borderId="1" xfId="0" applyFont="1" applyFill="1" applyBorder="1"/>
    <xf numFmtId="0" fontId="14" fillId="21" borderId="3" xfId="0" applyFont="1" applyFill="1" applyBorder="1"/>
    <xf numFmtId="1" fontId="15" fillId="22" borderId="1" xfId="0" applyNumberFormat="1" applyFont="1" applyFill="1" applyBorder="1"/>
    <xf numFmtId="1" fontId="14" fillId="22" borderId="2" xfId="0" applyNumberFormat="1" applyFont="1" applyFill="1" applyBorder="1"/>
    <xf numFmtId="1" fontId="14" fillId="22" borderId="3" xfId="0" applyNumberFormat="1" applyFont="1" applyFill="1" applyBorder="1"/>
    <xf numFmtId="2" fontId="24" fillId="2" borderId="0" xfId="0" applyNumberFormat="1" applyFont="1" applyFill="1"/>
    <xf numFmtId="9" fontId="24" fillId="2" borderId="0" xfId="0" applyNumberFormat="1" applyFont="1" applyFill="1"/>
    <xf numFmtId="0" fontId="0" fillId="23" borderId="0" xfId="0" applyFill="1"/>
    <xf numFmtId="0" fontId="11" fillId="23" borderId="0" xfId="0" applyFont="1" applyFill="1"/>
    <xf numFmtId="1" fontId="0" fillId="23" borderId="0" xfId="0" applyNumberFormat="1" applyFill="1"/>
    <xf numFmtId="0" fontId="0" fillId="20" borderId="0" xfId="0" applyFill="1"/>
    <xf numFmtId="166" fontId="19" fillId="18" borderId="3" xfId="0" applyNumberFormat="1" applyFont="1" applyFill="1" applyBorder="1"/>
    <xf numFmtId="166" fontId="0" fillId="18" borderId="3" xfId="0" applyNumberFormat="1" applyFill="1" applyBorder="1"/>
    <xf numFmtId="166" fontId="0" fillId="0" borderId="0" xfId="0" applyNumberFormat="1"/>
    <xf numFmtId="166" fontId="15" fillId="19" borderId="1" xfId="0" applyNumberFormat="1" applyFont="1" applyFill="1" applyBorder="1"/>
    <xf numFmtId="166" fontId="14" fillId="19" borderId="2" xfId="0" applyNumberFormat="1" applyFont="1" applyFill="1" applyBorder="1"/>
    <xf numFmtId="166" fontId="14" fillId="7" borderId="5" xfId="0" applyNumberFormat="1" applyFont="1" applyFill="1" applyBorder="1"/>
    <xf numFmtId="166" fontId="14" fillId="7" borderId="0" xfId="0" applyNumberFormat="1" applyFont="1" applyFill="1"/>
    <xf numFmtId="0" fontId="19" fillId="14" borderId="12" xfId="0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Successful Pregnancy</a:t>
            </a:r>
          </a:p>
        </c:rich>
      </c:tx>
      <c:layout>
        <c:manualLayout>
          <c:xMode val="edge"/>
          <c:yMode val="edge"/>
          <c:x val="0.223463540521122"/>
          <c:y val="0.03267975085203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13460274219"/>
          <c:y val="0.176470729031615"/>
          <c:w val="0.832401477754126"/>
          <c:h val="0.614379575147103"/>
        </c:manualLayout>
      </c:layout>
      <c:lineChart>
        <c:grouping val="standard"/>
        <c:varyColors val="0"/>
        <c:ser>
          <c:idx val="1"/>
          <c:order val="0"/>
          <c:tx>
            <c:strRef>
              <c:f>Model!$G$1</c:f>
              <c:strCache>
                <c:ptCount val="1"/>
                <c:pt idx="0">
                  <c:v>HIV-ve &amp; baby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Model!$G$2:$G$101</c:f>
              <c:numCache>
                <c:formatCode>0.00%</c:formatCode>
                <c:ptCount val="100"/>
                <c:pt idx="0">
                  <c:v>0.0544659108971773</c:v>
                </c:pt>
                <c:pt idx="1">
                  <c:v>0.105591228531754</c:v>
                </c:pt>
                <c:pt idx="2">
                  <c:v>0.153580616782198</c:v>
                </c:pt>
                <c:pt idx="3">
                  <c:v>0.198626200660861</c:v>
                </c:pt>
                <c:pt idx="4">
                  <c:v>0.240908334515799</c:v>
                </c:pt>
                <c:pt idx="5">
                  <c:v>0.280596323168199</c:v>
                </c:pt>
                <c:pt idx="6">
                  <c:v>0.31784909886886</c:v>
                </c:pt>
                <c:pt idx="7">
                  <c:v>0.35281585678048</c:v>
                </c:pt>
                <c:pt idx="8">
                  <c:v>0.385636651526723</c:v>
                </c:pt>
                <c:pt idx="9">
                  <c:v>0.416442957193303</c:v>
                </c:pt>
                <c:pt idx="10">
                  <c:v>0.44535819302024</c:v>
                </c:pt>
                <c:pt idx="11">
                  <c:v>0.472498216887248</c:v>
                </c:pt>
                <c:pt idx="12">
                  <c:v>0.497971788565398</c:v>
                </c:pt>
                <c:pt idx="13">
                  <c:v>0.521881004587387</c:v>
                </c:pt>
                <c:pt idx="14">
                  <c:v>0.544321706475178</c:v>
                </c:pt>
                <c:pt idx="15">
                  <c:v>0.56538386395732</c:v>
                </c:pt>
                <c:pt idx="16">
                  <c:v>0.585151934708203</c:v>
                </c:pt>
                <c:pt idx="17">
                  <c:v>0.603705202047653</c:v>
                </c:pt>
                <c:pt idx="18">
                  <c:v>0.621118091951143</c:v>
                </c:pt>
                <c:pt idx="19">
                  <c:v>0.637460470638163</c:v>
                </c:pt>
                <c:pt idx="20">
                  <c:v>0.652797923928647</c:v>
                </c:pt>
                <c:pt idx="21">
                  <c:v>0.667192019484448</c:v>
                </c:pt>
                <c:pt idx="22">
                  <c:v>0.680700552984413</c:v>
                </c:pt>
                <c:pt idx="23">
                  <c:v>0.693377779217384</c:v>
                </c:pt>
                <c:pt idx="24">
                  <c:v>0.705274629017137</c:v>
                </c:pt>
                <c:pt idx="25">
                  <c:v>0.716438912906655</c:v>
                </c:pt>
                <c:pt idx="26">
                  <c:v>0.72691551226601</c:v>
                </c:pt>
                <c:pt idx="27">
                  <c:v>0.736746558788212</c:v>
                </c:pt>
                <c:pt idx="28">
                  <c:v>0.745971602940582</c:v>
                </c:pt>
                <c:pt idx="29">
                  <c:v>0.754627772105232</c:v>
                </c:pt>
                <c:pt idx="30">
                  <c:v>0.762749919030955</c:v>
                </c:pt>
                <c:pt idx="31">
                  <c:v>0.770370761190126</c:v>
                </c:pt>
                <c:pt idx="32">
                  <c:v>0.777521011597805</c:v>
                </c:pt>
                <c:pt idx="33">
                  <c:v>0.784229501616118</c:v>
                </c:pt>
                <c:pt idx="34">
                  <c:v>0.790523296234956</c:v>
                </c:pt>
                <c:pt idx="35">
                  <c:v>0.796427802289924</c:v>
                </c:pt>
                <c:pt idx="36">
                  <c:v>0.801966870050241</c:v>
                </c:pt>
                <c:pt idx="37">
                  <c:v>0.807162888582801</c:v>
                </c:pt>
                <c:pt idx="38">
                  <c:v>0.812036875273682</c:v>
                </c:pt>
                <c:pt idx="39">
                  <c:v>0.81660855986507</c:v>
                </c:pt>
                <c:pt idx="40">
                  <c:v>0.820896463343603</c:v>
                </c:pt>
                <c:pt idx="41">
                  <c:v>0.824917971995563</c:v>
                </c:pt>
                <c:pt idx="42">
                  <c:v>0.828689406925043</c:v>
                </c:pt>
                <c:pt idx="43">
                  <c:v>0.83222608931302</c:v>
                </c:pt>
                <c:pt idx="44">
                  <c:v>0.835542401678302</c:v>
                </c:pt>
                <c:pt idx="45">
                  <c:v>0.83865184538528</c:v>
                </c:pt>
                <c:pt idx="46">
                  <c:v>0.841567094628424</c:v>
                </c:pt>
                <c:pt idx="47">
                  <c:v>0.844300047109391</c:v>
                </c:pt>
                <c:pt idx="48">
                  <c:v>0.846861871609364</c:v>
                </c:pt>
                <c:pt idx="49">
                  <c:v>0.849263052646839</c:v>
                </c:pt>
                <c:pt idx="50">
                  <c:v>0.851513432399427</c:v>
                </c:pt>
                <c:pt idx="51">
                  <c:v>0.853622250057285</c:v>
                </c:pt>
                <c:pt idx="52">
                  <c:v>0.85559817876554</c:v>
                </c:pt>
                <c:pt idx="53">
                  <c:v>0.857449360303403</c:v>
                </c:pt>
                <c:pt idx="54">
                  <c:v>0.859183437638652</c:v>
                </c:pt>
                <c:pt idx="55">
                  <c:v>0.860807585487637</c:v>
                </c:pt>
                <c:pt idx="56">
                  <c:v>0.86232853900301</c:v>
                </c:pt>
                <c:pt idx="57">
                  <c:v>0.863752620703887</c:v>
                </c:pt>
                <c:pt idx="58">
                  <c:v>0.865085765756102</c:v>
                </c:pt>
                <c:pt idx="59">
                  <c:v>0.866333545703665</c:v>
                </c:pt>
                <c:pt idx="60">
                  <c:v>0.86750119074629</c:v>
                </c:pt>
                <c:pt idx="61">
                  <c:v>0.868593610652072</c:v>
                </c:pt>
                <c:pt idx="62">
                  <c:v>0.869615414388944</c:v>
                </c:pt>
                <c:pt idx="63">
                  <c:v>0.870570928553394</c:v>
                </c:pt>
                <c:pt idx="64">
                  <c:v>0.871464214670133</c:v>
                </c:pt>
                <c:pt idx="65">
                  <c:v>0.872299085431893</c:v>
                </c:pt>
                <c:pt idx="66">
                  <c:v>0.873079119944281</c:v>
                </c:pt>
                <c:pt idx="67">
                  <c:v>0.873807678036647</c:v>
                </c:pt>
                <c:pt idx="68">
                  <c:v>0.874487913696183</c:v>
                </c:pt>
                <c:pt idx="69">
                  <c:v>0.875122787678982</c:v>
                </c:pt>
                <c:pt idx="70">
                  <c:v>0.875715079348465</c:v>
                </c:pt>
                <c:pt idx="71">
                  <c:v>0.876267397788523</c:v>
                </c:pt>
                <c:pt idx="72">
                  <c:v>0.8767821922358</c:v>
                </c:pt>
                <c:pt idx="73">
                  <c:v>0.877261761872842</c:v>
                </c:pt>
                <c:pt idx="74">
                  <c:v>0.877708265021262</c:v>
                </c:pt>
                <c:pt idx="75">
                  <c:v>0.878123727771669</c:v>
                </c:pt>
                <c:pt idx="76">
                  <c:v>0.878510052084893</c:v>
                </c:pt>
                <c:pt idx="77">
                  <c:v>0.878869023396878</c:v>
                </c:pt>
                <c:pt idx="78">
                  <c:v>0.879202317757647</c:v>
                </c:pt>
                <c:pt idx="79">
                  <c:v>0.879511508532913</c:v>
                </c:pt>
                <c:pt idx="80">
                  <c:v>0.879798072695091</c:v>
                </c:pt>
                <c:pt idx="81">
                  <c:v>0.880063396728901</c:v>
                </c:pt>
                <c:pt idx="82">
                  <c:v>0.880308782175155</c:v>
                </c:pt>
                <c:pt idx="83">
                  <c:v>0.880535450834901</c:v>
                </c:pt>
                <c:pt idx="84">
                  <c:v>0.880744549654729</c:v>
                </c:pt>
                <c:pt idx="85">
                  <c:v>0.880937155312784</c:v>
                </c:pt>
                <c:pt idx="86">
                  <c:v>0.881114278523802</c:v>
                </c:pt>
                <c:pt idx="87">
                  <c:v>0.881276868080405</c:v>
                </c:pt>
                <c:pt idx="88">
                  <c:v>0.881425814646799</c:v>
                </c:pt>
                <c:pt idx="89">
                  <c:v>0.881561954320047</c:v>
                </c:pt>
                <c:pt idx="90">
                  <c:v>0.881686071973166</c:v>
                </c:pt>
                <c:pt idx="91">
                  <c:v>0.881798904393396</c:v>
                </c:pt>
                <c:pt idx="92">
                  <c:v>0.88190114322821</c:v>
                </c:pt>
                <c:pt idx="93">
                  <c:v>0.881993437750828</c:v>
                </c:pt>
                <c:pt idx="94">
                  <c:v>0.882076397456309</c:v>
                </c:pt>
                <c:pt idx="95">
                  <c:v>0.882150594498578</c:v>
                </c:pt>
                <c:pt idx="96">
                  <c:v>0.882216565978164</c:v>
                </c:pt>
                <c:pt idx="97">
                  <c:v>0.882274816089761</c:v>
                </c:pt>
                <c:pt idx="98">
                  <c:v>0.88232581813823</c:v>
                </c:pt>
                <c:pt idx="99">
                  <c:v>0.882370016431084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Model!$H$1</c:f>
              <c:strCache>
                <c:ptCount val="1"/>
                <c:pt idx="0">
                  <c:v>HIV+ve &amp; -ve baby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Model!$H$2:$H$101</c:f>
              <c:numCache>
                <c:formatCode>0.00%</c:formatCode>
                <c:ptCount val="100"/>
                <c:pt idx="0">
                  <c:v>2.98537064965478E-6</c:v>
                </c:pt>
                <c:pt idx="1">
                  <c:v>1.15756688115697E-5</c:v>
                </c:pt>
                <c:pt idx="2">
                  <c:v>2.52557740411908E-5</c:v>
                </c:pt>
                <c:pt idx="3">
                  <c:v>4.35526229174202E-5</c:v>
                </c:pt>
                <c:pt idx="4">
                  <c:v>6.60319899059452E-5</c:v>
                </c:pt>
                <c:pt idx="5">
                  <c:v>9.22955047665203E-5</c:v>
                </c:pt>
                <c:pt idx="6">
                  <c:v>0.000121977889605372</c:v>
                </c:pt>
                <c:pt idx="7">
                  <c:v>0.000154744399857012</c:v>
                </c:pt>
                <c:pt idx="8">
                  <c:v>0.000190288454580247</c:v>
                </c:pt>
                <c:pt idx="9">
                  <c:v>0.000228329442479321</c:v>
                </c:pt>
                <c:pt idx="10">
                  <c:v>0.000268610691014449</c:v>
                </c:pt>
                <c:pt idx="11">
                  <c:v>0.000310897586855298</c:v>
                </c:pt>
                <c:pt idx="12">
                  <c:v>0.000354975836757705</c:v>
                </c:pt>
                <c:pt idx="13">
                  <c:v>0.000400649858713922</c:v>
                </c:pt>
                <c:pt idx="14">
                  <c:v>0.000447741293943187</c:v>
                </c:pt>
                <c:pt idx="15">
                  <c:v>0.000496087630955717</c:v>
                </c:pt>
                <c:pt idx="16">
                  <c:v>0.000545540933544482</c:v>
                </c:pt>
                <c:pt idx="17">
                  <c:v>0.000595966665136328</c:v>
                </c:pt>
                <c:pt idx="18">
                  <c:v>0.000647242602470448</c:v>
                </c:pt>
                <c:pt idx="19">
                  <c:v>0.000699257832073481</c:v>
                </c:pt>
                <c:pt idx="20">
                  <c:v>0.000751911823463598</c:v>
                </c:pt>
                <c:pt idx="21">
                  <c:v>0.000805113573450536</c:v>
                </c:pt>
                <c:pt idx="22">
                  <c:v>0.000858780816299111</c:v>
                </c:pt>
                <c:pt idx="23">
                  <c:v>0.000912839294899117</c:v>
                </c:pt>
                <c:pt idx="24">
                  <c:v>0.000967222088430697</c:v>
                </c:pt>
                <c:pt idx="25">
                  <c:v>0.00102186899234084</c:v>
                </c:pt>
                <c:pt idx="26">
                  <c:v>0.00107672594674419</c:v>
                </c:pt>
                <c:pt idx="27">
                  <c:v>0.00113174450964296</c:v>
                </c:pt>
                <c:pt idx="28">
                  <c:v>0.00118688137162103</c:v>
                </c:pt>
                <c:pt idx="29">
                  <c:v>0.00124209790890645</c:v>
                </c:pt>
                <c:pt idx="30">
                  <c:v>0.00129735977192563</c:v>
                </c:pt>
                <c:pt idx="31">
                  <c:v>0.00135263650667607</c:v>
                </c:pt>
                <c:pt idx="32">
                  <c:v>0.00140790120644256</c:v>
                </c:pt>
                <c:pt idx="33">
                  <c:v>0.00146313019156042</c:v>
                </c:pt>
                <c:pt idx="34">
                  <c:v>0.00151830271509571</c:v>
                </c:pt>
                <c:pt idx="35">
                  <c:v>0.0015734006924713</c:v>
                </c:pt>
                <c:pt idx="36">
                  <c:v>0.00162840845320674</c:v>
                </c:pt>
                <c:pt idx="37">
                  <c:v>0.00168331251308084</c:v>
                </c:pt>
                <c:pt idx="38">
                  <c:v>0.00173810136514409</c:v>
                </c:pt>
                <c:pt idx="39">
                  <c:v>0.0017927652881285</c:v>
                </c:pt>
                <c:pt idx="40">
                  <c:v>0.0018472961709059</c:v>
                </c:pt>
                <c:pt idx="41">
                  <c:v>0.00190168735175031</c:v>
                </c:pt>
                <c:pt idx="42">
                  <c:v>0.0019559334712471</c:v>
                </c:pt>
                <c:pt idx="43">
                  <c:v>0.00201003033778176</c:v>
                </c:pt>
                <c:pt idx="44">
                  <c:v>0.0020639748046185</c:v>
                </c:pt>
                <c:pt idx="45">
                  <c:v>0.0021177646576545</c:v>
                </c:pt>
                <c:pt idx="46">
                  <c:v>0.0021713985130021</c:v>
                </c:pt>
                <c:pt idx="47">
                  <c:v>0.00222487572361774</c:v>
                </c:pt>
                <c:pt idx="48">
                  <c:v>0.00227819629425167</c:v>
                </c:pt>
                <c:pt idx="49">
                  <c:v>0.00233136080405198</c:v>
                </c:pt>
                <c:pt idx="50">
                  <c:v>0.00238437033620226</c:v>
                </c:pt>
                <c:pt idx="51">
                  <c:v>0.00243722641402314</c:v>
                </c:pt>
                <c:pt idx="52">
                  <c:v>0.00248993094300908</c:v>
                </c:pt>
                <c:pt idx="53">
                  <c:v>0.00254248615831339</c:v>
                </c:pt>
                <c:pt idx="54">
                  <c:v>0.00259489457723207</c:v>
                </c:pt>
                <c:pt idx="55">
                  <c:v>0.00264715895627046</c:v>
                </c:pt>
                <c:pt idx="56">
                  <c:v>0.00269928225240976</c:v>
                </c:pt>
                <c:pt idx="57">
                  <c:v>0.00275126758822058</c:v>
                </c:pt>
                <c:pt idx="58">
                  <c:v>0.002803118220497</c:v>
                </c:pt>
                <c:pt idx="59">
                  <c:v>0.00285483751211089</c:v>
                </c:pt>
                <c:pt idx="60">
                  <c:v>0.00290642890681076</c:v>
                </c:pt>
                <c:pt idx="61">
                  <c:v>0.00295789590670749</c:v>
                </c:pt>
                <c:pt idx="62">
                  <c:v>0.00300924205221596</c:v>
                </c:pt>
                <c:pt idx="63">
                  <c:v>0.00306047090423341</c:v>
                </c:pt>
                <c:pt idx="64">
                  <c:v>0.00311158602835626</c:v>
                </c:pt>
                <c:pt idx="65">
                  <c:v>0.00316259098095413</c:v>
                </c:pt>
                <c:pt idx="66">
                  <c:v>0.00321348929693111</c:v>
                </c:pt>
                <c:pt idx="67">
                  <c:v>0.00326428447902069</c:v>
                </c:pt>
                <c:pt idx="68">
                  <c:v>0.00331497998847159</c:v>
                </c:pt>
                <c:pt idx="69">
                  <c:v>0.00336557923699589</c:v>
                </c:pt>
                <c:pt idx="70">
                  <c:v>0.00341608557985824</c:v>
                </c:pt>
                <c:pt idx="71">
                  <c:v>0.00346650230999715</c:v>
                </c:pt>
                <c:pt idx="72">
                  <c:v>0.00351683265307783</c:v>
                </c:pt>
                <c:pt idx="73">
                  <c:v>0.00356707976338467</c:v>
                </c:pt>
                <c:pt idx="74">
                  <c:v>0.00361724672046969</c:v>
                </c:pt>
                <c:pt idx="75">
                  <c:v>0.00366733652647756</c:v>
                </c:pt>
                <c:pt idx="76">
                  <c:v>0.00371735210407999</c:v>
                </c:pt>
                <c:pt idx="77">
                  <c:v>0.00376729629495221</c:v>
                </c:pt>
                <c:pt idx="78">
                  <c:v>0.00381717185873504</c:v>
                </c:pt>
                <c:pt idx="79">
                  <c:v>0.00386698147242659</c:v>
                </c:pt>
                <c:pt idx="80">
                  <c:v>0.00391672773015709</c:v>
                </c:pt>
                <c:pt idx="81">
                  <c:v>0.0039664131433007</c:v>
                </c:pt>
                <c:pt idx="82">
                  <c:v>0.0040160401408841</c:v>
                </c:pt>
                <c:pt idx="83">
                  <c:v>0.00406561107025632</c:v>
                </c:pt>
                <c:pt idx="84">
                  <c:v>0.00411512819798398</c:v>
                </c:pt>
                <c:pt idx="85">
                  <c:v>0.00416459371094392</c:v>
                </c:pt>
                <c:pt idx="86">
                  <c:v>0.00421400971758486</c:v>
                </c:pt>
                <c:pt idx="87">
                  <c:v>0.00426337824933385</c:v>
                </c:pt>
                <c:pt idx="88">
                  <c:v>0.00431270126212277</c:v>
                </c:pt>
                <c:pt idx="89">
                  <c:v>0.00436198063801909</c:v>
                </c:pt>
                <c:pt idx="90">
                  <c:v>0.00441121818693802</c:v>
                </c:pt>
                <c:pt idx="91">
                  <c:v>0.00446041564842307</c:v>
                </c:pt>
                <c:pt idx="92">
                  <c:v>0.00450957469347882</c:v>
                </c:pt>
                <c:pt idx="93">
                  <c:v>0.00455869692644246</c:v>
                </c:pt>
                <c:pt idx="94">
                  <c:v>0.00460778388688437</c:v>
                </c:pt>
                <c:pt idx="95">
                  <c:v>0.00465683705152474</c:v>
                </c:pt>
                <c:pt idx="96">
                  <c:v>0.00470585783615887</c:v>
                </c:pt>
                <c:pt idx="97">
                  <c:v>0.00475484759758265</c:v>
                </c:pt>
                <c:pt idx="98">
                  <c:v>0.00480380763550927</c:v>
                </c:pt>
                <c:pt idx="99">
                  <c:v>0.00485273919447506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Model!$I$1</c:f>
              <c:strCache>
                <c:ptCount val="1"/>
                <c:pt idx="0">
                  <c:v>HIV+ve &amp; +ve baby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Model!$I$2:$I$101</c:f>
              <c:numCache>
                <c:formatCode>0.00%</c:formatCode>
                <c:ptCount val="100"/>
                <c:pt idx="0">
                  <c:v>7.18563158849911E-7</c:v>
                </c:pt>
                <c:pt idx="1">
                  <c:v>2.78620316308252E-6</c:v>
                </c:pt>
                <c:pt idx="2">
                  <c:v>6.07893320594418E-6</c:v>
                </c:pt>
                <c:pt idx="3">
                  <c:v>1.04828893870714E-5</c:v>
                </c:pt>
                <c:pt idx="4">
                  <c:v>1.58935558830687E-5</c:v>
                </c:pt>
                <c:pt idx="5">
                  <c:v>2.22150470529838E-5</c:v>
                </c:pt>
                <c:pt idx="6">
                  <c:v>2.93594424112185E-5</c:v>
                </c:pt>
                <c:pt idx="7">
                  <c:v>3.72461706851865E-5</c:v>
                </c:pt>
                <c:pt idx="8">
                  <c:v>4.58014394399105E-5</c:v>
                </c:pt>
                <c:pt idx="9">
                  <c:v>5.49577069987448E-5</c:v>
                </c:pt>
                <c:pt idx="10">
                  <c:v>6.46531936188625E-5</c:v>
                </c:pt>
                <c:pt idx="11">
                  <c:v>7.48314290942032E-5</c:v>
                </c:pt>
                <c:pt idx="12">
                  <c:v>8.54408341575619E-5</c:v>
                </c:pt>
                <c:pt idx="13">
                  <c:v>9.64343332388349E-5</c:v>
                </c:pt>
                <c:pt idx="14">
                  <c:v>0.000107768996308906</c:v>
                </c:pt>
                <c:pt idx="15">
                  <c:v>0.000119405707699019</c:v>
                </c:pt>
                <c:pt idx="16">
                  <c:v>0.000131308859935024</c:v>
                </c:pt>
                <c:pt idx="17">
                  <c:v>0.000143446070764823</c:v>
                </c:pt>
                <c:pt idx="18">
                  <c:v>0.000155787921686435</c:v>
                </c:pt>
                <c:pt idx="19">
                  <c:v>0.000168307716404783</c:v>
                </c:pt>
                <c:pt idx="20">
                  <c:v>0.000180981257756747</c:v>
                </c:pt>
                <c:pt idx="21">
                  <c:v>0.00019378664174864</c:v>
                </c:pt>
                <c:pt idx="22">
                  <c:v>0.000206704067446684</c:v>
                </c:pt>
                <c:pt idx="23">
                  <c:v>0.0002197156615514</c:v>
                </c:pt>
                <c:pt idx="24">
                  <c:v>0.000232805316570168</c:v>
                </c:pt>
                <c:pt idx="25">
                  <c:v>0.000245958541580798</c:v>
                </c:pt>
                <c:pt idx="26">
                  <c:v>0.000259162324650586</c:v>
                </c:pt>
                <c:pt idx="27">
                  <c:v>0.000272405006043094</c:v>
                </c:pt>
                <c:pt idx="28">
                  <c:v>0.000285676161407543</c:v>
                </c:pt>
                <c:pt idx="29">
                  <c:v>0.000298966494203291</c:v>
                </c:pt>
                <c:pt idx="30">
                  <c:v>0.000312267736666963</c:v>
                </c:pt>
                <c:pt idx="31">
                  <c:v>0.000325572558678855</c:v>
                </c:pt>
                <c:pt idx="32">
                  <c:v>0.000338874483932824</c:v>
                </c:pt>
                <c:pt idx="33">
                  <c:v>0.000352167812856975</c:v>
                </c:pt>
                <c:pt idx="34">
                  <c:v>0.000365447551772417</c:v>
                </c:pt>
                <c:pt idx="35">
                  <c:v>0.000378709347815672</c:v>
                </c:pt>
                <c:pt idx="36">
                  <c:v>0.000391949429183755</c:v>
                </c:pt>
                <c:pt idx="37">
                  <c:v>0.000405164550294892</c:v>
                </c:pt>
                <c:pt idx="38">
                  <c:v>0.000418351941486296</c:v>
                </c:pt>
                <c:pt idx="39">
                  <c:v>0.000431509262899414</c:v>
                </c:pt>
                <c:pt idx="40">
                  <c:v>0.000444634562227972</c:v>
                </c:pt>
                <c:pt idx="41">
                  <c:v>0.00045772623602923</c:v>
                </c:pt>
                <c:pt idx="42">
                  <c:v>0.000470782994320021</c:v>
                </c:pt>
                <c:pt idx="43">
                  <c:v>0.000483803828200572</c:v>
                </c:pt>
                <c:pt idx="44">
                  <c:v>0.000496787980267976</c:v>
                </c:pt>
                <c:pt idx="45">
                  <c:v>0.000509734917599222</c:v>
                </c:pt>
                <c:pt idx="46">
                  <c:v>0.000522644307099762</c:v>
                </c:pt>
                <c:pt idx="47">
                  <c:v>0.00053551599302958</c:v>
                </c:pt>
                <c:pt idx="48">
                  <c:v>0.000548349976532039</c:v>
                </c:pt>
                <c:pt idx="49">
                  <c:v>0.000561146397005068</c:v>
                </c:pt>
                <c:pt idx="50">
                  <c:v>0.000573905515165307</c:v>
                </c:pt>
                <c:pt idx="51">
                  <c:v>0.000586627697668101</c:v>
                </c:pt>
                <c:pt idx="52">
                  <c:v>0.000599313403156032</c:v>
                </c:pt>
                <c:pt idx="53">
                  <c:v>0.000611963169618856</c:v>
                </c:pt>
                <c:pt idx="54">
                  <c:v>0.000624577602956603</c:v>
                </c:pt>
                <c:pt idx="55">
                  <c:v>0.000637157366645744</c:v>
                </c:pt>
                <c:pt idx="56">
                  <c:v>0.000649703172416245</c:v>
                </c:pt>
                <c:pt idx="57">
                  <c:v>0.000662215771854581</c:v>
                </c:pt>
                <c:pt idx="58">
                  <c:v>0.000674695948854117</c:v>
                </c:pt>
                <c:pt idx="59">
                  <c:v>0.000687144512840587</c:v>
                </c:pt>
                <c:pt idx="60">
                  <c:v>0.000699562292706312</c:v>
                </c:pt>
                <c:pt idx="61">
                  <c:v>0.000711950131391132</c:v>
                </c:pt>
                <c:pt idx="62">
                  <c:v>0.000724308881054463</c:v>
                </c:pt>
                <c:pt idx="63">
                  <c:v>0.00073663939878571</c:v>
                </c:pt>
                <c:pt idx="64">
                  <c:v>0.000748942542805353</c:v>
                </c:pt>
                <c:pt idx="65">
                  <c:v>0.000761219169113029</c:v>
                </c:pt>
                <c:pt idx="66">
                  <c:v>0.00077347012854173</c:v>
                </c:pt>
                <c:pt idx="67">
                  <c:v>0.000785696264181158</c:v>
                </c:pt>
                <c:pt idx="68">
                  <c:v>0.000797898409135841</c:v>
                </c:pt>
                <c:pt idx="69">
                  <c:v>0.0008100773845871</c:v>
                </c:pt>
                <c:pt idx="70">
                  <c:v>0.00082223399812965</c:v>
                </c:pt>
                <c:pt idx="71">
                  <c:v>0.000834369042356633</c:v>
                </c:pt>
                <c:pt idx="72">
                  <c:v>0.000846483293668856</c:v>
                </c:pt>
                <c:pt idx="73">
                  <c:v>0.000858577511286135</c:v>
                </c:pt>
                <c:pt idx="74">
                  <c:v>0.000870652436440595</c:v>
                </c:pt>
                <c:pt idx="75">
                  <c:v>0.000882708791732813</c:v>
                </c:pt>
                <c:pt idx="76">
                  <c:v>0.000894747280634638</c:v>
                </c:pt>
                <c:pt idx="77">
                  <c:v>0.000906768587122492</c:v>
                </c:pt>
                <c:pt idx="78">
                  <c:v>0.00091877337542754</c:v>
                </c:pt>
                <c:pt idx="79">
                  <c:v>0.000930762289889279</c:v>
                </c:pt>
                <c:pt idx="80">
                  <c:v>0.000942735954901333</c:v>
                </c:pt>
                <c:pt idx="81">
                  <c:v>0.000954694974938382</c:v>
                </c:pt>
                <c:pt idx="82">
                  <c:v>0.000966639934654484</c:v>
                </c:pt>
                <c:pt idx="83">
                  <c:v>0.000978571399044325</c:v>
                </c:pt>
                <c:pt idx="84">
                  <c:v>0.000990489913658674</c:v>
                </c:pt>
                <c:pt idx="85">
                  <c:v>0.00100239600486739</c:v>
                </c:pt>
                <c:pt idx="86">
                  <c:v>0.0010142901801631</c:v>
                </c:pt>
                <c:pt idx="87">
                  <c:v>0.00102617292849971</c:v>
                </c:pt>
                <c:pt idx="88">
                  <c:v>0.00103804472065982</c:v>
                </c:pt>
                <c:pt idx="89">
                  <c:v>0.00104990600964728</c:v>
                </c:pt>
                <c:pt idx="90">
                  <c:v>0.00106175723109923</c:v>
                </c:pt>
                <c:pt idx="91">
                  <c:v>0.00107359880371473</c:v>
                </c:pt>
                <c:pt idx="92">
                  <c:v>0.00108543112969589</c:v>
                </c:pt>
                <c:pt idx="93">
                  <c:v>0.00109725459519831</c:v>
                </c:pt>
                <c:pt idx="94">
                  <c:v>0.00110906957078855</c:v>
                </c:pt>
                <c:pt idx="95">
                  <c:v>0.00112087641190546</c:v>
                </c:pt>
                <c:pt idx="96">
                  <c:v>0.0011326754593236</c:v>
                </c:pt>
                <c:pt idx="97">
                  <c:v>0.00114446703961667</c:v>
                </c:pt>
                <c:pt idx="98">
                  <c:v>0.00115625146561886</c:v>
                </c:pt>
                <c:pt idx="99">
                  <c:v>0.00116802903688357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858616"/>
        <c:axId val="415867272"/>
      </c:lineChart>
      <c:catAx>
        <c:axId val="41585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45064737019604"/>
              <c:y val="0.8921574803149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6727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15867272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30353817504655"/>
              <c:y val="0.3431376189916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858616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D2D2A8" mc:Ignorable="a14" a14:legacySpreadsheetColorIndex="26">
                <a:gamma/>
                <a:shade val="82353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634422792123"/>
          <c:y val="0.212418380538254"/>
          <c:w val="0.240223317057435"/>
          <c:h val="0.1405229756728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138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of Unsuccessful Pregnancy</a:t>
            </a:r>
          </a:p>
        </c:rich>
      </c:tx>
      <c:layout>
        <c:manualLayout>
          <c:xMode val="edge"/>
          <c:yMode val="edge"/>
          <c:x val="0.205936920222635"/>
          <c:y val="0.032786885245901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67717996289"/>
          <c:y val="0.177049180327869"/>
          <c:w val="0.831168831168831"/>
          <c:h val="0.613114754098361"/>
        </c:manualLayout>
      </c:layout>
      <c:lineChart>
        <c:grouping val="standard"/>
        <c:varyColors val="0"/>
        <c:ser>
          <c:idx val="1"/>
          <c:order val="0"/>
          <c:tx>
            <c:strRef>
              <c:f>Model!$O$1</c:f>
              <c:strCache>
                <c:ptCount val="1"/>
                <c:pt idx="0">
                  <c:v>HIV-ve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Model!$O$2:$O$101</c:f>
              <c:numCache>
                <c:formatCode>0.00%</c:formatCode>
                <c:ptCount val="100"/>
                <c:pt idx="0">
                  <c:v>0.945466089102823</c:v>
                </c:pt>
                <c:pt idx="1">
                  <c:v>0.894272776092246</c:v>
                </c:pt>
                <c:pt idx="2">
                  <c:v>0.846215397089488</c:v>
                </c:pt>
                <c:pt idx="3">
                  <c:v>0.801101827081881</c:v>
                </c:pt>
                <c:pt idx="4">
                  <c:v>0.758751711721057</c:v>
                </c:pt>
                <c:pt idx="5">
                  <c:v>0.718995746185512</c:v>
                </c:pt>
                <c:pt idx="6">
                  <c:v>0.681674998224136</c:v>
                </c:pt>
                <c:pt idx="7">
                  <c:v>0.646640272673913</c:v>
                </c:pt>
                <c:pt idx="8">
                  <c:v>0.613751514910867</c:v>
                </c:pt>
                <c:pt idx="9">
                  <c:v>0.58287725084897</c:v>
                </c:pt>
                <c:pt idx="10">
                  <c:v>0.553894061247886</c:v>
                </c:pt>
                <c:pt idx="11">
                  <c:v>0.526686088227588</c:v>
                </c:pt>
                <c:pt idx="12">
                  <c:v>0.50114457201669</c:v>
                </c:pt>
                <c:pt idx="13">
                  <c:v>0.477167416082182</c:v>
                </c:pt>
                <c:pt idx="14">
                  <c:v>0.454658778901785</c:v>
                </c:pt>
                <c:pt idx="15">
                  <c:v>0.433528690746637</c:v>
                </c:pt>
                <c:pt idx="16">
                  <c:v>0.413692693942034</c:v>
                </c:pt>
                <c:pt idx="17">
                  <c:v>0.395071505167836</c:v>
                </c:pt>
                <c:pt idx="18">
                  <c:v>0.377590698448255</c:v>
                </c:pt>
                <c:pt idx="19">
                  <c:v>0.361180407563489</c:v>
                </c:pt>
                <c:pt idx="20">
                  <c:v>0.345775046693287</c:v>
                </c:pt>
                <c:pt idx="21">
                  <c:v>0.331313048175483</c:v>
                </c:pt>
                <c:pt idx="22">
                  <c:v>0.317736616330917</c:v>
                </c:pt>
                <c:pt idx="23">
                  <c:v>0.304991496370433</c:v>
                </c:pt>
                <c:pt idx="24">
                  <c:v>0.29302675745994</c:v>
                </c:pt>
                <c:pt idx="25">
                  <c:v>0.281794589076142</c:v>
                </c:pt>
                <c:pt idx="26">
                  <c:v>0.271250109838652</c:v>
                </c:pt>
                <c:pt idx="27">
                  <c:v>0.261351188054147</c:v>
                </c:pt>
                <c:pt idx="28">
                  <c:v>0.252058273254991</c:v>
                </c:pt>
                <c:pt idx="29">
                  <c:v>0.243334238058761</c:v>
                </c:pt>
                <c:pt idx="30">
                  <c:v>0.235144229716346</c:v>
                </c:pt>
                <c:pt idx="31">
                  <c:v>0.22745553075506</c:v>
                </c:pt>
                <c:pt idx="32">
                  <c:v>0.220237428159529</c:v>
                </c:pt>
                <c:pt idx="33">
                  <c:v>0.213461090567313</c:v>
                </c:pt>
                <c:pt idx="34">
                  <c:v>0.207099452988206</c:v>
                </c:pt>
                <c:pt idx="35">
                  <c:v>0.201127108586291</c:v>
                </c:pt>
                <c:pt idx="36">
                  <c:v>0.195520207092034</c:v>
                </c:pt>
                <c:pt idx="37">
                  <c:v>0.190256359438229</c:v>
                </c:pt>
                <c:pt idx="38">
                  <c:v>0.185314548238483</c:v>
                </c:pt>
                <c:pt idx="39">
                  <c:v>0.180675043750295</c:v>
                </c:pt>
                <c:pt idx="40">
                  <c:v>0.176319324986717</c:v>
                </c:pt>
                <c:pt idx="41">
                  <c:v>0.17223000566115</c:v>
                </c:pt>
                <c:pt idx="42">
                  <c:v>0.16839076466919</c:v>
                </c:pt>
                <c:pt idx="43">
                  <c:v>0.164786280829545</c:v>
                </c:pt>
                <c:pt idx="44">
                  <c:v>0.161402171623092</c:v>
                </c:pt>
                <c:pt idx="45">
                  <c:v>0.15822493568513</c:v>
                </c:pt>
                <c:pt idx="46">
                  <c:v>0.155241898820873</c:v>
                </c:pt>
                <c:pt idx="47">
                  <c:v>0.152441163328351</c:v>
                </c:pt>
                <c:pt idx="48">
                  <c:v>0.149811560426069</c:v>
                </c:pt>
                <c:pt idx="49">
                  <c:v>0.147342605595215</c:v>
                </c:pt>
                <c:pt idx="50">
                  <c:v>0.145024456657867</c:v>
                </c:pt>
                <c:pt idx="51">
                  <c:v>0.142847874423553</c:v>
                </c:pt>
                <c:pt idx="52">
                  <c:v>0.140804185746833</c:v>
                </c:pt>
                <c:pt idx="53">
                  <c:v>0.138885248848183</c:v>
                </c:pt>
                <c:pt idx="54">
                  <c:v>0.137083420759512</c:v>
                </c:pt>
                <c:pt idx="55">
                  <c:v>0.135391526764157</c:v>
                </c:pt>
                <c:pt idx="56">
                  <c:v>0.13380283170915</c:v>
                </c:pt>
                <c:pt idx="57">
                  <c:v>0.132311013075065</c:v>
                </c:pt>
                <c:pt idx="58">
                  <c:v>0.130910135695753</c:v>
                </c:pt>
                <c:pt idx="59">
                  <c:v>0.129594628026891</c:v>
                </c:pt>
                <c:pt idx="60">
                  <c:v>0.128359259868453</c:v>
                </c:pt>
                <c:pt idx="61">
                  <c:v>0.127199121452029</c:v>
                </c:pt>
                <c:pt idx="62">
                  <c:v>0.126109603809373</c:v>
                </c:pt>
                <c:pt idx="63">
                  <c:v>0.125086380343686</c:v>
                </c:pt>
                <c:pt idx="64">
                  <c:v>0.124125389529943</c:v>
                </c:pt>
                <c:pt idx="65">
                  <c:v>0.123222818675097</c:v>
                </c:pt>
                <c:pt idx="66">
                  <c:v>0.122375088673229</c:v>
                </c:pt>
                <c:pt idx="67">
                  <c:v>0.121578839694678</c:v>
                </c:pt>
                <c:pt idx="68">
                  <c:v>0.120830917751936</c:v>
                </c:pt>
                <c:pt idx="69">
                  <c:v>0.120128362088598</c:v>
                </c:pt>
                <c:pt idx="70">
                  <c:v>0.119468393340931</c:v>
                </c:pt>
                <c:pt idx="71">
                  <c:v>0.118848402424731</c:v>
                </c:pt>
                <c:pt idx="72">
                  <c:v>0.118265940103039</c:v>
                </c:pt>
                <c:pt idx="73">
                  <c:v>0.117718707192997</c:v>
                </c:pt>
                <c:pt idx="74">
                  <c:v>0.117204545372681</c:v>
                </c:pt>
                <c:pt idx="75">
                  <c:v>0.116721428551168</c:v>
                </c:pt>
                <c:pt idx="76">
                  <c:v>0.116267454767313</c:v>
                </c:pt>
                <c:pt idx="77">
                  <c:v>0.115840838584863</c:v>
                </c:pt>
                <c:pt idx="78">
                  <c:v>0.115439903953479</c:v>
                </c:pt>
                <c:pt idx="79">
                  <c:v>0.115063077507137</c:v>
                </c:pt>
                <c:pt idx="80">
                  <c:v>0.114708882273108</c:v>
                </c:pt>
                <c:pt idx="81">
                  <c:v>0.11437593176636</c:v>
                </c:pt>
                <c:pt idx="82">
                  <c:v>0.114062924445768</c:v>
                </c:pt>
                <c:pt idx="83">
                  <c:v>0.113768638509972</c:v>
                </c:pt>
                <c:pt idx="84">
                  <c:v>0.113491927012068</c:v>
                </c:pt>
                <c:pt idx="85">
                  <c:v>0.1132317132736</c:v>
                </c:pt>
                <c:pt idx="86">
                  <c:v>0.112986986579518</c:v>
                </c:pt>
                <c:pt idx="87">
                  <c:v>0.112756798136888</c:v>
                </c:pt>
                <c:pt idx="88">
                  <c:v>0.112540257281192</c:v>
                </c:pt>
                <c:pt idx="89">
                  <c:v>0.112336527915052</c:v>
                </c:pt>
                <c:pt idx="90">
                  <c:v>0.112144825165141</c:v>
                </c:pt>
                <c:pt idx="91">
                  <c:v>0.111964412243906</c:v>
                </c:pt>
                <c:pt idx="92">
                  <c:v>0.111794597503561</c:v>
                </c:pt>
                <c:pt idx="93">
                  <c:v>0.111634731670573</c:v>
                </c:pt>
                <c:pt idx="94">
                  <c:v>0.111484205249572</c:v>
                </c:pt>
                <c:pt idx="95">
                  <c:v>0.111342446086318</c:v>
                </c:pt>
                <c:pt idx="96">
                  <c:v>0.111208917079973</c:v>
                </c:pt>
                <c:pt idx="97">
                  <c:v>0.111083114035528</c:v>
                </c:pt>
                <c:pt idx="98">
                  <c:v>0.110964563647811</c:v>
                </c:pt>
                <c:pt idx="99">
                  <c:v>0.110852821608995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Model!$P$1</c:f>
              <c:strCache>
                <c:ptCount val="1"/>
                <c:pt idx="0">
                  <c:v>HIV+ve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Model!$F$2:$F$101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Model!$P$2:$P$101</c:f>
              <c:numCache>
                <c:formatCode>0.00%</c:formatCode>
                <c:ptCount val="100"/>
                <c:pt idx="0">
                  <c:v>6.42960661914523E-5</c:v>
                </c:pt>
                <c:pt idx="1">
                  <c:v>0.000121633504025301</c:v>
                </c:pt>
                <c:pt idx="2">
                  <c:v>0.000172651421067158</c:v>
                </c:pt>
                <c:pt idx="3">
                  <c:v>0.000217936744953122</c:v>
                </c:pt>
                <c:pt idx="4">
                  <c:v>0.000258028217355093</c:v>
                </c:pt>
                <c:pt idx="5">
                  <c:v>0.000293420094468686</c:v>
                </c:pt>
                <c:pt idx="6">
                  <c:v>0.000324565574987576</c:v>
                </c:pt>
                <c:pt idx="7">
                  <c:v>0.000351879975064363</c:v>
                </c:pt>
                <c:pt idx="8">
                  <c:v>0.000375743668389301</c:v>
                </c:pt>
                <c:pt idx="9">
                  <c:v>0.000396504808249094</c:v>
                </c:pt>
                <c:pt idx="10">
                  <c:v>0.00041448184724066</c:v>
                </c:pt>
                <c:pt idx="11">
                  <c:v>0.000429965869214696</c:v>
                </c:pt>
                <c:pt idx="12">
                  <c:v>0.000443222746996762</c:v>
                </c:pt>
                <c:pt idx="13">
                  <c:v>0.000454495138478794</c:v>
                </c:pt>
                <c:pt idx="14">
                  <c:v>0.000464004332784973</c:v>
                </c:pt>
                <c:pt idx="15">
                  <c:v>0.00047195195738803</c:v>
                </c:pt>
                <c:pt idx="16">
                  <c:v>0.000478521556283117</c:v>
                </c:pt>
                <c:pt idx="17">
                  <c:v>0.00048388004860968</c:v>
                </c:pt>
                <c:pt idx="18">
                  <c:v>0.000488179076444479</c:v>
                </c:pt>
                <c:pt idx="19">
                  <c:v>0.000491556249870252</c:v>
                </c:pt>
                <c:pt idx="20">
                  <c:v>0.000494136296845924</c:v>
                </c:pt>
                <c:pt idx="21">
                  <c:v>0.000496032124869412</c:v>
                </c:pt>
                <c:pt idx="22">
                  <c:v>0.00049734580092354</c:v>
                </c:pt>
                <c:pt idx="23">
                  <c:v>0.000498169455732297</c:v>
                </c:pt>
                <c:pt idx="24">
                  <c:v>0.000498586117921911</c:v>
                </c:pt>
                <c:pt idx="25">
                  <c:v>0.000498670483281547</c:v>
                </c:pt>
                <c:pt idx="26">
                  <c:v>0.000498489623943252</c:v>
                </c:pt>
                <c:pt idx="27">
                  <c:v>0.000498103641954978</c:v>
                </c:pt>
                <c:pt idx="28">
                  <c:v>0.000497566271397834</c:v>
                </c:pt>
                <c:pt idx="29">
                  <c:v>0.000496925432897924</c:v>
                </c:pt>
                <c:pt idx="30">
                  <c:v>0.000496223744106207</c:v>
                </c:pt>
                <c:pt idx="31">
                  <c:v>0.000495498989458726</c:v>
                </c:pt>
                <c:pt idx="32">
                  <c:v>0.000494784552290479</c:v>
                </c:pt>
                <c:pt idx="33">
                  <c:v>0.00049410981215201</c:v>
                </c:pt>
                <c:pt idx="34">
                  <c:v>0.000493500509969571</c:v>
                </c:pt>
                <c:pt idx="35">
                  <c:v>0.000492979083497967</c:v>
                </c:pt>
                <c:pt idx="36">
                  <c:v>0.000492564975334038</c:v>
                </c:pt>
                <c:pt idx="37">
                  <c:v>0.000492274915594499</c:v>
                </c:pt>
                <c:pt idx="38">
                  <c:v>0.000492123181205173</c:v>
                </c:pt>
                <c:pt idx="39">
                  <c:v>0.000492121833606591</c:v>
                </c:pt>
                <c:pt idx="40">
                  <c:v>0.000492280936546473</c:v>
                </c:pt>
                <c:pt idx="41">
                  <c:v>0.000492608755507206</c:v>
                </c:pt>
                <c:pt idx="42">
                  <c:v>0.0004931119402002</c:v>
                </c:pt>
                <c:pt idx="43">
                  <c:v>0.000493795691453395</c:v>
                </c:pt>
                <c:pt idx="44">
                  <c:v>0.000494663913718895</c:v>
                </c:pt>
                <c:pt idx="45">
                  <c:v>0.000495719354336167</c:v>
                </c:pt>
                <c:pt idx="46">
                  <c:v>0.000496963730600724</c:v>
                </c:pt>
                <c:pt idx="47">
                  <c:v>0.000498397845609906</c:v>
                </c:pt>
                <c:pt idx="48">
                  <c:v>0.00050002169378328</c:v>
                </c:pt>
                <c:pt idx="49">
                  <c:v>0.000501834556888345</c:v>
                </c:pt>
                <c:pt idx="50">
                  <c:v>0.000503835091338202</c:v>
                </c:pt>
                <c:pt idx="51">
                  <c:v>0.000506021407470374</c:v>
                </c:pt>
                <c:pt idx="52">
                  <c:v>0.000508391141461259</c:v>
                </c:pt>
                <c:pt idx="53">
                  <c:v>0.000510941520480969</c:v>
                </c:pt>
                <c:pt idx="54">
                  <c:v>0.000513669421646792</c:v>
                </c:pt>
                <c:pt idx="55">
                  <c:v>0.000516571425290319</c:v>
                </c:pt>
                <c:pt idx="56">
                  <c:v>0.00051964386301359</c:v>
                </c:pt>
                <c:pt idx="57">
                  <c:v>0.000522882860972822</c:v>
                </c:pt>
                <c:pt idx="58">
                  <c:v>0.000526284378793868</c:v>
                </c:pt>
                <c:pt idx="59">
                  <c:v>0.000529844244492101</c:v>
                </c:pt>
                <c:pt idx="60">
                  <c:v>0.000533558185740329</c:v>
                </c:pt>
                <c:pt idx="61">
                  <c:v>0.000537421857800583</c:v>
                </c:pt>
                <c:pt idx="62">
                  <c:v>0.000541430868411749</c:v>
                </c:pt>
                <c:pt idx="63">
                  <c:v>0.000545580799900613</c:v>
                </c:pt>
                <c:pt idx="64">
                  <c:v>0.000549867228763136</c:v>
                </c:pt>
                <c:pt idx="65">
                  <c:v>0.000554285742943131</c:v>
                </c:pt>
                <c:pt idx="66">
                  <c:v>0.000558831957016613</c:v>
                </c:pt>
                <c:pt idx="67">
                  <c:v>0.000563501525473684</c:v>
                </c:pt>
                <c:pt idx="68">
                  <c:v>0.000568290154273846</c:v>
                </c:pt>
                <c:pt idx="69">
                  <c:v>0.000573193610836677</c:v>
                </c:pt>
                <c:pt idx="70">
                  <c:v>0.000578207732615894</c:v>
                </c:pt>
                <c:pt idx="71">
                  <c:v>0.00058332843439292</c:v>
                </c:pt>
                <c:pt idx="72">
                  <c:v>0.000588551714414609</c:v>
                </c:pt>
                <c:pt idx="73">
                  <c:v>0.000593873659489385</c:v>
                </c:pt>
                <c:pt idx="74">
                  <c:v>0.000599290449146411</c:v>
                </c:pt>
                <c:pt idx="75">
                  <c:v>0.000604798358953081</c:v>
                </c:pt>
                <c:pt idx="76">
                  <c:v>0.000610393763078811</c:v>
                </c:pt>
                <c:pt idx="77">
                  <c:v>0.00061607313618458</c:v>
                </c:pt>
                <c:pt idx="78">
                  <c:v>0.000621833054711494</c:v>
                </c:pt>
                <c:pt idx="79">
                  <c:v>0.000627670197634571</c:v>
                </c:pt>
                <c:pt idx="80">
                  <c:v>0.000633581346742726</c:v>
                </c:pt>
                <c:pt idx="81">
                  <c:v>0.00063956338649996</c:v>
                </c:pt>
                <c:pt idx="82">
                  <c:v>0.000645613303537973</c:v>
                </c:pt>
                <c:pt idx="83">
                  <c:v>0.000651728185826109</c:v>
                </c:pt>
                <c:pt idx="84">
                  <c:v>0.000657905221559641</c:v>
                </c:pt>
                <c:pt idx="85">
                  <c:v>0.000664141697804372</c:v>
                </c:pt>
                <c:pt idx="86">
                  <c:v>0.000670434998931397</c:v>
                </c:pt>
                <c:pt idx="87">
                  <c:v>0.000676782604872935</c:v>
                </c:pt>
                <c:pt idx="88">
                  <c:v>0.0006831820892266</c:v>
                </c:pt>
                <c:pt idx="89">
                  <c:v>0.000689631117233943</c:v>
                </c:pt>
                <c:pt idx="90">
                  <c:v>0.000696127443655006</c:v>
                </c:pt>
                <c:pt idx="91">
                  <c:v>0.000702668910559753</c:v>
                </c:pt>
                <c:pt idx="92">
                  <c:v>0.000709253445054261</c:v>
                </c:pt>
                <c:pt idx="93">
                  <c:v>0.00071587905695792</c:v>
                </c:pt>
                <c:pt idx="94">
                  <c:v>0.000722543836446436</c:v>
                </c:pt>
                <c:pt idx="95">
                  <c:v>0.000729245951673174</c:v>
                </c:pt>
                <c:pt idx="96">
                  <c:v>0.000735983646380589</c:v>
                </c:pt>
                <c:pt idx="97">
                  <c:v>0.000742755237511847</c:v>
                </c:pt>
                <c:pt idx="98">
                  <c:v>0.000749559112831303</c:v>
                </c:pt>
                <c:pt idx="99">
                  <c:v>0.00075639372856232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12200"/>
        <c:axId val="415920840"/>
      </c:lineChart>
      <c:catAx>
        <c:axId val="41591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Sex Acts</a:t>
                </a:r>
              </a:p>
            </c:rich>
          </c:tx>
          <c:layout>
            <c:manualLayout>
              <c:xMode val="edge"/>
              <c:yMode val="edge"/>
              <c:x val="0.452690166975881"/>
              <c:y val="0.891803278688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920840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15920840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   </a:t>
                </a:r>
              </a:p>
            </c:rich>
          </c:tx>
          <c:layout>
            <c:manualLayout>
              <c:xMode val="edge"/>
              <c:yMode val="edge"/>
              <c:x val="0.012987012987013"/>
              <c:y val="0.3442622950819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5912200"/>
        <c:crosses val="autoZero"/>
        <c:crossBetween val="between"/>
        <c:majorUnit val="0.25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CC" mc:Ignorable="a14" a14:legacySpreadsheetColorIndex="26"/>
            </a:gs>
            <a:gs pos="50000">
              <a:srgbClr xmlns:mc="http://schemas.openxmlformats.org/markup-compatibility/2006" xmlns:a14="http://schemas.microsoft.com/office/drawing/2010/main" val="C2C29B" mc:Ignorable="a14" a14:legacySpreadsheetColorIndex="26">
                <a:gamma/>
                <a:shade val="7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FFFFCC" mc:Ignorable="a14" a14:legacySpreadsheetColorIndex="26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168831168831"/>
          <c:y val="0.216393442622951"/>
          <c:w val="0.128014842300557"/>
          <c:h val="0.09508196721311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CCFF" mc:Ignorable="a14" a14:legacySpreadsheetColorIndex="31"/>
        </a:gs>
        <a:gs pos="50000">
          <a:srgbClr xmlns:mc="http://schemas.openxmlformats.org/markup-compatibility/2006" xmlns:a14="http://schemas.microsoft.com/office/drawing/2010/main" val="5E5E76" mc:Ignorable="a14" a14:legacySpreadsheetColorIndex="31">
            <a:gamma/>
            <a:shade val="46275"/>
            <a:invGamma/>
          </a:srgbClr>
        </a:gs>
        <a:gs pos="100000">
          <a:srgbClr xmlns:mc="http://schemas.openxmlformats.org/markup-compatibility/2006" xmlns:a14="http://schemas.microsoft.com/office/drawing/2010/main" val="CCCCFF" mc:Ignorable="a14" a14:legacySpreadsheetColorIndex="31"/>
        </a:gs>
      </a:gsLst>
      <a:lin ang="189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Outcome probabilities after N sex acts</a:t>
            </a:r>
          </a:p>
        </c:rich>
      </c:tx>
      <c:layout>
        <c:manualLayout>
          <c:xMode val="edge"/>
          <c:yMode val="edge"/>
          <c:x val="0.248201297229933"/>
          <c:y val="0.1143790849673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4892027099597"/>
          <c:y val="0.320261693427745"/>
          <c:w val="0.571942194902293"/>
          <c:h val="0.41176503440710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8"/>
          <c:dPt>
            <c:idx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Interface!$B$29:$F$29</c:f>
              <c:strCache>
                <c:ptCount val="5"/>
                <c:pt idx="0">
                  <c:v>HIV-ve &amp; baby</c:v>
                </c:pt>
                <c:pt idx="1">
                  <c:v>HIV+ve &amp; -ve baby</c:v>
                </c:pt>
                <c:pt idx="2">
                  <c:v>HIV+ve &amp; +ve baby</c:v>
                </c:pt>
                <c:pt idx="3">
                  <c:v>HIV-ve</c:v>
                </c:pt>
                <c:pt idx="4">
                  <c:v>HIV+ve</c:v>
                </c:pt>
              </c:strCache>
            </c:strRef>
          </c:cat>
          <c:val>
            <c:numRef>
              <c:f>Interface!$B$30:$F$30</c:f>
              <c:numCache>
                <c:formatCode>General</c:formatCode>
                <c:ptCount val="5"/>
                <c:pt idx="0">
                  <c:v>0.882370016431084</c:v>
                </c:pt>
                <c:pt idx="1">
                  <c:v>0.00485273919447506</c:v>
                </c:pt>
                <c:pt idx="2">
                  <c:v>0.00116802903688357</c:v>
                </c:pt>
                <c:pt idx="3">
                  <c:v>0.110852821608995</c:v>
                </c:pt>
                <c:pt idx="4">
                  <c:v>0.00075639372856232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1942021186201"/>
          <c:y val="0.297385878235809"/>
          <c:w val="0.172661728884609"/>
          <c:h val="0.4411767279090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CC" mc:Ignorable="a14" a14:legacySpreadsheetColorIndex="26"/>
        </a:gs>
        <a:gs pos="100000">
          <a:srgbClr xmlns:mc="http://schemas.openxmlformats.org/markup-compatibility/2006" xmlns:a14="http://schemas.microsoft.com/office/drawing/2010/main" val="76765E" mc:Ignorable="a14" a14:legacySpreadsheetColorIndex="26">
            <a:gamma/>
            <a:shade val="46275"/>
            <a:invGamma/>
          </a:srgbClr>
        </a:gs>
      </a:gsLst>
      <a:lin ang="54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P(CONCEPTION)_ANNUAL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Lit>
              <c:formatCode>General</c:formatCode>
              <c:ptCount val="5"/>
              <c:pt idx="0">
                <c:v>21.5</c:v>
              </c:pt>
              <c:pt idx="1">
                <c:v>28.0</c:v>
              </c:pt>
              <c:pt idx="2">
                <c:v>33.0</c:v>
              </c:pt>
              <c:pt idx="3">
                <c:v>38.0</c:v>
              </c:pt>
              <c:pt idx="4">
                <c:v>43.0</c:v>
              </c:pt>
            </c:numLit>
          </c:cat>
          <c:val>
            <c:numLit>
              <c:formatCode>General</c:formatCode>
              <c:ptCount val="5"/>
              <c:pt idx="0">
                <c:v>0.88</c:v>
              </c:pt>
              <c:pt idx="1">
                <c:v>0.8</c:v>
              </c:pt>
              <c:pt idx="2">
                <c:v>0.65</c:v>
              </c:pt>
              <c:pt idx="3">
                <c:v>0.55</c:v>
              </c:pt>
              <c:pt idx="4">
                <c:v>0.38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39192"/>
        <c:axId val="416141880"/>
      </c:lineChart>
      <c:catAx>
        <c:axId val="41613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141880"/>
        <c:crosses val="autoZero"/>
        <c:auto val="1"/>
        <c:lblAlgn val="ctr"/>
        <c:lblOffset val="100"/>
        <c:noMultiLvlLbl val="0"/>
      </c:catAx>
      <c:valAx>
        <c:axId val="41614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13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CheckBox" fmlaLink="Model!$C$11" lockText="1" noThreeD="1"/>
</file>

<file path=xl/ctrlProps/ctrlProp10.xml><?xml version="1.0" encoding="utf-8"?>
<formControlPr xmlns="http://schemas.microsoft.com/office/spreadsheetml/2009/9/main" objectType="Scroll" dx="16" fmlaLink="Model!$D$12" horiz="1" max="27" min="1" page="10" val="8"/>
</file>

<file path=xl/ctrlProps/ctrlProp11.xml><?xml version="1.0" encoding="utf-8"?>
<formControlPr xmlns="http://schemas.microsoft.com/office/spreadsheetml/2009/9/main" objectType="Scroll" dx="16" fmlaLink="Model!$D$13" horiz="1" max="2300" min="200" page="10" val="200"/>
</file>

<file path=xl/ctrlProps/ctrlProp12.xml><?xml version="1.0" encoding="utf-8"?>
<formControlPr xmlns="http://schemas.microsoft.com/office/spreadsheetml/2009/9/main" objectType="Scroll" dx="16" fmlaLink="Model!$D$14" horiz="1" max="72" min="16" page="10" val="34"/>
</file>

<file path=xl/ctrlProps/ctrlProp13.xml><?xml version="1.0" encoding="utf-8"?>
<formControlPr xmlns="http://schemas.microsoft.com/office/spreadsheetml/2009/9/main" objectType="Scroll" dx="16" fmlaLink="Model!$D$15" horiz="1" max="49" min="18" page="10" val="18"/>
</file>

<file path=xl/ctrlProps/ctrlProp14.xml><?xml version="1.0" encoding="utf-8"?>
<formControlPr xmlns="http://schemas.microsoft.com/office/spreadsheetml/2009/9/main" objectType="Scroll" dx="16" fmlaLink="Model!$D$18" horiz="1" max="325" min="184" page="10" val="194"/>
</file>

<file path=xl/ctrlProps/ctrlProp15.xml><?xml version="1.0" encoding="utf-8"?>
<formControlPr xmlns="http://schemas.microsoft.com/office/spreadsheetml/2009/9/main" objectType="CheckBox" fmlaLink="Model!$C$22" lockText="1" noThreeD="1"/>
</file>

<file path=xl/ctrlProps/ctrlProp16.xml><?xml version="1.0" encoding="utf-8"?>
<formControlPr xmlns="http://schemas.microsoft.com/office/spreadsheetml/2009/9/main" objectType="CheckBox" fmlaLink="Model!$C$23" lockText="1" noThreeD="1"/>
</file>

<file path=xl/ctrlProps/ctrlProp17.xml><?xml version="1.0" encoding="utf-8"?>
<formControlPr xmlns="http://schemas.microsoft.com/office/spreadsheetml/2009/9/main" objectType="Scroll" dx="16" fmlaLink="Model!$C$24" horiz="1" inc="5" max="100" min="50" page="10" val="82"/>
</file>

<file path=xl/ctrlProps/ctrlProp18.xml><?xml version="1.0" encoding="utf-8"?>
<formControlPr xmlns="http://schemas.microsoft.com/office/spreadsheetml/2009/9/main" objectType="Scroll" dx="16" fmlaLink="Model!$C$25" horiz="1" max="20" page="10" val="6"/>
</file>

<file path=xl/ctrlProps/ctrlProp2.xml><?xml version="1.0" encoding="utf-8"?>
<formControlPr xmlns="http://schemas.microsoft.com/office/spreadsheetml/2009/9/main" objectType="CheckBox" checked="Checked" fmlaLink="Model!$C$12" lockText="1" noThreeD="1"/>
</file>

<file path=xl/ctrlProps/ctrlProp3.xml><?xml version="1.0" encoding="utf-8"?>
<formControlPr xmlns="http://schemas.microsoft.com/office/spreadsheetml/2009/9/main" objectType="CheckBox" fmlaLink="Model!$C$13" lockText="1" noThreeD="1"/>
</file>

<file path=xl/ctrlProps/ctrlProp4.xml><?xml version="1.0" encoding="utf-8"?>
<formControlPr xmlns="http://schemas.microsoft.com/office/spreadsheetml/2009/9/main" objectType="CheckBox" checked="Checked" fmlaLink="Model!$C$14" lockText="1" noThreeD="1"/>
</file>

<file path=xl/ctrlProps/ctrlProp5.xml><?xml version="1.0" encoding="utf-8"?>
<formControlPr xmlns="http://schemas.microsoft.com/office/spreadsheetml/2009/9/main" objectType="CheckBox" fmlaLink="Model!$C$19" lockText="1" noThreeD="1"/>
</file>

<file path=xl/ctrlProps/ctrlProp6.xml><?xml version="1.0" encoding="utf-8"?>
<formControlPr xmlns="http://schemas.microsoft.com/office/spreadsheetml/2009/9/main" objectType="Scroll" dx="16" fmlaLink="Model!$D$10" horiz="1" max="31" min="17" page="10" val="25"/>
</file>

<file path=xl/ctrlProps/ctrlProp7.xml><?xml version="1.0" encoding="utf-8"?>
<formControlPr xmlns="http://schemas.microsoft.com/office/spreadsheetml/2009/9/main" objectType="Scroll" dx="16" fmlaLink="Model!$D$11" horiz="1" max="235" min="129" page="10" val="162"/>
</file>

<file path=xl/ctrlProps/ctrlProp8.xml><?xml version="1.0" encoding="utf-8"?>
<formControlPr xmlns="http://schemas.microsoft.com/office/spreadsheetml/2009/9/main" objectType="Scroll" dx="16" fmlaLink="Model!$D$19" horiz="1" max="60" min="18" page="10" val="39"/>
</file>

<file path=xl/ctrlProps/ctrlProp9.xml><?xml version="1.0" encoding="utf-8"?>
<formControlPr xmlns="http://schemas.microsoft.com/office/spreadsheetml/2009/9/main" objectType="Scroll" dx="16" fmlaLink="Model!$D$24" horiz="1" max="100" min="1" page="10" val="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127000</xdr:rowOff>
    </xdr:from>
    <xdr:to>
      <xdr:col>28</xdr:col>
      <xdr:colOff>330200</xdr:colOff>
      <xdr:row>22</xdr:row>
      <xdr:rowOff>190500</xdr:rowOff>
    </xdr:to>
    <xdr:graphicFrame macro="">
      <xdr:nvGraphicFramePr>
        <xdr:cNvPr id="113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25</xdr:row>
      <xdr:rowOff>101600</xdr:rowOff>
    </xdr:from>
    <xdr:to>
      <xdr:col>29</xdr:col>
      <xdr:colOff>12700</xdr:colOff>
      <xdr:row>50</xdr:row>
      <xdr:rowOff>76200</xdr:rowOff>
    </xdr:to>
    <xdr:graphicFrame macro="">
      <xdr:nvGraphicFramePr>
        <xdr:cNvPr id="1139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25</xdr:row>
      <xdr:rowOff>76200</xdr:rowOff>
    </xdr:from>
    <xdr:to>
      <xdr:col>10</xdr:col>
      <xdr:colOff>203200</xdr:colOff>
      <xdr:row>50</xdr:row>
      <xdr:rowOff>63500</xdr:rowOff>
    </xdr:to>
    <xdr:graphicFrame macro="">
      <xdr:nvGraphicFramePr>
        <xdr:cNvPr id="1140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5</xdr:row>
          <xdr:rowOff>63500</xdr:rowOff>
        </xdr:from>
        <xdr:to>
          <xdr:col>0</xdr:col>
          <xdr:colOff>1676400</xdr:colOff>
          <xdr:row>6</xdr:row>
          <xdr:rowOff>12700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6</xdr:row>
          <xdr:rowOff>38100</xdr:rowOff>
        </xdr:from>
        <xdr:to>
          <xdr:col>0</xdr:col>
          <xdr:colOff>1676400</xdr:colOff>
          <xdr:row>6</xdr:row>
          <xdr:rowOff>254000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7</xdr:row>
          <xdr:rowOff>50800</xdr:rowOff>
        </xdr:from>
        <xdr:to>
          <xdr:col>0</xdr:col>
          <xdr:colOff>1676400</xdr:colOff>
          <xdr:row>8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8</xdr:row>
          <xdr:rowOff>50800</xdr:rowOff>
        </xdr:from>
        <xdr:to>
          <xdr:col>0</xdr:col>
          <xdr:colOff>1676400</xdr:colOff>
          <xdr:row>9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1282700</xdr:colOff>
          <xdr:row>15</xdr:row>
          <xdr:rowOff>139700</xdr:rowOff>
        </xdr:from>
        <xdr:to>
          <xdr:col>0</xdr:col>
          <xdr:colOff>1676400</xdr:colOff>
          <xdr:row>16</xdr:row>
          <xdr:rowOff>152400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2</xdr:row>
          <xdr:rowOff>38100</xdr:rowOff>
        </xdr:from>
        <xdr:to>
          <xdr:col>8</xdr:col>
          <xdr:colOff>342900</xdr:colOff>
          <xdr:row>3</xdr:row>
          <xdr:rowOff>63500</xdr:rowOff>
        </xdr:to>
        <xdr:sp macro="" textlink="">
          <xdr:nvSpPr>
            <xdr:cNvPr id="1121" name="Scroll Bar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5</xdr:row>
          <xdr:rowOff>50800</xdr:rowOff>
        </xdr:from>
        <xdr:to>
          <xdr:col>8</xdr:col>
          <xdr:colOff>342900</xdr:colOff>
          <xdr:row>5</xdr:row>
          <xdr:rowOff>241300</xdr:rowOff>
        </xdr:to>
        <xdr:sp macro="" textlink="">
          <xdr:nvSpPr>
            <xdr:cNvPr id="1125" name="Scroll Bar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63500</xdr:rowOff>
        </xdr:from>
        <xdr:to>
          <xdr:col>8</xdr:col>
          <xdr:colOff>381000</xdr:colOff>
          <xdr:row>17</xdr:row>
          <xdr:rowOff>50800</xdr:rowOff>
        </xdr:to>
        <xdr:sp macro="" textlink="">
          <xdr:nvSpPr>
            <xdr:cNvPr id="1135" name="Scroll Bar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</xdr:colOff>
          <xdr:row>23</xdr:row>
          <xdr:rowOff>12700</xdr:rowOff>
        </xdr:from>
        <xdr:to>
          <xdr:col>8</xdr:col>
          <xdr:colOff>355600</xdr:colOff>
          <xdr:row>24</xdr:row>
          <xdr:rowOff>12700</xdr:rowOff>
        </xdr:to>
        <xdr:sp macro="" textlink="">
          <xdr:nvSpPr>
            <xdr:cNvPr id="1136" name="Scroll Bar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6</xdr:row>
          <xdr:rowOff>50800</xdr:rowOff>
        </xdr:from>
        <xdr:to>
          <xdr:col>8</xdr:col>
          <xdr:colOff>342900</xdr:colOff>
          <xdr:row>6</xdr:row>
          <xdr:rowOff>241300</xdr:rowOff>
        </xdr:to>
        <xdr:sp macro="" textlink="">
          <xdr:nvSpPr>
            <xdr:cNvPr id="1126" name="Scroll Bar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7</xdr:row>
          <xdr:rowOff>76200</xdr:rowOff>
        </xdr:from>
        <xdr:to>
          <xdr:col>8</xdr:col>
          <xdr:colOff>342900</xdr:colOff>
          <xdr:row>8</xdr:row>
          <xdr:rowOff>0</xdr:rowOff>
        </xdr:to>
        <xdr:sp macro="" textlink="">
          <xdr:nvSpPr>
            <xdr:cNvPr id="1127" name="Scroll Bar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88900</xdr:rowOff>
        </xdr:from>
        <xdr:to>
          <xdr:col>8</xdr:col>
          <xdr:colOff>342900</xdr:colOff>
          <xdr:row>9</xdr:row>
          <xdr:rowOff>12700</xdr:rowOff>
        </xdr:to>
        <xdr:sp macro="" textlink="">
          <xdr:nvSpPr>
            <xdr:cNvPr id="1134" name="Scroll Bar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11</xdr:row>
          <xdr:rowOff>12700</xdr:rowOff>
        </xdr:from>
        <xdr:to>
          <xdr:col>8</xdr:col>
          <xdr:colOff>342900</xdr:colOff>
          <xdr:row>12</xdr:row>
          <xdr:rowOff>38100</xdr:rowOff>
        </xdr:to>
        <xdr:sp macro="" textlink="">
          <xdr:nvSpPr>
            <xdr:cNvPr id="1132" name="Scroll Bar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0</xdr:rowOff>
        </xdr:from>
        <xdr:to>
          <xdr:col>8</xdr:col>
          <xdr:colOff>381000</xdr:colOff>
          <xdr:row>15</xdr:row>
          <xdr:rowOff>190500</xdr:rowOff>
        </xdr:to>
        <xdr:sp macro="" textlink="">
          <xdr:nvSpPr>
            <xdr:cNvPr id="1133" name="Scroll Bar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19</xdr:row>
          <xdr:rowOff>12700</xdr:rowOff>
        </xdr:from>
        <xdr:to>
          <xdr:col>1</xdr:col>
          <xdr:colOff>342900</xdr:colOff>
          <xdr:row>20</xdr:row>
          <xdr:rowOff>38100</xdr:rowOff>
        </xdr:to>
        <xdr:sp macro="" textlink="">
          <xdr:nvSpPr>
            <xdr:cNvPr id="2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2870200</xdr:colOff>
          <xdr:row>20</xdr:row>
          <xdr:rowOff>50800</xdr:rowOff>
        </xdr:from>
        <xdr:to>
          <xdr:col>1</xdr:col>
          <xdr:colOff>342900</xdr:colOff>
          <xdr:row>21</xdr:row>
          <xdr:rowOff>88900</xdr:rowOff>
        </xdr:to>
        <xdr:sp macro="" textlink="">
          <xdr:nvSpPr>
            <xdr:cNvPr id="3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19</xdr:row>
          <xdr:rowOff>25400</xdr:rowOff>
        </xdr:from>
        <xdr:to>
          <xdr:col>8</xdr:col>
          <xdr:colOff>381000</xdr:colOff>
          <xdr:row>20</xdr:row>
          <xdr:rowOff>12700</xdr:rowOff>
        </xdr:to>
        <xdr:sp macro="" textlink="">
          <xdr:nvSpPr>
            <xdr:cNvPr id="1141" name="Scroll Bar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20</xdr:row>
          <xdr:rowOff>76200</xdr:rowOff>
        </xdr:from>
        <xdr:to>
          <xdr:col>8</xdr:col>
          <xdr:colOff>381000</xdr:colOff>
          <xdr:row>21</xdr:row>
          <xdr:rowOff>50800</xdr:rowOff>
        </xdr:to>
        <xdr:sp macro="" textlink="">
          <xdr:nvSpPr>
            <xdr:cNvPr id="1142" name="Scroll Bar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787400</xdr:colOff>
      <xdr:row>33</xdr:row>
      <xdr:rowOff>101600</xdr:rowOff>
    </xdr:from>
    <xdr:to>
      <xdr:col>25</xdr:col>
      <xdr:colOff>0</xdr:colOff>
      <xdr:row>56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20" Type="http://schemas.openxmlformats.org/officeDocument/2006/relationships/ctrlProp" Target="../ctrlProps/ctrlProp18.xml"/><Relationship Id="rId21" Type="http://schemas.openxmlformats.org/officeDocument/2006/relationships/comments" Target="../comments1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indexed="27"/>
  </sheetPr>
  <dimension ref="A1:Q39"/>
  <sheetViews>
    <sheetView tabSelected="1" workbookViewId="0">
      <selection activeCell="I11" sqref="I11"/>
    </sheetView>
  </sheetViews>
  <sheetFormatPr baseColWidth="10" defaultColWidth="4.6640625" defaultRowHeight="12" x14ac:dyDescent="0"/>
  <cols>
    <col min="1" max="1" width="38.33203125" style="1" customWidth="1"/>
    <col min="2" max="2" width="9.83203125" style="1" customWidth="1"/>
    <col min="3" max="3" width="5.1640625" style="1" bestFit="1" customWidth="1"/>
    <col min="4" max="7" width="3.83203125" style="1" customWidth="1"/>
    <col min="8" max="8" width="9.5" style="1" hidden="1" customWidth="1"/>
    <col min="9" max="9" width="11.5" style="1" customWidth="1"/>
    <col min="10" max="10" width="20.83203125" style="1" customWidth="1"/>
    <col min="11" max="11" width="9.5" style="1" bestFit="1" customWidth="1"/>
    <col min="12" max="16" width="5" style="1" bestFit="1" customWidth="1"/>
    <col min="17" max="17" width="6.1640625" style="1" bestFit="1" customWidth="1"/>
    <col min="18" max="26" width="5" style="1" bestFit="1" customWidth="1"/>
    <col min="27" max="16384" width="4.6640625" style="1"/>
  </cols>
  <sheetData>
    <row r="1" spans="1:10" ht="23.25" customHeight="1">
      <c r="J1" s="34" t="s">
        <v>85</v>
      </c>
    </row>
    <row r="2" spans="1:10" ht="13">
      <c r="B2" s="2" t="s">
        <v>9</v>
      </c>
      <c r="J2" s="32"/>
    </row>
    <row r="3" spans="1:10" ht="13">
      <c r="A3" s="2" t="s">
        <v>19</v>
      </c>
      <c r="B3" s="31">
        <f>Model!D10/10000</f>
        <v>2.5000000000000001E-3</v>
      </c>
      <c r="H3" s="1" t="s">
        <v>1</v>
      </c>
      <c r="J3" s="33" t="s">
        <v>39</v>
      </c>
    </row>
    <row r="4" spans="1:10">
      <c r="J4" s="33"/>
    </row>
    <row r="5" spans="1:10" ht="13">
      <c r="B5" s="3" t="s">
        <v>10</v>
      </c>
      <c r="J5" s="33"/>
    </row>
    <row r="6" spans="1:10" ht="21" customHeight="1">
      <c r="A6" s="3" t="s">
        <v>20</v>
      </c>
      <c r="B6" s="3">
        <f>IF(Model!C11,Model!D11/100,1)</f>
        <v>1</v>
      </c>
      <c r="J6" s="33" t="s">
        <v>84</v>
      </c>
    </row>
    <row r="7" spans="1:10" ht="21" customHeight="1">
      <c r="A7" s="3" t="s">
        <v>17</v>
      </c>
      <c r="B7" s="3">
        <f>IF(Model!C12,Model!D12/100,1)</f>
        <v>0.08</v>
      </c>
      <c r="H7" s="1" t="s">
        <v>4</v>
      </c>
      <c r="J7" s="33">
        <v>0.04</v>
      </c>
    </row>
    <row r="8" spans="1:10" ht="21" customHeight="1">
      <c r="A8" s="3" t="s">
        <v>16</v>
      </c>
      <c r="B8" s="3">
        <f>IF(Model!C13,Model!D13/100,1)</f>
        <v>1</v>
      </c>
      <c r="H8" s="1" t="s">
        <v>2</v>
      </c>
      <c r="J8" s="33">
        <v>4.0999999999999996</v>
      </c>
    </row>
    <row r="9" spans="1:10" ht="21" customHeight="1">
      <c r="A9" s="3" t="s">
        <v>18</v>
      </c>
      <c r="B9" s="3">
        <f>IF(Model!C14,Model!D14/100,1)</f>
        <v>0.34</v>
      </c>
      <c r="H9" s="1" t="s">
        <v>3</v>
      </c>
      <c r="J9" s="33" t="s">
        <v>88</v>
      </c>
    </row>
    <row r="10" spans="1:10">
      <c r="J10" s="33"/>
    </row>
    <row r="11" spans="1:10" ht="13">
      <c r="B11" s="4" t="s">
        <v>11</v>
      </c>
      <c r="J11" s="33"/>
    </row>
    <row r="12" spans="1:10" ht="13">
      <c r="A12" s="4" t="s">
        <v>37</v>
      </c>
      <c r="B12" s="30">
        <f>Model!D15</f>
        <v>18</v>
      </c>
      <c r="H12" s="1" t="s">
        <v>5</v>
      </c>
      <c r="J12" s="33"/>
    </row>
    <row r="13" spans="1:10" ht="13">
      <c r="A13" s="4"/>
      <c r="B13" s="4"/>
      <c r="H13" s="1" t="s">
        <v>0</v>
      </c>
      <c r="J13" s="33"/>
    </row>
    <row r="14" spans="1:10">
      <c r="J14" s="33"/>
    </row>
    <row r="15" spans="1:10" ht="13">
      <c r="B15" s="5" t="s">
        <v>12</v>
      </c>
      <c r="J15" s="33"/>
    </row>
    <row r="16" spans="1:10" ht="16" customHeight="1">
      <c r="A16" s="5" t="s">
        <v>13</v>
      </c>
      <c r="B16" s="13">
        <f>Model!D18/1000</f>
        <v>0.19400000000000001</v>
      </c>
      <c r="H16" s="1" t="s">
        <v>6</v>
      </c>
      <c r="J16" s="33">
        <v>0.255</v>
      </c>
    </row>
    <row r="17" spans="1:10" ht="16" customHeight="1">
      <c r="A17" s="5" t="s">
        <v>38</v>
      </c>
      <c r="B17" s="5">
        <f>IF(Model!C19,Model!D19/100,1)</f>
        <v>1</v>
      </c>
      <c r="H17" s="1" t="s">
        <v>7</v>
      </c>
      <c r="J17" s="33">
        <v>0.32</v>
      </c>
    </row>
    <row r="18" spans="1:10" ht="13">
      <c r="A18" s="5"/>
      <c r="B18" s="5"/>
      <c r="H18" s="1" t="s">
        <v>8</v>
      </c>
      <c r="J18" s="33"/>
    </row>
    <row r="19" spans="1:10" ht="13">
      <c r="A19" s="5"/>
      <c r="B19" s="5"/>
      <c r="J19" s="33"/>
    </row>
    <row r="20" spans="1:10" ht="16" customHeight="1">
      <c r="A20" s="87" t="s">
        <v>80</v>
      </c>
      <c r="B20" s="88">
        <f>Model!C24/100</f>
        <v>0.82</v>
      </c>
      <c r="I20" s="38"/>
      <c r="J20" s="33"/>
    </row>
    <row r="21" spans="1:10" ht="17" customHeight="1">
      <c r="A21" s="87" t="s">
        <v>81</v>
      </c>
      <c r="B21" s="88">
        <f>Model!C25/100</f>
        <v>0.06</v>
      </c>
      <c r="J21" s="33"/>
    </row>
    <row r="22" spans="1:10" ht="21" customHeight="1">
      <c r="J22" s="33"/>
    </row>
    <row r="23" spans="1:10" ht="16" customHeight="1">
      <c r="B23" s="6" t="s">
        <v>14</v>
      </c>
      <c r="J23" s="33"/>
    </row>
    <row r="24" spans="1:10" ht="15" customHeight="1">
      <c r="A24" s="6" t="s">
        <v>15</v>
      </c>
      <c r="B24" s="7">
        <f>Model!D28</f>
        <v>100</v>
      </c>
      <c r="J24" s="33"/>
    </row>
    <row r="25" spans="1:10" ht="13">
      <c r="A25" s="6"/>
      <c r="B25" s="7"/>
    </row>
    <row r="29" spans="1:10" ht="16" thickBot="1">
      <c r="B29" s="16" t="str">
        <f>Model!G1</f>
        <v>HIV-ve &amp; baby</v>
      </c>
      <c r="C29" s="16" t="str">
        <f>Model!H1</f>
        <v>HIV+ve &amp; -ve baby</v>
      </c>
      <c r="D29" s="16" t="str">
        <f>Model!I1</f>
        <v>HIV+ve &amp; +ve baby</v>
      </c>
      <c r="E29" s="17" t="str">
        <f>Model!O1</f>
        <v>HIV-ve</v>
      </c>
      <c r="F29" s="17" t="str">
        <f>Model!P1</f>
        <v>HIV+ve</v>
      </c>
    </row>
    <row r="30" spans="1:10">
      <c r="A30" s="1">
        <f>N</f>
        <v>100</v>
      </c>
      <c r="B30" s="14">
        <f>LOOKUP(N,Model!$F:$F,Model!G:G)</f>
        <v>0.88237001643108381</v>
      </c>
      <c r="C30" s="14">
        <f>LOOKUP(N,Model!$F:$F,Model!H:H)</f>
        <v>4.8527391944750576E-3</v>
      </c>
      <c r="D30" s="14">
        <f>LOOKUP(N,Model!$F:$F,Model!I:I)</f>
        <v>1.1680290368835747E-3</v>
      </c>
      <c r="E30" s="14">
        <f>LOOKUP(N,Model!$F:$F,Model!O:O)</f>
        <v>0.11085282160899516</v>
      </c>
      <c r="F30" s="14">
        <f>LOOKUP(N,Model!$F:$F,Model!P:P)</f>
        <v>7.5639372856232067E-4</v>
      </c>
    </row>
    <row r="31" spans="1:10">
      <c r="B31" s="8"/>
    </row>
    <row r="32" spans="1:10">
      <c r="B32" s="9"/>
    </row>
    <row r="33" spans="2:17">
      <c r="B33" s="10"/>
    </row>
    <row r="37" spans="2:17" ht="13">
      <c r="K37" s="11"/>
      <c r="Q37" s="12"/>
    </row>
    <row r="38" spans="2:17" ht="13">
      <c r="K38" s="11"/>
      <c r="Q38" s="12"/>
    </row>
    <row r="39" spans="2:17" ht="13">
      <c r="K39" s="11"/>
      <c r="Q39" s="12"/>
    </row>
  </sheetData>
  <phoneticPr fontId="0" type="noConversion"/>
  <pageMargins left="0.75" right="0.75" top="1" bottom="1" header="0.5" footer="0.5"/>
  <pageSetup paperSize="138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8" r:id="rId3" name="Check Box 84">
              <controlPr defaultSize="0" autoFill="0" autoLine="0" autoPict="0">
                <anchor moveWithCells="1">
                  <from>
                    <xdr:col>0</xdr:col>
                    <xdr:colOff>1282700</xdr:colOff>
                    <xdr:row>5</xdr:row>
                    <xdr:rowOff>63500</xdr:rowOff>
                  </from>
                  <to>
                    <xdr:col>0</xdr:col>
                    <xdr:colOff>1676400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09" r:id="rId4" name="Check Box 85">
              <controlPr defaultSize="0" autoFill="0" autoLine="0" autoPict="0">
                <anchor moveWithCells="1">
                  <from>
                    <xdr:col>0</xdr:col>
                    <xdr:colOff>1282700</xdr:colOff>
                    <xdr:row>6</xdr:row>
                    <xdr:rowOff>38100</xdr:rowOff>
                  </from>
                  <to>
                    <xdr:col>0</xdr:col>
                    <xdr:colOff>1676400</xdr:colOff>
                    <xdr:row>6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0" r:id="rId5" name="Check Box 86">
              <controlPr defaultSize="0" autoFill="0" autoLine="0" autoPict="0">
                <anchor moveWithCells="1">
                  <from>
                    <xdr:col>0</xdr:col>
                    <xdr:colOff>1282700</xdr:colOff>
                    <xdr:row>7</xdr:row>
                    <xdr:rowOff>50800</xdr:rowOff>
                  </from>
                  <to>
                    <xdr:col>0</xdr:col>
                    <xdr:colOff>1676400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1" r:id="rId6" name="Check Box 87">
              <controlPr defaultSize="0" autoFill="0" autoLine="0" autoPict="0">
                <anchor moveWithCells="1">
                  <from>
                    <xdr:col>0</xdr:col>
                    <xdr:colOff>1282700</xdr:colOff>
                    <xdr:row>8</xdr:row>
                    <xdr:rowOff>50800</xdr:rowOff>
                  </from>
                  <to>
                    <xdr:col>0</xdr:col>
                    <xdr:colOff>1676400</xdr:colOff>
                    <xdr:row>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12" r:id="rId7" name="Check Box 88">
              <controlPr defaultSize="0" autoFill="0" autoLine="0" autoPict="0">
                <anchor moveWithCells="1">
                  <from>
                    <xdr:col>0</xdr:col>
                    <xdr:colOff>1282700</xdr:colOff>
                    <xdr:row>15</xdr:row>
                    <xdr:rowOff>139700</xdr:rowOff>
                  </from>
                  <to>
                    <xdr:col>0</xdr:col>
                    <xdr:colOff>1676400</xdr:colOff>
                    <xdr:row>16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1" r:id="rId8" name="Scroll Bar 97">
              <controlPr defaultSize="0" autoPict="0">
                <anchor moveWithCells="1">
                  <from>
                    <xdr:col>3</xdr:col>
                    <xdr:colOff>38100</xdr:colOff>
                    <xdr:row>2</xdr:row>
                    <xdr:rowOff>38100</xdr:rowOff>
                  </from>
                  <to>
                    <xdr:col>8</xdr:col>
                    <xdr:colOff>342900</xdr:colOff>
                    <xdr:row>3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5" r:id="rId9" name="Scroll Bar 101">
              <controlPr defaultSize="0" autoPict="0">
                <anchor moveWithCells="1">
                  <from>
                    <xdr:col>3</xdr:col>
                    <xdr:colOff>38100</xdr:colOff>
                    <xdr:row>5</xdr:row>
                    <xdr:rowOff>50800</xdr:rowOff>
                  </from>
                  <to>
                    <xdr:col>8</xdr:col>
                    <xdr:colOff>342900</xdr:colOff>
                    <xdr:row>5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5" r:id="rId10" name="Scroll Bar 111">
              <controlPr defaultSize="0" autoPict="0">
                <anchor moveWithCells="1">
                  <from>
                    <xdr:col>3</xdr:col>
                    <xdr:colOff>76200</xdr:colOff>
                    <xdr:row>16</xdr:row>
                    <xdr:rowOff>63500</xdr:rowOff>
                  </from>
                  <to>
                    <xdr:col>8</xdr:col>
                    <xdr:colOff>381000</xdr:colOff>
                    <xdr:row>17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6" r:id="rId11" name="Scroll Bar 112">
              <controlPr defaultSize="0" autoPict="0">
                <anchor moveWithCells="1">
                  <from>
                    <xdr:col>3</xdr:col>
                    <xdr:colOff>50800</xdr:colOff>
                    <xdr:row>23</xdr:row>
                    <xdr:rowOff>12700</xdr:rowOff>
                  </from>
                  <to>
                    <xdr:col>8</xdr:col>
                    <xdr:colOff>355600</xdr:colOff>
                    <xdr:row>24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6" r:id="rId12" name="Scroll Bar 102">
              <controlPr defaultSize="0" autoPict="0">
                <anchor moveWithCells="1">
                  <from>
                    <xdr:col>3</xdr:col>
                    <xdr:colOff>38100</xdr:colOff>
                    <xdr:row>6</xdr:row>
                    <xdr:rowOff>50800</xdr:rowOff>
                  </from>
                  <to>
                    <xdr:col>8</xdr:col>
                    <xdr:colOff>342900</xdr:colOff>
                    <xdr:row>6</xdr:row>
                    <xdr:rowOff>241300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27" r:id="rId13" name="Scroll Bar 103">
              <controlPr defaultSize="0" autoPict="0">
                <anchor moveWithCells="1">
                  <from>
                    <xdr:col>3</xdr:col>
                    <xdr:colOff>38100</xdr:colOff>
                    <xdr:row>7</xdr:row>
                    <xdr:rowOff>76200</xdr:rowOff>
                  </from>
                  <to>
                    <xdr:col>8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4" r:id="rId14" name="Scroll Bar 110">
              <controlPr defaultSize="0" autoPict="0">
                <anchor moveWithCells="1">
                  <from>
                    <xdr:col>3</xdr:col>
                    <xdr:colOff>38100</xdr:colOff>
                    <xdr:row>8</xdr:row>
                    <xdr:rowOff>88900</xdr:rowOff>
                  </from>
                  <to>
                    <xdr:col>8</xdr:col>
                    <xdr:colOff>342900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2" r:id="rId15" name="Scroll Bar 108">
              <controlPr defaultSize="0" autoPict="0">
                <anchor moveWithCells="1">
                  <from>
                    <xdr:col>3</xdr:col>
                    <xdr:colOff>38100</xdr:colOff>
                    <xdr:row>11</xdr:row>
                    <xdr:rowOff>12700</xdr:rowOff>
                  </from>
                  <to>
                    <xdr:col>8</xdr:col>
                    <xdr:colOff>342900</xdr:colOff>
                    <xdr:row>12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33" r:id="rId16" name="Scroll Bar 109">
              <controlPr defaultSize="0" autoPict="0">
                <anchor moveWithCells="1">
                  <from>
                    <xdr:col>3</xdr:col>
                    <xdr:colOff>76200</xdr:colOff>
                    <xdr:row>15</xdr:row>
                    <xdr:rowOff>0</xdr:rowOff>
                  </from>
                  <to>
                    <xdr:col>8</xdr:col>
                    <xdr:colOff>381000</xdr:colOff>
                    <xdr:row>15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" r:id="rId17" name="Check Box 114">
              <controlPr defaultSize="0" autoFill="0" autoLine="0" autoPict="0">
                <anchor moveWithCells="1">
                  <from>
                    <xdr:col>0</xdr:col>
                    <xdr:colOff>2870200</xdr:colOff>
                    <xdr:row>19</xdr:row>
                    <xdr:rowOff>12700</xdr:rowOff>
                  </from>
                  <to>
                    <xdr:col>1</xdr:col>
                    <xdr:colOff>342900</xdr:colOff>
                    <xdr:row>20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" r:id="rId18" name="Check Box 115">
              <controlPr defaultSize="0" autoFill="0" autoLine="0" autoPict="0">
                <anchor moveWithCells="1">
                  <from>
                    <xdr:col>0</xdr:col>
                    <xdr:colOff>2870200</xdr:colOff>
                    <xdr:row>20</xdr:row>
                    <xdr:rowOff>50800</xdr:rowOff>
                  </from>
                  <to>
                    <xdr:col>1</xdr:col>
                    <xdr:colOff>342900</xdr:colOff>
                    <xdr:row>21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1" r:id="rId19" name="Scroll Bar 117">
              <controlPr defaultSize="0" autoPict="0">
                <anchor moveWithCells="1">
                  <from>
                    <xdr:col>3</xdr:col>
                    <xdr:colOff>76200</xdr:colOff>
                    <xdr:row>19</xdr:row>
                    <xdr:rowOff>25400</xdr:rowOff>
                  </from>
                  <to>
                    <xdr:col>8</xdr:col>
                    <xdr:colOff>381000</xdr:colOff>
                    <xdr:row>20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142" r:id="rId20" name="Scroll Bar 118">
              <controlPr defaultSize="0" autoPict="0">
                <anchor moveWithCells="1">
                  <from>
                    <xdr:col>3</xdr:col>
                    <xdr:colOff>76200</xdr:colOff>
                    <xdr:row>20</xdr:row>
                    <xdr:rowOff>76200</xdr:rowOff>
                  </from>
                  <to>
                    <xdr:col>8</xdr:col>
                    <xdr:colOff>381000</xdr:colOff>
                    <xdr:row>21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indexed="31"/>
  </sheetPr>
  <dimension ref="A1:S111"/>
  <sheetViews>
    <sheetView workbookViewId="0">
      <selection activeCell="C13" sqref="C13"/>
    </sheetView>
  </sheetViews>
  <sheetFormatPr baseColWidth="10" defaultColWidth="9.1640625" defaultRowHeight="12" x14ac:dyDescent="0"/>
  <cols>
    <col min="1" max="1" width="31.5" style="14" customWidth="1"/>
    <col min="2" max="2" width="12.1640625" style="14" bestFit="1" customWidth="1"/>
    <col min="3" max="3" width="9.1640625" style="92" customWidth="1"/>
    <col min="4" max="4" width="17.1640625" style="92" bestFit="1" customWidth="1"/>
    <col min="5" max="5" width="9.1640625" style="14"/>
    <col min="6" max="6" width="18.5" style="15" customWidth="1"/>
    <col min="7" max="13" width="18.5" style="18" customWidth="1"/>
    <col min="14" max="14" width="18.5" style="20" customWidth="1"/>
    <col min="15" max="16" width="15.5" style="19" customWidth="1"/>
    <col min="17" max="18" width="16.33203125" style="37" customWidth="1"/>
    <col min="19" max="16384" width="9.1640625" style="14"/>
  </cols>
  <sheetData>
    <row r="1" spans="1:19" ht="16" thickBot="1">
      <c r="A1" s="40" t="s">
        <v>21</v>
      </c>
      <c r="B1" s="39">
        <f>MIN(1,TT*h.late*h.tx*h.std*h.prep)</f>
        <v>6.8000000000000013E-5</v>
      </c>
      <c r="C1" s="89"/>
      <c r="D1" s="89"/>
      <c r="E1" s="39"/>
      <c r="F1" s="41" t="s">
        <v>23</v>
      </c>
      <c r="G1" s="42" t="s">
        <v>29</v>
      </c>
      <c r="H1" s="42" t="s">
        <v>30</v>
      </c>
      <c r="I1" s="42" t="s">
        <v>31</v>
      </c>
      <c r="J1" s="42" t="s">
        <v>25</v>
      </c>
      <c r="K1" s="42" t="s">
        <v>26</v>
      </c>
      <c r="L1" s="42" t="s">
        <v>27</v>
      </c>
      <c r="M1" s="42" t="s">
        <v>28</v>
      </c>
      <c r="N1" s="43" t="s">
        <v>24</v>
      </c>
      <c r="O1" s="44" t="s">
        <v>32</v>
      </c>
      <c r="P1" s="44" t="s">
        <v>33</v>
      </c>
      <c r="Q1" s="45" t="s">
        <v>42</v>
      </c>
      <c r="R1" s="45" t="s">
        <v>43</v>
      </c>
      <c r="S1" s="40" t="s">
        <v>44</v>
      </c>
    </row>
    <row r="2" spans="1:19" ht="15">
      <c r="A2" s="40" t="s">
        <v>22</v>
      </c>
      <c r="B2" s="39">
        <f>MIN(p.concieve,1)</f>
        <v>6.1201814416838085E-2</v>
      </c>
      <c r="C2" s="89"/>
      <c r="D2" s="89"/>
      <c r="E2" s="39"/>
      <c r="F2" s="46">
        <v>1</v>
      </c>
      <c r="G2" s="47">
        <f t="shared" ref="G2:G33" si="0">p.delivery*(1-(1-p.conception)^F2)*(1-alpha)^F2</f>
        <v>5.4465910897177346E-2</v>
      </c>
      <c r="H2" s="47">
        <f t="shared" ref="H2:H33" si="1" xml:space="preserve"> p.delivery*(1-h.mtctx*p.mtct)*(1-(1-p.conception)^F2)*(1-(1-alpha)^F2)</f>
        <v>2.985370649654784E-6</v>
      </c>
      <c r="I2" s="47">
        <f t="shared" ref="I2:I33" si="2">p.delivery*(h.mtctx*p.mtct)*(1-(1-p.conception)^F2)*(1-(1-alpha)^F2)</f>
        <v>7.1856315884991071E-7</v>
      </c>
      <c r="J2" s="47">
        <f t="shared" ref="J2:J33" si="3">(1-p.delivery)*(1-(1-p.conception)^F2)*(1-alpha)^F2</f>
        <v>6.7317417962803449E-3</v>
      </c>
      <c r="K2" s="47">
        <f t="shared" ref="K2:K33" si="4">((1-p.conception)^F2)*(1-alpha)^F2</f>
        <v>0.93873434730654237</v>
      </c>
      <c r="L2" s="47">
        <f t="shared" ref="L2:L33" si="5">(1-p.delivery)*(1-(1-p.conception)^F2)*(1-(1-alpha)^F2)</f>
        <v>4.5778957183765878E-7</v>
      </c>
      <c r="M2" s="47">
        <f t="shared" ref="M2:M33" si="6">(1-p.conception)^F2*(1-(1-alpha)^F2)</f>
        <v>6.3838276619614633E-5</v>
      </c>
      <c r="N2" s="48">
        <f>SUM(G2:M2)</f>
        <v>1</v>
      </c>
      <c r="O2" s="49">
        <f>SUM(J2:K2)</f>
        <v>0.9454660891028227</v>
      </c>
      <c r="P2" s="49">
        <f>SUM(L2:M2)</f>
        <v>6.4296066191452285E-5</v>
      </c>
      <c r="Q2" s="50">
        <f>O2+H2+G2</f>
        <v>0.99993498537064973</v>
      </c>
      <c r="R2" s="50">
        <f>P2+I2</f>
        <v>6.501462935030219E-5</v>
      </c>
      <c r="S2" s="51">
        <f>IF(R2&lt;Interface!$B$21,R2,0)</f>
        <v>6.501462935030219E-5</v>
      </c>
    </row>
    <row r="3" spans="1:19">
      <c r="A3" s="39"/>
      <c r="B3" s="39"/>
      <c r="C3" s="89"/>
      <c r="D3" s="89"/>
      <c r="E3" s="39"/>
      <c r="F3" s="46">
        <v>2</v>
      </c>
      <c r="G3" s="47">
        <f t="shared" si="0"/>
        <v>0.10559122853175443</v>
      </c>
      <c r="H3" s="47">
        <f t="shared" si="1"/>
        <v>1.1575668811569669E-5</v>
      </c>
      <c r="I3" s="47">
        <f t="shared" si="2"/>
        <v>2.7862031630825254E-6</v>
      </c>
      <c r="J3" s="47">
        <f t="shared" si="3"/>
        <v>1.3050601279205602E-2</v>
      </c>
      <c r="K3" s="47">
        <f t="shared" si="4"/>
        <v>0.88122217481303999</v>
      </c>
      <c r="L3" s="47">
        <f t="shared" si="5"/>
        <v>1.7750628283277988E-6</v>
      </c>
      <c r="M3" s="47">
        <f t="shared" si="6"/>
        <v>1.1985844119697327E-4</v>
      </c>
      <c r="N3" s="48">
        <f t="shared" ref="N3:N66" si="7">SUM(G3:M3)</f>
        <v>1</v>
      </c>
      <c r="O3" s="49">
        <f t="shared" ref="O3:O66" si="8">SUM(J3:K3)</f>
        <v>0.89427277609224565</v>
      </c>
      <c r="P3" s="49">
        <f t="shared" ref="P3:P66" si="9">SUM(L3:M3)</f>
        <v>1.2163350402530108E-4</v>
      </c>
      <c r="Q3" s="50">
        <f t="shared" ref="Q3:Q66" si="10">O3+H3+G3</f>
        <v>0.99987558029281165</v>
      </c>
      <c r="R3" s="50">
        <f t="shared" ref="R3:R66" si="11">P3+I3</f>
        <v>1.2441970718838361E-4</v>
      </c>
      <c r="S3" s="51">
        <f>IF(R3&lt;Interface!$B$21,R3,0)</f>
        <v>1.2441970718838361E-4</v>
      </c>
    </row>
    <row r="4" spans="1:19">
      <c r="A4" s="39"/>
      <c r="B4" s="39"/>
      <c r="C4" s="89"/>
      <c r="D4" s="89"/>
      <c r="E4" s="39"/>
      <c r="F4" s="46">
        <v>3</v>
      </c>
      <c r="G4" s="47">
        <f t="shared" si="0"/>
        <v>0.15358061678219814</v>
      </c>
      <c r="H4" s="47">
        <f t="shared" si="1"/>
        <v>2.525577404119076E-5</v>
      </c>
      <c r="I4" s="47">
        <f t="shared" si="2"/>
        <v>6.078933205944177E-6</v>
      </c>
      <c r="J4" s="47">
        <f t="shared" si="3"/>
        <v>1.8981873984316625E-2</v>
      </c>
      <c r="K4" s="47">
        <f t="shared" si="4"/>
        <v>0.82723352310517095</v>
      </c>
      <c r="L4" s="47">
        <f t="shared" si="5"/>
        <v>3.872828985600947E-6</v>
      </c>
      <c r="M4" s="47">
        <f t="shared" si="6"/>
        <v>1.6877859208155708E-4</v>
      </c>
      <c r="N4" s="48">
        <f t="shared" si="7"/>
        <v>1</v>
      </c>
      <c r="O4" s="49">
        <f t="shared" si="8"/>
        <v>0.84621539708948756</v>
      </c>
      <c r="P4" s="49">
        <f t="shared" si="9"/>
        <v>1.7265142106715804E-4</v>
      </c>
      <c r="Q4" s="50">
        <f t="shared" si="10"/>
        <v>0.99982126964572693</v>
      </c>
      <c r="R4" s="50">
        <f t="shared" si="11"/>
        <v>1.7873035427310222E-4</v>
      </c>
      <c r="S4" s="51">
        <f>IF(R4&lt;Interface!$B$21,R4,0)</f>
        <v>1.7873035427310222E-4</v>
      </c>
    </row>
    <row r="5" spans="1:19">
      <c r="A5" s="39"/>
      <c r="B5" s="39"/>
      <c r="C5" s="89"/>
      <c r="D5" s="89"/>
      <c r="E5" s="39"/>
      <c r="F5" s="46">
        <v>4</v>
      </c>
      <c r="G5" s="47">
        <f t="shared" si="0"/>
        <v>0.19862620066086129</v>
      </c>
      <c r="H5" s="47">
        <f t="shared" si="1"/>
        <v>4.3552622917420241E-5</v>
      </c>
      <c r="I5" s="47">
        <f t="shared" si="2"/>
        <v>1.0482889387071372E-5</v>
      </c>
      <c r="J5" s="47">
        <f t="shared" si="3"/>
        <v>2.454930569965701E-2</v>
      </c>
      <c r="K5" s="47">
        <f t="shared" si="4"/>
        <v>0.77655252138222408</v>
      </c>
      <c r="L5" s="47">
        <f t="shared" si="5"/>
        <v>6.6785464646000861E-6</v>
      </c>
      <c r="M5" s="47">
        <f t="shared" si="6"/>
        <v>2.1125819848852163E-4</v>
      </c>
      <c r="N5" s="48">
        <f t="shared" si="7"/>
        <v>1</v>
      </c>
      <c r="O5" s="49">
        <f t="shared" si="8"/>
        <v>0.80110182708188105</v>
      </c>
      <c r="P5" s="49">
        <f t="shared" si="9"/>
        <v>2.1793674495312171E-4</v>
      </c>
      <c r="Q5" s="50">
        <f t="shared" si="10"/>
        <v>0.99977158036565972</v>
      </c>
      <c r="R5" s="50">
        <f t="shared" si="11"/>
        <v>2.2841963434019308E-4</v>
      </c>
      <c r="S5" s="51">
        <f>IF(R5&lt;Interface!$B$21,R5,0)</f>
        <v>2.2841963434019308E-4</v>
      </c>
    </row>
    <row r="6" spans="1:19">
      <c r="A6" s="39"/>
      <c r="B6" s="39"/>
      <c r="C6" s="89"/>
      <c r="D6" s="89"/>
      <c r="E6" s="39"/>
      <c r="F6" s="46">
        <v>5</v>
      </c>
      <c r="G6" s="47">
        <f t="shared" si="0"/>
        <v>0.24090833451579893</v>
      </c>
      <c r="H6" s="47">
        <f t="shared" si="1"/>
        <v>6.6031989905945224E-5</v>
      </c>
      <c r="I6" s="47">
        <f t="shared" si="2"/>
        <v>1.58935558830687E-5</v>
      </c>
      <c r="J6" s="47">
        <f t="shared" si="3"/>
        <v>2.977518741206503E-2</v>
      </c>
      <c r="K6" s="47">
        <f t="shared" si="4"/>
        <v>0.72897652430899196</v>
      </c>
      <c r="L6" s="47">
        <f t="shared" si="5"/>
        <v>1.0125629254821942E-5</v>
      </c>
      <c r="M6" s="47">
        <f t="shared" si="6"/>
        <v>2.4790258810027154E-4</v>
      </c>
      <c r="N6" s="48">
        <f t="shared" si="7"/>
        <v>1.0000000000000002</v>
      </c>
      <c r="O6" s="49">
        <f t="shared" si="8"/>
        <v>0.75875171172105693</v>
      </c>
      <c r="P6" s="49">
        <f t="shared" si="9"/>
        <v>2.5802821735509349E-4</v>
      </c>
      <c r="Q6" s="50">
        <f t="shared" si="10"/>
        <v>0.99972607822676185</v>
      </c>
      <c r="R6" s="50">
        <f t="shared" si="11"/>
        <v>2.7392177323816219E-4</v>
      </c>
      <c r="S6" s="51">
        <f>IF(R6&lt;Interface!$B$21,R6,0)</f>
        <v>2.7392177323816219E-4</v>
      </c>
    </row>
    <row r="7" spans="1:19">
      <c r="A7" s="39"/>
      <c r="B7" s="39"/>
      <c r="C7" s="89"/>
      <c r="D7" s="89"/>
      <c r="E7" s="39"/>
      <c r="F7" s="46">
        <v>6</v>
      </c>
      <c r="G7" s="47">
        <f t="shared" si="0"/>
        <v>0.28059632316819949</v>
      </c>
      <c r="H7" s="47">
        <f t="shared" si="1"/>
        <v>9.2295504766520326E-5</v>
      </c>
      <c r="I7" s="47">
        <f t="shared" si="2"/>
        <v>2.22150470529838E-5</v>
      </c>
      <c r="J7" s="47">
        <f t="shared" si="3"/>
        <v>3.4680444436519041E-2</v>
      </c>
      <c r="K7" s="47">
        <f t="shared" si="4"/>
        <v>0.68431530174899324</v>
      </c>
      <c r="L7" s="47">
        <f t="shared" si="5"/>
        <v>1.4152989550725226E-5</v>
      </c>
      <c r="M7" s="47">
        <f t="shared" si="6"/>
        <v>2.7926710491796107E-4</v>
      </c>
      <c r="N7" s="48">
        <f t="shared" si="7"/>
        <v>1</v>
      </c>
      <c r="O7" s="49">
        <f t="shared" si="8"/>
        <v>0.71899574618551232</v>
      </c>
      <c r="P7" s="49">
        <f t="shared" si="9"/>
        <v>2.9342009446868631E-4</v>
      </c>
      <c r="Q7" s="50">
        <f t="shared" si="10"/>
        <v>0.99968436485847834</v>
      </c>
      <c r="R7" s="50">
        <f t="shared" si="11"/>
        <v>3.1563514152167012E-4</v>
      </c>
      <c r="S7" s="51">
        <f>IF(R7&lt;Interface!$B$21,R7,0)</f>
        <v>3.1563514152167012E-4</v>
      </c>
    </row>
    <row r="8" spans="1:19" ht="15">
      <c r="A8" s="39"/>
      <c r="B8" s="39"/>
      <c r="C8" s="90" t="s">
        <v>82</v>
      </c>
      <c r="D8" s="90" t="s">
        <v>83</v>
      </c>
      <c r="E8" s="39"/>
      <c r="F8" s="46">
        <v>7</v>
      </c>
      <c r="G8" s="47">
        <f t="shared" si="0"/>
        <v>0.31784909886885976</v>
      </c>
      <c r="H8" s="47">
        <f t="shared" si="1"/>
        <v>1.2197788960537159E-4</v>
      </c>
      <c r="I8" s="47">
        <f t="shared" si="2"/>
        <v>2.9359442411218474E-5</v>
      </c>
      <c r="J8" s="47">
        <f t="shared" si="3"/>
        <v>3.9284720084915251E-2</v>
      </c>
      <c r="K8" s="47">
        <f t="shared" si="4"/>
        <v>0.64239027813922078</v>
      </c>
      <c r="L8" s="47">
        <f t="shared" si="5"/>
        <v>1.8704614069466184E-5</v>
      </c>
      <c r="M8" s="47">
        <f t="shared" si="6"/>
        <v>3.0586096091811025E-4</v>
      </c>
      <c r="N8" s="48">
        <f t="shared" si="7"/>
        <v>1</v>
      </c>
      <c r="O8" s="49">
        <f t="shared" si="8"/>
        <v>0.68167499822413602</v>
      </c>
      <c r="P8" s="49">
        <f t="shared" si="9"/>
        <v>3.2456557498757645E-4</v>
      </c>
      <c r="Q8" s="50">
        <f t="shared" si="10"/>
        <v>0.99964607498260105</v>
      </c>
      <c r="R8" s="50">
        <f t="shared" si="11"/>
        <v>3.5392501739879491E-4</v>
      </c>
      <c r="S8" s="51">
        <f>IF(R8&lt;Interface!$B$21,R8,0)</f>
        <v>3.5392501739879491E-4</v>
      </c>
    </row>
    <row r="9" spans="1:19">
      <c r="A9" s="39"/>
      <c r="B9" s="39"/>
      <c r="C9" s="89"/>
      <c r="D9" s="89"/>
      <c r="E9" s="39"/>
      <c r="F9" s="46">
        <v>8</v>
      </c>
      <c r="G9" s="47">
        <f t="shared" si="0"/>
        <v>0.35281585678048039</v>
      </c>
      <c r="H9" s="47">
        <f t="shared" si="1"/>
        <v>1.5474439985701204E-4</v>
      </c>
      <c r="I9" s="47">
        <f t="shared" si="2"/>
        <v>3.724617068518652E-5</v>
      </c>
      <c r="J9" s="47">
        <f t="shared" si="3"/>
        <v>4.3606454208823413E-2</v>
      </c>
      <c r="K9" s="47">
        <f t="shared" si="4"/>
        <v>0.60303381846508963</v>
      </c>
      <c r="L9" s="47">
        <f t="shared" si="5"/>
        <v>2.3729171640047006E-5</v>
      </c>
      <c r="M9" s="47">
        <f t="shared" si="6"/>
        <v>3.2815080342431626E-4</v>
      </c>
      <c r="N9" s="48">
        <f t="shared" si="7"/>
        <v>1</v>
      </c>
      <c r="O9" s="49">
        <f t="shared" si="8"/>
        <v>0.646640272673913</v>
      </c>
      <c r="P9" s="49">
        <f t="shared" si="9"/>
        <v>3.5187997506436327E-4</v>
      </c>
      <c r="Q9" s="50">
        <f t="shared" si="10"/>
        <v>0.9996108738542504</v>
      </c>
      <c r="R9" s="50">
        <f t="shared" si="11"/>
        <v>3.891261457495498E-4</v>
      </c>
      <c r="S9" s="51">
        <f>IF(R9&lt;Interface!$B$21,R9,0)</f>
        <v>3.891261457495498E-4</v>
      </c>
    </row>
    <row r="10" spans="1:19">
      <c r="A10" s="39"/>
      <c r="B10" s="39"/>
      <c r="C10" s="89"/>
      <c r="D10" s="89">
        <v>25</v>
      </c>
      <c r="E10" s="39"/>
      <c r="F10" s="46">
        <v>9</v>
      </c>
      <c r="G10" s="47">
        <f t="shared" si="0"/>
        <v>0.3856366515267235</v>
      </c>
      <c r="H10" s="47">
        <f t="shared" si="1"/>
        <v>1.9028845458024686E-4</v>
      </c>
      <c r="I10" s="47">
        <f t="shared" si="2"/>
        <v>4.5801439439910524E-5</v>
      </c>
      <c r="J10" s="47">
        <f t="shared" si="3"/>
        <v>4.7662956930269187E-2</v>
      </c>
      <c r="K10" s="47">
        <f t="shared" si="4"/>
        <v>0.56608855798059787</v>
      </c>
      <c r="L10" s="47">
        <f t="shared" si="5"/>
        <v>2.9179649822716073E-5</v>
      </c>
      <c r="M10" s="47">
        <f t="shared" si="6"/>
        <v>3.4656401856658495E-4</v>
      </c>
      <c r="N10" s="48">
        <f t="shared" si="7"/>
        <v>1</v>
      </c>
      <c r="O10" s="49">
        <f t="shared" si="8"/>
        <v>0.6137515149108671</v>
      </c>
      <c r="P10" s="49">
        <f t="shared" si="9"/>
        <v>3.7574366838930104E-4</v>
      </c>
      <c r="Q10" s="50">
        <f t="shared" si="10"/>
        <v>0.9995784548921709</v>
      </c>
      <c r="R10" s="50">
        <f t="shared" si="11"/>
        <v>4.2154510782921155E-4</v>
      </c>
      <c r="S10" s="51">
        <f>IF(R10&lt;Interface!$B$21,R10,0)</f>
        <v>4.2154510782921155E-4</v>
      </c>
    </row>
    <row r="11" spans="1:19">
      <c r="A11" s="39"/>
      <c r="B11" s="39"/>
      <c r="C11" s="89" t="b">
        <v>0</v>
      </c>
      <c r="D11" s="89">
        <v>162</v>
      </c>
      <c r="E11" s="39"/>
      <c r="F11" s="46">
        <v>10</v>
      </c>
      <c r="G11" s="47">
        <f t="shared" si="0"/>
        <v>0.41644295719330254</v>
      </c>
      <c r="H11" s="47">
        <f t="shared" si="1"/>
        <v>2.2832944247932113E-4</v>
      </c>
      <c r="I11" s="47">
        <f t="shared" si="2"/>
        <v>5.4957706998744782E-5</v>
      </c>
      <c r="J11" s="47">
        <f t="shared" si="3"/>
        <v>5.1470477855351991E-2</v>
      </c>
      <c r="K11" s="47">
        <f t="shared" si="4"/>
        <v>0.53140677299361827</v>
      </c>
      <c r="L11" s="47">
        <f t="shared" si="5"/>
        <v>3.5013018474817127E-5</v>
      </c>
      <c r="M11" s="47">
        <f t="shared" si="6"/>
        <v>3.6149178977427747E-4</v>
      </c>
      <c r="N11" s="48">
        <f t="shared" si="7"/>
        <v>1</v>
      </c>
      <c r="O11" s="49">
        <f t="shared" si="8"/>
        <v>0.58287725084897024</v>
      </c>
      <c r="P11" s="49">
        <f t="shared" si="9"/>
        <v>3.965048082490946E-4</v>
      </c>
      <c r="Q11" s="50">
        <f t="shared" si="10"/>
        <v>0.99954853748475214</v>
      </c>
      <c r="R11" s="50">
        <f t="shared" si="11"/>
        <v>4.5146251524783937E-4</v>
      </c>
      <c r="S11" s="51">
        <f>IF(R11&lt;Interface!$B$21,R11,0)</f>
        <v>4.5146251524783937E-4</v>
      </c>
    </row>
    <row r="12" spans="1:19">
      <c r="A12" s="39"/>
      <c r="B12" s="39"/>
      <c r="C12" s="89" t="b">
        <v>1</v>
      </c>
      <c r="D12" s="89">
        <v>8</v>
      </c>
      <c r="E12" s="39"/>
      <c r="F12" s="46">
        <v>11</v>
      </c>
      <c r="G12" s="47">
        <f t="shared" si="0"/>
        <v>0.44535819302024043</v>
      </c>
      <c r="H12" s="47">
        <f t="shared" si="1"/>
        <v>2.6861069101444935E-4</v>
      </c>
      <c r="I12" s="47">
        <f t="shared" si="2"/>
        <v>6.4653193618862499E-5</v>
      </c>
      <c r="J12" s="47">
        <f t="shared" si="3"/>
        <v>5.5044271047445442E-2</v>
      </c>
      <c r="K12" s="47">
        <f t="shared" si="4"/>
        <v>0.49884979020044012</v>
      </c>
      <c r="L12" s="47">
        <f t="shared" si="5"/>
        <v>4.1189918325465498E-5</v>
      </c>
      <c r="M12" s="47">
        <f t="shared" si="6"/>
        <v>3.7329192891519497E-4</v>
      </c>
      <c r="N12" s="48">
        <f t="shared" si="7"/>
        <v>1</v>
      </c>
      <c r="O12" s="49">
        <f t="shared" si="8"/>
        <v>0.55389406124788554</v>
      </c>
      <c r="P12" s="49">
        <f t="shared" si="9"/>
        <v>4.1448184724066046E-4</v>
      </c>
      <c r="Q12" s="50">
        <f t="shared" si="10"/>
        <v>0.9995208649591405</v>
      </c>
      <c r="R12" s="50">
        <f t="shared" si="11"/>
        <v>4.7913504085952296E-4</v>
      </c>
      <c r="S12" s="51">
        <f>IF(R12&lt;Interface!$B$21,R12,0)</f>
        <v>4.7913504085952296E-4</v>
      </c>
    </row>
    <row r="13" spans="1:19">
      <c r="A13" s="39"/>
      <c r="B13" s="39"/>
      <c r="C13" s="89" t="b">
        <v>0</v>
      </c>
      <c r="D13" s="89">
        <v>200</v>
      </c>
      <c r="E13" s="39"/>
      <c r="F13" s="46">
        <v>12</v>
      </c>
      <c r="G13" s="47">
        <f t="shared" si="0"/>
        <v>0.47249821688724775</v>
      </c>
      <c r="H13" s="47">
        <f t="shared" si="1"/>
        <v>3.1089758685529795E-4</v>
      </c>
      <c r="I13" s="47">
        <f t="shared" si="2"/>
        <v>7.4831429094203233E-5</v>
      </c>
      <c r="J13" s="47">
        <f t="shared" si="3"/>
        <v>5.8398656019772191E-2</v>
      </c>
      <c r="K13" s="47">
        <f t="shared" si="4"/>
        <v>0.46828743220781577</v>
      </c>
      <c r="L13" s="47">
        <f t="shared" si="5"/>
        <v>4.7674372757803504E-5</v>
      </c>
      <c r="M13" s="47">
        <f t="shared" si="6"/>
        <v>3.8229149645689295E-4</v>
      </c>
      <c r="N13" s="48">
        <f t="shared" si="7"/>
        <v>0.99999999999999989</v>
      </c>
      <c r="O13" s="49">
        <f t="shared" si="8"/>
        <v>0.526686088227588</v>
      </c>
      <c r="P13" s="49">
        <f t="shared" si="9"/>
        <v>4.2996586921469646E-4</v>
      </c>
      <c r="Q13" s="50">
        <f t="shared" si="10"/>
        <v>0.99949520270169101</v>
      </c>
      <c r="R13" s="50">
        <f t="shared" si="11"/>
        <v>5.0479729830889969E-4</v>
      </c>
      <c r="S13" s="51">
        <f>IF(R13&lt;Interface!$B$21,R13,0)</f>
        <v>5.0479729830889969E-4</v>
      </c>
    </row>
    <row r="14" spans="1:19">
      <c r="A14" s="39"/>
      <c r="B14" s="39"/>
      <c r="C14" s="89" t="b">
        <v>1</v>
      </c>
      <c r="D14" s="89">
        <v>34</v>
      </c>
      <c r="E14" s="39"/>
      <c r="F14" s="46">
        <v>13</v>
      </c>
      <c r="G14" s="47">
        <f t="shared" si="0"/>
        <v>0.49797178856539831</v>
      </c>
      <c r="H14" s="47">
        <f t="shared" si="1"/>
        <v>3.5497583675770555E-4</v>
      </c>
      <c r="I14" s="47">
        <f t="shared" si="2"/>
        <v>8.5440834157561867E-5</v>
      </c>
      <c r="J14" s="47">
        <f t="shared" si="3"/>
        <v>6.1547074991228995E-2</v>
      </c>
      <c r="K14" s="47">
        <f t="shared" si="4"/>
        <v>0.43959749702546064</v>
      </c>
      <c r="L14" s="47">
        <f t="shared" si="5"/>
        <v>5.4433521124358874E-5</v>
      </c>
      <c r="M14" s="47">
        <f t="shared" si="6"/>
        <v>3.8878922587240369E-4</v>
      </c>
      <c r="N14" s="48">
        <f t="shared" si="7"/>
        <v>0.99999999999999989</v>
      </c>
      <c r="O14" s="49">
        <f t="shared" si="8"/>
        <v>0.5011445720166896</v>
      </c>
      <c r="P14" s="49">
        <f t="shared" si="9"/>
        <v>4.4322274699676258E-4</v>
      </c>
      <c r="Q14" s="50">
        <f t="shared" si="10"/>
        <v>0.99947133641884567</v>
      </c>
      <c r="R14" s="50">
        <f t="shared" si="11"/>
        <v>5.286635811543245E-4</v>
      </c>
      <c r="S14" s="51">
        <f>IF(R14&lt;Interface!$B$21,R14,0)</f>
        <v>5.286635811543245E-4</v>
      </c>
    </row>
    <row r="15" spans="1:19">
      <c r="A15" s="39"/>
      <c r="B15" s="39"/>
      <c r="C15" s="89">
        <f>LOOKUP(Interface!B12,Pregnancy!A:A,Pregnancy!B:B)</f>
        <v>6.1201814416838085E-2</v>
      </c>
      <c r="D15" s="89">
        <v>18</v>
      </c>
      <c r="E15" s="39"/>
      <c r="F15" s="46">
        <v>14</v>
      </c>
      <c r="G15" s="47">
        <f t="shared" si="0"/>
        <v>0.52188100458738684</v>
      </c>
      <c r="H15" s="47">
        <f t="shared" si="1"/>
        <v>4.0064985871392244E-4</v>
      </c>
      <c r="I15" s="47">
        <f t="shared" si="2"/>
        <v>9.6434333238834929E-5</v>
      </c>
      <c r="J15" s="47">
        <f t="shared" si="3"/>
        <v>6.4502146634396115E-2</v>
      </c>
      <c r="K15" s="47">
        <f t="shared" si="4"/>
        <v>0.41266526944778548</v>
      </c>
      <c r="L15" s="47">
        <f t="shared" si="5"/>
        <v>6.1437372039104834E-5</v>
      </c>
      <c r="M15" s="47">
        <f t="shared" si="6"/>
        <v>3.9305776643968894E-4</v>
      </c>
      <c r="N15" s="48">
        <f t="shared" si="7"/>
        <v>1</v>
      </c>
      <c r="O15" s="49">
        <f t="shared" si="8"/>
        <v>0.47716741608218161</v>
      </c>
      <c r="P15" s="49">
        <f t="shared" si="9"/>
        <v>4.5449513847879377E-4</v>
      </c>
      <c r="Q15" s="50">
        <f t="shared" si="10"/>
        <v>0.99944907052828236</v>
      </c>
      <c r="R15" s="50">
        <f t="shared" si="11"/>
        <v>5.5092947171762874E-4</v>
      </c>
      <c r="S15" s="51">
        <f>IF(R15&lt;Interface!$B$21,R15,0)</f>
        <v>5.5092947171762874E-4</v>
      </c>
    </row>
    <row r="16" spans="1:19">
      <c r="A16" s="39"/>
      <c r="B16" s="39"/>
      <c r="C16" s="89">
        <f>LOOKUP(Interface!B12,Pregnancy!A:A,Pregnancy!C:C)</f>
        <v>0.89</v>
      </c>
      <c r="D16" s="89"/>
      <c r="E16" s="39"/>
      <c r="F16" s="46">
        <v>15</v>
      </c>
      <c r="G16" s="47">
        <f t="shared" si="0"/>
        <v>0.54432170647517764</v>
      </c>
      <c r="H16" s="47">
        <f t="shared" si="1"/>
        <v>4.4774129394318672E-4</v>
      </c>
      <c r="I16" s="47">
        <f t="shared" si="2"/>
        <v>1.0776899630890598E-4</v>
      </c>
      <c r="J16" s="47">
        <f t="shared" si="3"/>
        <v>6.7275716530639934E-2</v>
      </c>
      <c r="K16" s="47">
        <f t="shared" si="4"/>
        <v>0.38738306237114528</v>
      </c>
      <c r="L16" s="47">
        <f t="shared" si="5"/>
        <v>6.8658575199696825E-5</v>
      </c>
      <c r="M16" s="47">
        <f t="shared" si="6"/>
        <v>3.9534575758527605E-4</v>
      </c>
      <c r="N16" s="48">
        <f t="shared" si="7"/>
        <v>0.99999999999999989</v>
      </c>
      <c r="O16" s="49">
        <f t="shared" si="8"/>
        <v>0.45465877890178519</v>
      </c>
      <c r="P16" s="49">
        <f t="shared" si="9"/>
        <v>4.6400433278497288E-4</v>
      </c>
      <c r="Q16" s="50">
        <f t="shared" si="10"/>
        <v>0.99942822667090603</v>
      </c>
      <c r="R16" s="50">
        <f t="shared" si="11"/>
        <v>5.7177332909387891E-4</v>
      </c>
      <c r="S16" s="51">
        <f>IF(R16&lt;Interface!$B$21,R16,0)</f>
        <v>5.7177332909387891E-4</v>
      </c>
    </row>
    <row r="17" spans="1:19">
      <c r="A17" s="39"/>
      <c r="B17" s="39"/>
      <c r="C17" s="89"/>
      <c r="D17" s="89"/>
      <c r="E17" s="39"/>
      <c r="F17" s="46">
        <v>16</v>
      </c>
      <c r="G17" s="47">
        <f t="shared" si="0"/>
        <v>0.56538386395731977</v>
      </c>
      <c r="H17" s="47">
        <f t="shared" si="1"/>
        <v>4.9608763095571756E-4</v>
      </c>
      <c r="I17" s="47">
        <f t="shared" si="2"/>
        <v>1.1940570769901885E-4</v>
      </c>
      <c r="J17" s="47">
        <f t="shared" si="3"/>
        <v>6.9878904534050754E-2</v>
      </c>
      <c r="K17" s="47">
        <f t="shared" si="4"/>
        <v>0.36364978621258665</v>
      </c>
      <c r="L17" s="47">
        <f t="shared" si="5"/>
        <v>7.6072210395529205E-5</v>
      </c>
      <c r="M17" s="47">
        <f t="shared" si="6"/>
        <v>3.9587974699250048E-4</v>
      </c>
      <c r="N17" s="48">
        <f t="shared" si="7"/>
        <v>0.99999999999999989</v>
      </c>
      <c r="O17" s="49">
        <f t="shared" si="8"/>
        <v>0.43352869074663741</v>
      </c>
      <c r="P17" s="49">
        <f t="shared" si="9"/>
        <v>4.7195195738802972E-4</v>
      </c>
      <c r="Q17" s="50">
        <f t="shared" si="10"/>
        <v>0.99940864233491289</v>
      </c>
      <c r="R17" s="50">
        <f t="shared" si="11"/>
        <v>5.9135766508704862E-4</v>
      </c>
      <c r="S17" s="51">
        <f>IF(R17&lt;Interface!$B$21,R17,0)</f>
        <v>5.9135766508704862E-4</v>
      </c>
    </row>
    <row r="18" spans="1:19">
      <c r="A18" s="39"/>
      <c r="B18" s="39"/>
      <c r="C18" s="89" t="b">
        <v>0</v>
      </c>
      <c r="D18" s="89">
        <v>194</v>
      </c>
      <c r="E18" s="39"/>
      <c r="F18" s="46">
        <v>17</v>
      </c>
      <c r="G18" s="47">
        <f t="shared" si="0"/>
        <v>0.58515193470820315</v>
      </c>
      <c r="H18" s="47">
        <f t="shared" si="1"/>
        <v>5.4554093354448213E-4</v>
      </c>
      <c r="I18" s="47">
        <f t="shared" si="2"/>
        <v>1.3130885993502424E-4</v>
      </c>
      <c r="J18" s="47">
        <f t="shared" si="3"/>
        <v>7.2322149233598129E-2</v>
      </c>
      <c r="K18" s="47">
        <f t="shared" si="4"/>
        <v>0.3413705447084362</v>
      </c>
      <c r="L18" s="47">
        <f t="shared" si="5"/>
        <v>8.365559245252325E-5</v>
      </c>
      <c r="M18" s="47">
        <f t="shared" si="6"/>
        <v>3.9486596383059432E-4</v>
      </c>
      <c r="N18" s="48">
        <f t="shared" si="7"/>
        <v>1.0000000000000002</v>
      </c>
      <c r="O18" s="49">
        <f t="shared" si="8"/>
        <v>0.41369269394203434</v>
      </c>
      <c r="P18" s="49">
        <f t="shared" si="9"/>
        <v>4.7852155628311759E-4</v>
      </c>
      <c r="Q18" s="50">
        <f t="shared" si="10"/>
        <v>0.99939016958378191</v>
      </c>
      <c r="R18" s="50">
        <f t="shared" si="11"/>
        <v>6.0983041621814177E-4</v>
      </c>
      <c r="S18" s="51">
        <f>IF(R18&lt;Interface!$B$21,R18,0)</f>
        <v>6.0983041621814177E-4</v>
      </c>
    </row>
    <row r="19" spans="1:19">
      <c r="A19" s="39"/>
      <c r="B19" s="39"/>
      <c r="C19" s="89" t="b">
        <v>0</v>
      </c>
      <c r="D19" s="89">
        <v>39</v>
      </c>
      <c r="E19" s="39"/>
      <c r="F19" s="46">
        <v>18</v>
      </c>
      <c r="G19" s="47">
        <f t="shared" si="0"/>
        <v>0.60370520204765343</v>
      </c>
      <c r="H19" s="47">
        <f t="shared" si="1"/>
        <v>5.9596666513632836E-4</v>
      </c>
      <c r="I19" s="47">
        <f t="shared" si="2"/>
        <v>1.4344607076482345E-4</v>
      </c>
      <c r="J19" s="47">
        <f t="shared" si="3"/>
        <v>7.4615249691282998E-2</v>
      </c>
      <c r="K19" s="47">
        <f t="shared" si="4"/>
        <v>0.32045625547655265</v>
      </c>
      <c r="L19" s="47">
        <f t="shared" si="5"/>
        <v>9.1388090954074919E-5</v>
      </c>
      <c r="M19" s="47">
        <f t="shared" si="6"/>
        <v>3.9249195765560534E-4</v>
      </c>
      <c r="N19" s="48">
        <f t="shared" si="7"/>
        <v>0.99999999999999978</v>
      </c>
      <c r="O19" s="49">
        <f t="shared" si="8"/>
        <v>0.39507150516783562</v>
      </c>
      <c r="P19" s="49">
        <f t="shared" si="9"/>
        <v>4.8388004860968025E-4</v>
      </c>
      <c r="Q19" s="50">
        <f t="shared" si="10"/>
        <v>0.99937267388062545</v>
      </c>
      <c r="R19" s="50">
        <f t="shared" si="11"/>
        <v>6.2732611937450365E-4</v>
      </c>
      <c r="S19" s="51">
        <f>IF(R19&lt;Interface!$B$21,R19,0)</f>
        <v>6.2732611937450365E-4</v>
      </c>
    </row>
    <row r="20" spans="1:19">
      <c r="A20" s="39"/>
      <c r="B20" s="39"/>
      <c r="C20" s="89"/>
      <c r="D20" s="89"/>
      <c r="E20" s="39"/>
      <c r="F20" s="46">
        <v>19</v>
      </c>
      <c r="G20" s="47">
        <f t="shared" si="0"/>
        <v>0.62111809195114343</v>
      </c>
      <c r="H20" s="47">
        <f t="shared" si="1"/>
        <v>6.4724260247044779E-4</v>
      </c>
      <c r="I20" s="47">
        <f t="shared" si="2"/>
        <v>1.5578792168643532E-4</v>
      </c>
      <c r="J20" s="47">
        <f t="shared" si="3"/>
        <v>7.6767404623175009E-2</v>
      </c>
      <c r="K20" s="47">
        <f t="shared" si="4"/>
        <v>0.30082329382508027</v>
      </c>
      <c r="L20" s="47">
        <f t="shared" si="5"/>
        <v>9.9250963659839467E-5</v>
      </c>
      <c r="M20" s="47">
        <f t="shared" si="6"/>
        <v>3.8892811278463929E-4</v>
      </c>
      <c r="N20" s="48">
        <f t="shared" si="7"/>
        <v>1</v>
      </c>
      <c r="O20" s="49">
        <f t="shared" si="8"/>
        <v>0.37759069844825527</v>
      </c>
      <c r="P20" s="49">
        <f t="shared" si="9"/>
        <v>4.8817907644447877E-4</v>
      </c>
      <c r="Q20" s="50">
        <f t="shared" si="10"/>
        <v>0.99935603300186915</v>
      </c>
      <c r="R20" s="50">
        <f t="shared" si="11"/>
        <v>6.4396699813091412E-4</v>
      </c>
      <c r="S20" s="51">
        <f>IF(R20&lt;Interface!$B$21,R20,0)</f>
        <v>6.4396699813091412E-4</v>
      </c>
    </row>
    <row r="21" spans="1:19">
      <c r="A21" s="39"/>
      <c r="B21" s="39"/>
      <c r="C21" s="89"/>
      <c r="D21" s="89"/>
      <c r="E21" s="39"/>
      <c r="F21" s="46">
        <v>20</v>
      </c>
      <c r="G21" s="47">
        <f t="shared" si="0"/>
        <v>0.63746047063816291</v>
      </c>
      <c r="H21" s="47">
        <f t="shared" si="1"/>
        <v>6.9925783207348163E-4</v>
      </c>
      <c r="I21" s="47">
        <f t="shared" si="2"/>
        <v>1.6830771640478342E-4</v>
      </c>
      <c r="J21" s="47">
        <f t="shared" si="3"/>
        <v>7.8787249179997659E-2</v>
      </c>
      <c r="K21" s="47">
        <f t="shared" si="4"/>
        <v>0.28239315838349094</v>
      </c>
      <c r="L21" s="47">
        <f t="shared" si="5"/>
        <v>1.0722720262090915E-4</v>
      </c>
      <c r="M21" s="47">
        <f t="shared" si="6"/>
        <v>3.8432904724934293E-4</v>
      </c>
      <c r="N21" s="48">
        <f t="shared" si="7"/>
        <v>1</v>
      </c>
      <c r="O21" s="49">
        <f t="shared" si="8"/>
        <v>0.36118040756348857</v>
      </c>
      <c r="P21" s="49">
        <f t="shared" si="9"/>
        <v>4.9155624987025207E-4</v>
      </c>
      <c r="Q21" s="50">
        <f t="shared" si="10"/>
        <v>0.99934013603372496</v>
      </c>
      <c r="R21" s="50">
        <f t="shared" si="11"/>
        <v>6.5986396627503547E-4</v>
      </c>
      <c r="S21" s="51">
        <f>IF(R21&lt;Interface!$B$21,R21,0)</f>
        <v>6.5986396627503547E-4</v>
      </c>
    </row>
    <row r="22" spans="1:19">
      <c r="A22" s="39"/>
      <c r="B22" s="39"/>
      <c r="C22" s="89" t="b">
        <v>0</v>
      </c>
      <c r="D22" s="91">
        <f>LOOKUP(Interface!B12,Pregnancy!A:A,Pregnancy!D:D)</f>
        <v>27.652328057732831</v>
      </c>
      <c r="E22" s="39"/>
      <c r="F22" s="46">
        <v>21</v>
      </c>
      <c r="G22" s="47">
        <f t="shared" si="0"/>
        <v>0.65279792392864722</v>
      </c>
      <c r="H22" s="47">
        <f t="shared" si="1"/>
        <v>7.5191182346359827E-4</v>
      </c>
      <c r="I22" s="47">
        <f t="shared" si="2"/>
        <v>1.8098125775674697E-4</v>
      </c>
      <c r="J22" s="47">
        <f t="shared" si="3"/>
        <v>8.0682889474327169E-2</v>
      </c>
      <c r="K22" s="47">
        <f t="shared" si="4"/>
        <v>0.2650921572189594</v>
      </c>
      <c r="L22" s="47">
        <f t="shared" si="5"/>
        <v>1.1530139206094152E-4</v>
      </c>
      <c r="M22" s="47">
        <f t="shared" si="6"/>
        <v>3.7883490478498233E-4</v>
      </c>
      <c r="N22" s="48">
        <f t="shared" si="7"/>
        <v>1</v>
      </c>
      <c r="O22" s="49">
        <f t="shared" si="8"/>
        <v>0.34577504669328657</v>
      </c>
      <c r="P22" s="49">
        <f t="shared" si="9"/>
        <v>4.9413629684592387E-4</v>
      </c>
      <c r="Q22" s="50">
        <f t="shared" si="10"/>
        <v>0.99932488244539741</v>
      </c>
      <c r="R22" s="50">
        <f t="shared" si="11"/>
        <v>6.751175546026709E-4</v>
      </c>
      <c r="S22" s="51">
        <f>IF(R22&lt;Interface!$B$21,R22,0)</f>
        <v>6.751175546026709E-4</v>
      </c>
    </row>
    <row r="23" spans="1:19">
      <c r="A23" s="39"/>
      <c r="B23" s="39"/>
      <c r="C23" s="89" t="b">
        <v>0</v>
      </c>
      <c r="D23" s="91">
        <f ca="1">LOOKUP(Interface!B12,Pregnancy!A:A,Pregnancy!E:E)</f>
        <v>101</v>
      </c>
      <c r="E23" s="39"/>
      <c r="F23" s="46">
        <v>22</v>
      </c>
      <c r="G23" s="47">
        <f t="shared" si="0"/>
        <v>0.6671920194844484</v>
      </c>
      <c r="H23" s="47">
        <f t="shared" si="1"/>
        <v>8.051135734505365E-4</v>
      </c>
      <c r="I23" s="47">
        <f t="shared" si="2"/>
        <v>1.9378664174864025E-4</v>
      </c>
      <c r="J23" s="47">
        <f t="shared" si="3"/>
        <v>8.2461934992459907E-2</v>
      </c>
      <c r="K23" s="47">
        <f t="shared" si="4"/>
        <v>0.24885111318302311</v>
      </c>
      <c r="L23" s="47">
        <f t="shared" si="5"/>
        <v>1.2345957715944879E-4</v>
      </c>
      <c r="M23" s="47">
        <f t="shared" si="6"/>
        <v>3.7257254770996337E-4</v>
      </c>
      <c r="N23" s="48">
        <f t="shared" si="7"/>
        <v>1</v>
      </c>
      <c r="O23" s="49">
        <f t="shared" si="8"/>
        <v>0.33131304817548302</v>
      </c>
      <c r="P23" s="49">
        <f t="shared" si="9"/>
        <v>4.960321248694121E-4</v>
      </c>
      <c r="Q23" s="50">
        <f t="shared" si="10"/>
        <v>0.999310181233382</v>
      </c>
      <c r="R23" s="50">
        <f t="shared" si="11"/>
        <v>6.8981876661805238E-4</v>
      </c>
      <c r="S23" s="51">
        <f>IF(R23&lt;Interface!$B$21,R23,0)</f>
        <v>6.8981876661805238E-4</v>
      </c>
    </row>
    <row r="24" spans="1:19">
      <c r="A24" s="39"/>
      <c r="B24" s="39"/>
      <c r="C24" s="89">
        <v>82</v>
      </c>
      <c r="D24" s="89">
        <v>100</v>
      </c>
      <c r="E24" s="39"/>
      <c r="F24" s="46">
        <v>23</v>
      </c>
      <c r="G24" s="47">
        <f t="shared" si="0"/>
        <v>0.68070055298441345</v>
      </c>
      <c r="H24" s="47">
        <f t="shared" si="1"/>
        <v>8.5878081629911171E-4</v>
      </c>
      <c r="I24" s="47">
        <f t="shared" si="2"/>
        <v>2.0670406744668441E-4</v>
      </c>
      <c r="J24" s="47">
        <f t="shared" si="3"/>
        <v>8.4131529020545479E-2</v>
      </c>
      <c r="K24" s="47">
        <f t="shared" si="4"/>
        <v>0.23360508731037172</v>
      </c>
      <c r="L24" s="47">
        <f t="shared" si="5"/>
        <v>1.3168914293487365E-4</v>
      </c>
      <c r="M24" s="47">
        <f t="shared" si="6"/>
        <v>3.656566579886666E-4</v>
      </c>
      <c r="N24" s="48">
        <f t="shared" si="7"/>
        <v>0.99999999999999989</v>
      </c>
      <c r="O24" s="49">
        <f t="shared" si="8"/>
        <v>0.31773661633091721</v>
      </c>
      <c r="P24" s="49">
        <f t="shared" si="9"/>
        <v>4.9734580092354022E-4</v>
      </c>
      <c r="Q24" s="50">
        <f t="shared" si="10"/>
        <v>0.99929595013162975</v>
      </c>
      <c r="R24" s="50">
        <f t="shared" si="11"/>
        <v>7.0404986837022468E-4</v>
      </c>
      <c r="S24" s="51">
        <f>IF(R24&lt;Interface!$B$21,R24,0)</f>
        <v>7.0404986837022468E-4</v>
      </c>
    </row>
    <row r="25" spans="1:19">
      <c r="A25" s="39"/>
      <c r="B25" s="39"/>
      <c r="C25" s="89">
        <v>6</v>
      </c>
      <c r="D25" s="89"/>
      <c r="E25" s="39"/>
      <c r="F25" s="46">
        <v>24</v>
      </c>
      <c r="G25" s="47">
        <f t="shared" si="0"/>
        <v>0.69337777921738453</v>
      </c>
      <c r="H25" s="47">
        <f t="shared" si="1"/>
        <v>9.1283929489911764E-4</v>
      </c>
      <c r="I25" s="47">
        <f t="shared" si="2"/>
        <v>2.1971566155140051E-4</v>
      </c>
      <c r="J25" s="47">
        <f t="shared" si="3"/>
        <v>8.5698377206643014E-2</v>
      </c>
      <c r="K25" s="47">
        <f t="shared" si="4"/>
        <v>0.21929311916378966</v>
      </c>
      <c r="L25" s="47">
        <f t="shared" si="5"/>
        <v>1.3997870248264827E-4</v>
      </c>
      <c r="M25" s="47">
        <f t="shared" si="6"/>
        <v>3.5819075324964938E-4</v>
      </c>
      <c r="N25" s="48">
        <f t="shared" si="7"/>
        <v>1</v>
      </c>
      <c r="O25" s="49">
        <f t="shared" si="8"/>
        <v>0.30499149637043266</v>
      </c>
      <c r="P25" s="49">
        <f t="shared" si="9"/>
        <v>4.9816945573229762E-4</v>
      </c>
      <c r="Q25" s="50">
        <f t="shared" si="10"/>
        <v>0.99928211488271623</v>
      </c>
      <c r="R25" s="50">
        <f t="shared" si="11"/>
        <v>7.1788511728369808E-4</v>
      </c>
      <c r="S25" s="51">
        <f>IF(R25&lt;Interface!$B$21,R25,0)</f>
        <v>7.1788511728369808E-4</v>
      </c>
    </row>
    <row r="26" spans="1:19">
      <c r="A26" s="39"/>
      <c r="B26" s="39"/>
      <c r="C26" s="89"/>
      <c r="D26" s="89">
        <f>IF(C22,D22,D24)</f>
        <v>100</v>
      </c>
      <c r="E26" s="39"/>
      <c r="F26" s="46">
        <v>25</v>
      </c>
      <c r="G26" s="47">
        <f t="shared" si="0"/>
        <v>0.70527462901713667</v>
      </c>
      <c r="H26" s="47">
        <f t="shared" si="1"/>
        <v>9.6722208843069734E-4</v>
      </c>
      <c r="I26" s="47">
        <f t="shared" si="2"/>
        <v>2.328053165701678E-4</v>
      </c>
      <c r="J26" s="47">
        <f t="shared" si="3"/>
        <v>8.7168774372904531E-2</v>
      </c>
      <c r="K26" s="47">
        <f t="shared" si="4"/>
        <v>0.2058579830870359</v>
      </c>
      <c r="L26" s="47">
        <f t="shared" si="5"/>
        <v>1.4831799387651141E-4</v>
      </c>
      <c r="M26" s="47">
        <f t="shared" si="6"/>
        <v>3.5026812404539965E-4</v>
      </c>
      <c r="N26" s="48">
        <f t="shared" si="7"/>
        <v>0.99999999999999978</v>
      </c>
      <c r="O26" s="49">
        <f t="shared" si="8"/>
        <v>0.29302675745994045</v>
      </c>
      <c r="P26" s="49">
        <f t="shared" si="9"/>
        <v>4.9858611792191103E-4</v>
      </c>
      <c r="Q26" s="50">
        <f t="shared" si="10"/>
        <v>0.99926860856550781</v>
      </c>
      <c r="R26" s="50">
        <f t="shared" si="11"/>
        <v>7.3139143449207889E-4</v>
      </c>
      <c r="S26" s="51">
        <f>IF(R26&lt;Interface!$B$21,R26,0)</f>
        <v>7.3139143449207889E-4</v>
      </c>
    </row>
    <row r="27" spans="1:19">
      <c r="A27" s="39"/>
      <c r="B27" s="39"/>
      <c r="C27" s="89"/>
      <c r="D27" s="89">
        <f>IF(C23,D23,D24)</f>
        <v>100</v>
      </c>
      <c r="E27" s="39"/>
      <c r="F27" s="46">
        <v>26</v>
      </c>
      <c r="G27" s="47">
        <f t="shared" si="0"/>
        <v>0.71643891290665485</v>
      </c>
      <c r="H27" s="47">
        <f t="shared" si="1"/>
        <v>1.0218689923408434E-3</v>
      </c>
      <c r="I27" s="47">
        <f t="shared" si="2"/>
        <v>2.459585415807985E-4</v>
      </c>
      <c r="J27" s="47">
        <f t="shared" si="3"/>
        <v>8.8548629685092153E-2</v>
      </c>
      <c r="K27" s="47">
        <f t="shared" si="4"/>
        <v>0.19324595939104985</v>
      </c>
      <c r="L27" s="47">
        <f t="shared" si="5"/>
        <v>1.5669778509143885E-4</v>
      </c>
      <c r="M27" s="47">
        <f t="shared" si="6"/>
        <v>3.419726981901079E-4</v>
      </c>
      <c r="N27" s="48">
        <f t="shared" si="7"/>
        <v>1</v>
      </c>
      <c r="O27" s="49">
        <f t="shared" si="8"/>
        <v>0.28179458907614202</v>
      </c>
      <c r="P27" s="49">
        <f t="shared" si="9"/>
        <v>4.9867048328154672E-4</v>
      </c>
      <c r="Q27" s="50">
        <f t="shared" si="10"/>
        <v>0.99925537097513772</v>
      </c>
      <c r="R27" s="50">
        <f t="shared" si="11"/>
        <v>7.4462902486234516E-4</v>
      </c>
      <c r="S27" s="51">
        <f>IF(R27&lt;Interface!$B$21,R27,0)</f>
        <v>7.4462902486234516E-4</v>
      </c>
    </row>
    <row r="28" spans="1:19">
      <c r="A28" s="39"/>
      <c r="B28" s="39"/>
      <c r="C28" s="89"/>
      <c r="D28" s="89">
        <f>MIN(D26,D27)</f>
        <v>100</v>
      </c>
      <c r="E28" s="39"/>
      <c r="F28" s="46">
        <v>27</v>
      </c>
      <c r="G28" s="47">
        <f t="shared" si="0"/>
        <v>0.7269155122660097</v>
      </c>
      <c r="H28" s="47">
        <f t="shared" si="1"/>
        <v>1.0767259467441865E-3</v>
      </c>
      <c r="I28" s="47">
        <f t="shared" si="2"/>
        <v>2.5916232465058583E-4</v>
      </c>
      <c r="J28" s="47">
        <f t="shared" si="3"/>
        <v>8.9843490280068605E-2</v>
      </c>
      <c r="K28" s="47">
        <f t="shared" si="4"/>
        <v>0.18140661955858375</v>
      </c>
      <c r="L28" s="47">
        <f t="shared" si="5"/>
        <v>1.6510978635216286E-4</v>
      </c>
      <c r="M28" s="47">
        <f t="shared" si="6"/>
        <v>3.3337983759108901E-4</v>
      </c>
      <c r="N28" s="48">
        <f t="shared" si="7"/>
        <v>1.0000000000000002</v>
      </c>
      <c r="O28" s="49">
        <f t="shared" si="8"/>
        <v>0.27125010983865239</v>
      </c>
      <c r="P28" s="49">
        <f t="shared" si="9"/>
        <v>4.9848962394325185E-4</v>
      </c>
      <c r="Q28" s="50">
        <f t="shared" si="10"/>
        <v>0.99924234805140633</v>
      </c>
      <c r="R28" s="50">
        <f t="shared" si="11"/>
        <v>7.5765194859383762E-4</v>
      </c>
      <c r="S28" s="51">
        <f>IF(R28&lt;Interface!$B$21,R28,0)</f>
        <v>7.5765194859383762E-4</v>
      </c>
    </row>
    <row r="29" spans="1:19">
      <c r="A29" s="39"/>
      <c r="B29" s="39"/>
      <c r="C29" s="89"/>
      <c r="D29" s="89"/>
      <c r="E29" s="39"/>
      <c r="F29" s="46">
        <v>28</v>
      </c>
      <c r="G29" s="47">
        <f t="shared" si="0"/>
        <v>0.7367465587882116</v>
      </c>
      <c r="H29" s="47">
        <f t="shared" si="1"/>
        <v>1.1317445096429592E-3</v>
      </c>
      <c r="I29" s="47">
        <f t="shared" si="2"/>
        <v>2.7240500604309439E-4</v>
      </c>
      <c r="J29" s="47">
        <f t="shared" si="3"/>
        <v>9.1058563445734014E-2</v>
      </c>
      <c r="K29" s="47">
        <f t="shared" si="4"/>
        <v>0.17029262460841341</v>
      </c>
      <c r="L29" s="47">
        <f t="shared" si="5"/>
        <v>1.7354656935445603E-4</v>
      </c>
      <c r="M29" s="47">
        <f t="shared" si="6"/>
        <v>3.2455707260052233E-4</v>
      </c>
      <c r="N29" s="48">
        <f t="shared" si="7"/>
        <v>1</v>
      </c>
      <c r="O29" s="49">
        <f t="shared" si="8"/>
        <v>0.26135118805414742</v>
      </c>
      <c r="P29" s="49">
        <f t="shared" si="9"/>
        <v>4.9810364195497839E-4</v>
      </c>
      <c r="Q29" s="50">
        <f t="shared" si="10"/>
        <v>0.99922949135200201</v>
      </c>
      <c r="R29" s="50">
        <f t="shared" si="11"/>
        <v>7.7050864799807278E-4</v>
      </c>
      <c r="S29" s="51">
        <f>IF(R29&lt;Interface!$B$21,R29,0)</f>
        <v>7.7050864799807278E-4</v>
      </c>
    </row>
    <row r="30" spans="1:19">
      <c r="A30" s="39"/>
      <c r="B30" s="39"/>
      <c r="C30" s="89"/>
      <c r="D30" s="89"/>
      <c r="E30" s="39"/>
      <c r="F30" s="46">
        <v>29</v>
      </c>
      <c r="G30" s="47">
        <f t="shared" si="0"/>
        <v>0.74597160294058218</v>
      </c>
      <c r="H30" s="47">
        <f t="shared" si="1"/>
        <v>1.1868813716210277E-3</v>
      </c>
      <c r="I30" s="47">
        <f t="shared" si="2"/>
        <v>2.8567616140754261E-4</v>
      </c>
      <c r="J30" s="47">
        <f t="shared" si="3"/>
        <v>9.2198737442094419E-2</v>
      </c>
      <c r="K30" s="47">
        <f t="shared" si="4"/>
        <v>0.15985953581289694</v>
      </c>
      <c r="L30" s="47">
        <f t="shared" si="5"/>
        <v>1.8200149284622774E-4</v>
      </c>
      <c r="M30" s="47">
        <f t="shared" si="6"/>
        <v>3.1556477855160665E-4</v>
      </c>
      <c r="N30" s="48">
        <f t="shared" si="7"/>
        <v>0.99999999999999989</v>
      </c>
      <c r="O30" s="49">
        <f t="shared" si="8"/>
        <v>0.25205827325499136</v>
      </c>
      <c r="P30" s="49">
        <f t="shared" si="9"/>
        <v>4.9756627139783439E-4</v>
      </c>
      <c r="Q30" s="50">
        <f t="shared" si="10"/>
        <v>0.99921675756719464</v>
      </c>
      <c r="R30" s="50">
        <f t="shared" si="11"/>
        <v>7.8324243280537701E-4</v>
      </c>
      <c r="S30" s="51">
        <f>IF(R30&lt;Interface!$B$21,R30,0)</f>
        <v>7.8324243280537701E-4</v>
      </c>
    </row>
    <row r="31" spans="1:19">
      <c r="A31" s="39"/>
      <c r="B31" s="39"/>
      <c r="C31" s="89"/>
      <c r="D31" s="89"/>
      <c r="E31" s="39"/>
      <c r="F31" s="46">
        <v>30</v>
      </c>
      <c r="G31" s="47">
        <f t="shared" si="0"/>
        <v>0.75462777210523169</v>
      </c>
      <c r="H31" s="47">
        <f t="shared" si="1"/>
        <v>1.2420979089064548E-3</v>
      </c>
      <c r="I31" s="47">
        <f t="shared" si="2"/>
        <v>2.9896649420329061E-4</v>
      </c>
      <c r="J31" s="47">
        <f t="shared" si="3"/>
        <v>9.3268601046714E-2</v>
      </c>
      <c r="K31" s="47">
        <f t="shared" si="4"/>
        <v>0.15006563701204664</v>
      </c>
      <c r="L31" s="47">
        <f t="shared" si="5"/>
        <v>1.9046863409221567E-4</v>
      </c>
      <c r="M31" s="47">
        <f t="shared" si="6"/>
        <v>3.064567988057089E-4</v>
      </c>
      <c r="N31" s="48">
        <f t="shared" si="7"/>
        <v>1</v>
      </c>
      <c r="O31" s="49">
        <f t="shared" si="8"/>
        <v>0.24333423805876064</v>
      </c>
      <c r="P31" s="49">
        <f t="shared" si="9"/>
        <v>4.969254328979246E-4</v>
      </c>
      <c r="Q31" s="50">
        <f t="shared" si="10"/>
        <v>0.99920410807289883</v>
      </c>
      <c r="R31" s="50">
        <f t="shared" si="11"/>
        <v>7.958919271012152E-4</v>
      </c>
      <c r="S31" s="51">
        <f>IF(R31&lt;Interface!$B$21,R31,0)</f>
        <v>7.958919271012152E-4</v>
      </c>
    </row>
    <row r="32" spans="1:19">
      <c r="A32" s="39"/>
      <c r="B32" s="39"/>
      <c r="C32" s="89"/>
      <c r="D32" s="89"/>
      <c r="E32" s="39"/>
      <c r="F32" s="46">
        <v>31</v>
      </c>
      <c r="G32" s="47">
        <f t="shared" si="0"/>
        <v>0.76274991903095479</v>
      </c>
      <c r="H32" s="47">
        <f t="shared" si="1"/>
        <v>1.2973597719256288E-3</v>
      </c>
      <c r="I32" s="47">
        <f t="shared" si="2"/>
        <v>3.122677366669627E-4</v>
      </c>
      <c r="J32" s="47">
        <f t="shared" si="3"/>
        <v>9.4272461902702262E-2</v>
      </c>
      <c r="K32" s="47">
        <f t="shared" si="4"/>
        <v>0.14087176781364411</v>
      </c>
      <c r="L32" s="47">
        <f t="shared" si="5"/>
        <v>1.9894272578110676E-4</v>
      </c>
      <c r="M32" s="47">
        <f t="shared" si="6"/>
        <v>2.9728101832510016E-4</v>
      </c>
      <c r="N32" s="48">
        <f t="shared" si="7"/>
        <v>0.99999999999999978</v>
      </c>
      <c r="O32" s="49">
        <f t="shared" si="8"/>
        <v>0.23514422971634635</v>
      </c>
      <c r="P32" s="49">
        <f t="shared" si="9"/>
        <v>4.9622374410620694E-4</v>
      </c>
      <c r="Q32" s="50">
        <f t="shared" si="10"/>
        <v>0.99919150851922678</v>
      </c>
      <c r="R32" s="50">
        <f t="shared" si="11"/>
        <v>8.084914807731697E-4</v>
      </c>
      <c r="S32" s="51">
        <f>IF(R32&lt;Interface!$B$21,R32,0)</f>
        <v>8.084914807731697E-4</v>
      </c>
    </row>
    <row r="33" spans="1:19">
      <c r="A33" s="39"/>
      <c r="B33" s="39"/>
      <c r="C33" s="89"/>
      <c r="D33" s="89"/>
      <c r="E33" s="39"/>
      <c r="F33" s="46">
        <v>32</v>
      </c>
      <c r="G33" s="47">
        <f t="shared" si="0"/>
        <v>0.77037076119012649</v>
      </c>
      <c r="H33" s="47">
        <f t="shared" si="1"/>
        <v>1.3526365066760689E-3</v>
      </c>
      <c r="I33" s="47">
        <f t="shared" si="2"/>
        <v>3.2557255867885529E-4</v>
      </c>
      <c r="J33" s="47">
        <f t="shared" si="3"/>
        <v>9.5214363742599881E-2</v>
      </c>
      <c r="K33" s="47">
        <f t="shared" si="4"/>
        <v>0.13224116701245997</v>
      </c>
      <c r="L33" s="47">
        <f t="shared" si="5"/>
        <v>2.0741909796521529E-4</v>
      </c>
      <c r="M33" s="47">
        <f t="shared" si="6"/>
        <v>2.8807989149351069E-4</v>
      </c>
      <c r="N33" s="48">
        <f t="shared" si="7"/>
        <v>0.99999999999999989</v>
      </c>
      <c r="O33" s="49">
        <f t="shared" si="8"/>
        <v>0.22745553075505986</v>
      </c>
      <c r="P33" s="49">
        <f t="shared" si="9"/>
        <v>4.9549898945872592E-4</v>
      </c>
      <c r="Q33" s="50">
        <f t="shared" si="10"/>
        <v>0.9991789284518624</v>
      </c>
      <c r="R33" s="50">
        <f t="shared" si="11"/>
        <v>8.2107154813758115E-4</v>
      </c>
      <c r="S33" s="51">
        <f>IF(R33&lt;Interface!$B$21,R33,0)</f>
        <v>8.2107154813758115E-4</v>
      </c>
    </row>
    <row r="34" spans="1:19">
      <c r="A34" s="39"/>
      <c r="B34" s="39"/>
      <c r="C34" s="89"/>
      <c r="D34" s="89"/>
      <c r="E34" s="39"/>
      <c r="F34" s="46">
        <v>33</v>
      </c>
      <c r="G34" s="47">
        <f t="shared" ref="G34:G65" si="12">p.delivery*(1-(1-p.conception)^F34)*(1-alpha)^F34</f>
        <v>0.77752101159780496</v>
      </c>
      <c r="H34" s="47">
        <f t="shared" ref="H34:H65" si="13" xml:space="preserve"> p.delivery*(1-h.mtctx*p.mtct)*(1-(1-p.conception)^F34)*(1-(1-alpha)^F34)</f>
        <v>1.4079012064425595E-3</v>
      </c>
      <c r="I34" s="47">
        <f t="shared" ref="I34:I65" si="14">p.delivery*(h.mtctx*p.mtct)*(1-(1-p.conception)^F34)*(1-(1-alpha)^F34)</f>
        <v>3.388744839328245E-4</v>
      </c>
      <c r="J34" s="47">
        <f t="shared" ref="J34:J65" si="15">(1-p.delivery)*(1-(1-p.conception)^F34)*(1-alpha)^F34</f>
        <v>9.6098102557032064E-2</v>
      </c>
      <c r="K34" s="47">
        <f t="shared" ref="K34:K65" si="16">((1-p.conception)^F34)*(1-alpha)^F34</f>
        <v>0.12413932560249707</v>
      </c>
      <c r="L34" s="47">
        <f t="shared" ref="L34:L65" si="17">(1-p.delivery)*(1-(1-p.conception)^F34)*(1-(1-alpha)^F34)</f>
        <v>2.1589362465313731E-4</v>
      </c>
      <c r="M34" s="47">
        <f t="shared" ref="M34:M65" si="18">(1-p.conception)^F34*(1-(1-alpha)^F34)</f>
        <v>2.78890927637342E-4</v>
      </c>
      <c r="N34" s="48">
        <f t="shared" si="7"/>
        <v>0.99999999999999989</v>
      </c>
      <c r="O34" s="49">
        <f t="shared" si="8"/>
        <v>0.22023742815952912</v>
      </c>
      <c r="P34" s="49">
        <f t="shared" si="9"/>
        <v>4.9478455229047926E-4</v>
      </c>
      <c r="Q34" s="50">
        <f t="shared" si="10"/>
        <v>0.99916634096377666</v>
      </c>
      <c r="R34" s="50">
        <f t="shared" si="11"/>
        <v>8.336590362233037E-4</v>
      </c>
      <c r="S34" s="51">
        <f>IF(R34&lt;Interface!$B$21,R34,0)</f>
        <v>8.336590362233037E-4</v>
      </c>
    </row>
    <row r="35" spans="1:19">
      <c r="A35" s="39"/>
      <c r="B35" s="39"/>
      <c r="C35" s="89"/>
      <c r="D35" s="89"/>
      <c r="E35" s="39"/>
      <c r="F35" s="46">
        <v>34</v>
      </c>
      <c r="G35" s="47">
        <f t="shared" si="12"/>
        <v>0.7842295016161176</v>
      </c>
      <c r="H35" s="47">
        <f t="shared" si="13"/>
        <v>1.4631301915604229E-3</v>
      </c>
      <c r="I35" s="47">
        <f t="shared" si="14"/>
        <v>3.5216781285697522E-4</v>
      </c>
      <c r="J35" s="47">
        <f t="shared" si="15"/>
        <v>9.6927241772778561E-2</v>
      </c>
      <c r="K35" s="47">
        <f t="shared" si="16"/>
        <v>0.11653384879453442</v>
      </c>
      <c r="L35" s="47">
        <f t="shared" si="17"/>
        <v>2.2436267470327389E-4</v>
      </c>
      <c r="M35" s="47">
        <f t="shared" si="18"/>
        <v>2.6974713744873667E-4</v>
      </c>
      <c r="N35" s="48">
        <f t="shared" si="7"/>
        <v>1</v>
      </c>
      <c r="O35" s="49">
        <f t="shared" si="8"/>
        <v>0.21346109056731299</v>
      </c>
      <c r="P35" s="49">
        <f t="shared" si="9"/>
        <v>4.9410981215201053E-4</v>
      </c>
      <c r="Q35" s="50">
        <f t="shared" si="10"/>
        <v>0.999153722374991</v>
      </c>
      <c r="R35" s="50">
        <f t="shared" si="11"/>
        <v>8.4627762500898574E-4</v>
      </c>
      <c r="S35" s="51">
        <f>IF(R35&lt;Interface!$B$21,R35,0)</f>
        <v>8.4627762500898574E-4</v>
      </c>
    </row>
    <row r="36" spans="1:19">
      <c r="A36" s="39"/>
      <c r="B36" s="39"/>
      <c r="C36" s="89"/>
      <c r="D36" s="89"/>
      <c r="E36" s="39"/>
      <c r="F36" s="46">
        <v>35</v>
      </c>
      <c r="G36" s="47">
        <f t="shared" si="12"/>
        <v>0.7905232962349561</v>
      </c>
      <c r="H36" s="47">
        <f t="shared" si="13"/>
        <v>1.5183027150957138E-3</v>
      </c>
      <c r="I36" s="47">
        <f t="shared" si="14"/>
        <v>3.654475517724175E-4</v>
      </c>
      <c r="J36" s="47">
        <f t="shared" si="15"/>
        <v>9.7705126500949618E-2</v>
      </c>
      <c r="K36" s="47">
        <f t="shared" si="16"/>
        <v>0.10939432648725658</v>
      </c>
      <c r="L36" s="47">
        <f t="shared" si="17"/>
        <v>2.3282306669156674E-4</v>
      </c>
      <c r="M36" s="47">
        <f t="shared" si="18"/>
        <v>2.606774432780047E-4</v>
      </c>
      <c r="N36" s="48">
        <f t="shared" si="7"/>
        <v>0.99999999999999989</v>
      </c>
      <c r="O36" s="49">
        <f t="shared" si="8"/>
        <v>0.2070994529882062</v>
      </c>
      <c r="P36" s="49">
        <f t="shared" si="9"/>
        <v>4.9350050996957147E-4</v>
      </c>
      <c r="Q36" s="50">
        <f t="shared" si="10"/>
        <v>0.99914105193825797</v>
      </c>
      <c r="R36" s="50">
        <f t="shared" si="11"/>
        <v>8.5894806174198891E-4</v>
      </c>
      <c r="S36" s="51">
        <f>IF(R36&lt;Interface!$B$21,R36,0)</f>
        <v>8.5894806174198891E-4</v>
      </c>
    </row>
    <row r="37" spans="1:19">
      <c r="A37" s="39"/>
      <c r="B37" s="39"/>
      <c r="C37" s="89"/>
      <c r="D37" s="89"/>
      <c r="E37" s="39"/>
      <c r="F37" s="46">
        <v>36</v>
      </c>
      <c r="G37" s="47">
        <f t="shared" si="12"/>
        <v>0.79642780228992371</v>
      </c>
      <c r="H37" s="47">
        <f t="shared" si="13"/>
        <v>1.5734006924712986E-3</v>
      </c>
      <c r="I37" s="47">
        <f t="shared" si="14"/>
        <v>3.7870934781567234E-4</v>
      </c>
      <c r="J37" s="47">
        <f t="shared" si="15"/>
        <v>9.8434896912237752E-2</v>
      </c>
      <c r="K37" s="47">
        <f t="shared" si="16"/>
        <v>0.1026922116740536</v>
      </c>
      <c r="L37" s="47">
        <f t="shared" si="17"/>
        <v>2.4127202745119857E-4</v>
      </c>
      <c r="M37" s="47">
        <f t="shared" si="18"/>
        <v>2.51707056046769E-4</v>
      </c>
      <c r="N37" s="48">
        <f t="shared" si="7"/>
        <v>1</v>
      </c>
      <c r="O37" s="49">
        <f t="shared" si="8"/>
        <v>0.20112710858629135</v>
      </c>
      <c r="P37" s="49">
        <f t="shared" si="9"/>
        <v>4.929790834979676E-4</v>
      </c>
      <c r="Q37" s="50">
        <f t="shared" si="10"/>
        <v>0.99912831156868642</v>
      </c>
      <c r="R37" s="50">
        <f t="shared" si="11"/>
        <v>8.7168843131363999E-4</v>
      </c>
      <c r="S37" s="51">
        <f>IF(R37&lt;Interface!$B$21,R37,0)</f>
        <v>8.7168843131363999E-4</v>
      </c>
    </row>
    <row r="38" spans="1:19">
      <c r="A38" s="39"/>
      <c r="B38" s="39"/>
      <c r="C38" s="89"/>
      <c r="D38" s="89"/>
      <c r="E38" s="39"/>
      <c r="F38" s="46">
        <v>37</v>
      </c>
      <c r="G38" s="47">
        <f t="shared" si="12"/>
        <v>0.80196687005024103</v>
      </c>
      <c r="H38" s="47">
        <f t="shared" si="13"/>
        <v>1.6284084532067371E-3</v>
      </c>
      <c r="I38" s="47">
        <f t="shared" si="14"/>
        <v>3.9194942918375559E-4</v>
      </c>
      <c r="J38" s="47">
        <f t="shared" si="15"/>
        <v>9.9119500792726412E-2</v>
      </c>
      <c r="K38" s="47">
        <f t="shared" si="16"/>
        <v>9.6400706299307984E-2</v>
      </c>
      <c r="L38" s="47">
        <f t="shared" si="17"/>
        <v>2.4970715400331927E-4</v>
      </c>
      <c r="M38" s="47">
        <f t="shared" si="18"/>
        <v>2.4285782133071939E-4</v>
      </c>
      <c r="N38" s="48">
        <f t="shared" si="7"/>
        <v>1</v>
      </c>
      <c r="O38" s="49">
        <f t="shared" si="8"/>
        <v>0.19552020709203438</v>
      </c>
      <c r="P38" s="49">
        <f t="shared" si="9"/>
        <v>4.925649753340386E-4</v>
      </c>
      <c r="Q38" s="50">
        <f t="shared" si="10"/>
        <v>0.99911548559548213</v>
      </c>
      <c r="R38" s="50">
        <f t="shared" si="11"/>
        <v>8.8451440451779413E-4</v>
      </c>
      <c r="S38" s="51">
        <f>IF(R38&lt;Interface!$B$21,R38,0)</f>
        <v>8.8451440451779413E-4</v>
      </c>
    </row>
    <row r="39" spans="1:19">
      <c r="A39" s="39"/>
      <c r="B39" s="39"/>
      <c r="C39" s="89"/>
      <c r="D39" s="89"/>
      <c r="E39" s="39"/>
      <c r="F39" s="46">
        <v>38</v>
      </c>
      <c r="G39" s="47">
        <f t="shared" si="12"/>
        <v>0.80716288858280061</v>
      </c>
      <c r="H39" s="47">
        <f t="shared" si="13"/>
        <v>1.6833125130808397E-3</v>
      </c>
      <c r="I39" s="47">
        <f t="shared" si="14"/>
        <v>4.0516455029489192E-4</v>
      </c>
      <c r="J39" s="47">
        <f t="shared" si="15"/>
        <v>9.97617053304585E-2</v>
      </c>
      <c r="K39" s="47">
        <f t="shared" si="16"/>
        <v>9.0494654107770564E-2</v>
      </c>
      <c r="L39" s="47">
        <f t="shared" si="17"/>
        <v>2.5812637861947238E-4</v>
      </c>
      <c r="M39" s="47">
        <f t="shared" si="18"/>
        <v>2.3414853697502664E-4</v>
      </c>
      <c r="N39" s="48">
        <f t="shared" si="7"/>
        <v>0.99999999999999989</v>
      </c>
      <c r="O39" s="49">
        <f t="shared" si="8"/>
        <v>0.19025635943822905</v>
      </c>
      <c r="P39" s="49">
        <f t="shared" si="9"/>
        <v>4.9227491559449899E-4</v>
      </c>
      <c r="Q39" s="50">
        <f t="shared" si="10"/>
        <v>0.99910256053411051</v>
      </c>
      <c r="R39" s="50">
        <f t="shared" si="11"/>
        <v>8.9743946588939096E-4</v>
      </c>
      <c r="S39" s="51">
        <f>IF(R39&lt;Interface!$B$21,R39,0)</f>
        <v>8.9743946588939096E-4</v>
      </c>
    </row>
    <row r="40" spans="1:19">
      <c r="A40" s="39"/>
      <c r="B40" s="39"/>
      <c r="C40" s="89"/>
      <c r="D40" s="89"/>
      <c r="E40" s="39"/>
      <c r="F40" s="46">
        <v>39</v>
      </c>
      <c r="G40" s="47">
        <f t="shared" si="12"/>
        <v>0.81203687527368185</v>
      </c>
      <c r="H40" s="47">
        <f t="shared" si="13"/>
        <v>1.7381013651440946E-3</v>
      </c>
      <c r="I40" s="47">
        <f t="shared" si="14"/>
        <v>4.1835194148629574E-4</v>
      </c>
      <c r="J40" s="47">
        <f t="shared" si="15"/>
        <v>0.10036410817989325</v>
      </c>
      <c r="K40" s="47">
        <f t="shared" si="16"/>
        <v>8.4950440058589316E-2</v>
      </c>
      <c r="L40" s="47">
        <f t="shared" si="17"/>
        <v>2.6652793677454256E-4</v>
      </c>
      <c r="M40" s="47">
        <f t="shared" si="18"/>
        <v>2.2559524443063051E-4</v>
      </c>
      <c r="N40" s="48">
        <f t="shared" si="7"/>
        <v>1</v>
      </c>
      <c r="O40" s="49">
        <f t="shared" si="8"/>
        <v>0.18531454823848256</v>
      </c>
      <c r="P40" s="49">
        <f t="shared" si="9"/>
        <v>4.9212318120517306E-4</v>
      </c>
      <c r="Q40" s="50">
        <f t="shared" si="10"/>
        <v>0.99908952487730851</v>
      </c>
      <c r="R40" s="50">
        <f t="shared" si="11"/>
        <v>9.1047512269146875E-4</v>
      </c>
      <c r="S40" s="51">
        <f>IF(R40&lt;Interface!$B$21,R40,0)</f>
        <v>9.1047512269146875E-4</v>
      </c>
    </row>
    <row r="41" spans="1:19">
      <c r="A41" s="39"/>
      <c r="B41" s="39"/>
      <c r="C41" s="89"/>
      <c r="D41" s="89"/>
      <c r="E41" s="39"/>
      <c r="F41" s="46">
        <v>40</v>
      </c>
      <c r="G41" s="47">
        <f t="shared" si="12"/>
        <v>0.8166085598650703</v>
      </c>
      <c r="H41" s="47">
        <f t="shared" si="13"/>
        <v>1.7927652881284957E-3</v>
      </c>
      <c r="I41" s="47">
        <f t="shared" si="14"/>
        <v>4.3150926289941454E-4</v>
      </c>
      <c r="J41" s="47">
        <f t="shared" si="15"/>
        <v>0.10092914784849182</v>
      </c>
      <c r="K41" s="47">
        <f t="shared" si="16"/>
        <v>7.9745895901803379E-2</v>
      </c>
      <c r="L41" s="47">
        <f t="shared" si="17"/>
        <v>2.7491033776749443E-4</v>
      </c>
      <c r="M41" s="47">
        <f t="shared" si="18"/>
        <v>2.1721149583909632E-4</v>
      </c>
      <c r="N41" s="48">
        <f t="shared" si="7"/>
        <v>1</v>
      </c>
      <c r="O41" s="49">
        <f t="shared" si="8"/>
        <v>0.18067504375029519</v>
      </c>
      <c r="P41" s="49">
        <f t="shared" si="9"/>
        <v>4.9212183360659075E-4</v>
      </c>
      <c r="Q41" s="50">
        <f t="shared" si="10"/>
        <v>0.99907636890349405</v>
      </c>
      <c r="R41" s="50">
        <f t="shared" si="11"/>
        <v>9.2363109650600529E-4</v>
      </c>
      <c r="S41" s="51">
        <f>IF(R41&lt;Interface!$B$21,R41,0)</f>
        <v>9.2363109650600529E-4</v>
      </c>
    </row>
    <row r="42" spans="1:19">
      <c r="A42" s="39"/>
      <c r="B42" s="39"/>
      <c r="C42" s="89"/>
      <c r="D42" s="89"/>
      <c r="E42" s="39"/>
      <c r="F42" s="46">
        <v>41</v>
      </c>
      <c r="G42" s="47">
        <f t="shared" si="12"/>
        <v>0.82089646334360278</v>
      </c>
      <c r="H42" s="47">
        <f t="shared" si="13"/>
        <v>1.8472961709059034E-3</v>
      </c>
      <c r="I42" s="47">
        <f t="shared" si="14"/>
        <v>4.4463456222797171E-4</v>
      </c>
      <c r="J42" s="47">
        <f t="shared" si="15"/>
        <v>0.10145911344696211</v>
      </c>
      <c r="K42" s="47">
        <f t="shared" si="16"/>
        <v>7.4860211539754862E-2</v>
      </c>
      <c r="L42" s="47">
        <f t="shared" si="17"/>
        <v>2.8327233780306313E-4</v>
      </c>
      <c r="M42" s="47">
        <f t="shared" si="18"/>
        <v>2.0900859874340986E-4</v>
      </c>
      <c r="N42" s="48">
        <f t="shared" si="7"/>
        <v>1.0000000000000002</v>
      </c>
      <c r="O42" s="49">
        <f t="shared" si="8"/>
        <v>0.17631932498671699</v>
      </c>
      <c r="P42" s="49">
        <f t="shared" si="9"/>
        <v>4.9228093654647297E-4</v>
      </c>
      <c r="Q42" s="50">
        <f t="shared" si="10"/>
        <v>0.99906308450122561</v>
      </c>
      <c r="R42" s="50">
        <f t="shared" si="11"/>
        <v>9.3691549877444468E-4</v>
      </c>
      <c r="S42" s="51">
        <f>IF(R42&lt;Interface!$B$21,R42,0)</f>
        <v>9.3691549877444468E-4</v>
      </c>
    </row>
    <row r="43" spans="1:19">
      <c r="A43" s="39"/>
      <c r="B43" s="39"/>
      <c r="C43" s="89"/>
      <c r="D43" s="89"/>
      <c r="E43" s="39"/>
      <c r="F43" s="46">
        <v>42</v>
      </c>
      <c r="G43" s="47">
        <f t="shared" si="12"/>
        <v>0.82491797199556349</v>
      </c>
      <c r="H43" s="47">
        <f t="shared" si="13"/>
        <v>1.901687351750306E-3</v>
      </c>
      <c r="I43" s="47">
        <f t="shared" si="14"/>
        <v>4.5772623602922995E-4</v>
      </c>
      <c r="J43" s="47">
        <f t="shared" si="15"/>
        <v>0.10195615384214829</v>
      </c>
      <c r="K43" s="47">
        <f t="shared" si="16"/>
        <v>7.0273851819001476E-2</v>
      </c>
      <c r="L43" s="47">
        <f t="shared" si="17"/>
        <v>2.9161291534353807E-4</v>
      </c>
      <c r="M43" s="47">
        <f t="shared" si="18"/>
        <v>2.0099584016366835E-4</v>
      </c>
      <c r="N43" s="48">
        <f t="shared" si="7"/>
        <v>1</v>
      </c>
      <c r="O43" s="49">
        <f t="shared" si="8"/>
        <v>0.17223000566114977</v>
      </c>
      <c r="P43" s="49">
        <f t="shared" si="9"/>
        <v>4.9260875550720645E-4</v>
      </c>
      <c r="Q43" s="50">
        <f t="shared" si="10"/>
        <v>0.99904966500846359</v>
      </c>
      <c r="R43" s="50">
        <f t="shared" si="11"/>
        <v>9.5033499153643645E-4</v>
      </c>
      <c r="S43" s="51">
        <f>IF(R43&lt;Interface!$B$21,R43,0)</f>
        <v>9.5033499153643645E-4</v>
      </c>
    </row>
    <row r="44" spans="1:19">
      <c r="A44" s="39"/>
      <c r="B44" s="39"/>
      <c r="C44" s="89"/>
      <c r="D44" s="89"/>
      <c r="E44" s="39"/>
      <c r="F44" s="46">
        <v>43</v>
      </c>
      <c r="G44" s="47">
        <f t="shared" si="12"/>
        <v>0.828689406925043</v>
      </c>
      <c r="H44" s="47">
        <f t="shared" si="13"/>
        <v>1.9559334712471003E-3</v>
      </c>
      <c r="I44" s="47">
        <f t="shared" si="14"/>
        <v>4.7078299432002166E-4</v>
      </c>
      <c r="J44" s="47">
        <f t="shared" si="15"/>
        <v>0.10242228624916261</v>
      </c>
      <c r="K44" s="47">
        <f t="shared" si="16"/>
        <v>6.5968478420027024E-2</v>
      </c>
      <c r="L44" s="47">
        <f t="shared" si="17"/>
        <v>2.9993124855323976E-4</v>
      </c>
      <c r="M44" s="47">
        <f t="shared" si="18"/>
        <v>1.9318069164696007E-4</v>
      </c>
      <c r="N44" s="48">
        <f t="shared" si="7"/>
        <v>1</v>
      </c>
      <c r="O44" s="49">
        <f t="shared" si="8"/>
        <v>0.16839076466918962</v>
      </c>
      <c r="P44" s="49">
        <f t="shared" si="9"/>
        <v>4.9311194020019988E-4</v>
      </c>
      <c r="Q44" s="50">
        <f t="shared" si="10"/>
        <v>0.99903610506547968</v>
      </c>
      <c r="R44" s="50">
        <f t="shared" si="11"/>
        <v>9.6389493452022149E-4</v>
      </c>
      <c r="S44" s="51">
        <f>IF(R44&lt;Interface!$B$21,R44,0)</f>
        <v>9.6389493452022149E-4</v>
      </c>
    </row>
    <row r="45" spans="1:19">
      <c r="A45" s="39"/>
      <c r="B45" s="39"/>
      <c r="C45" s="89"/>
      <c r="D45" s="89"/>
      <c r="E45" s="39"/>
      <c r="F45" s="46">
        <v>44</v>
      </c>
      <c r="G45" s="47">
        <f t="shared" si="12"/>
        <v>0.83222608931301967</v>
      </c>
      <c r="H45" s="47">
        <f t="shared" si="13"/>
        <v>2.0100303377817586E-3</v>
      </c>
      <c r="I45" s="47">
        <f t="shared" si="14"/>
        <v>4.8380382820057202E-4</v>
      </c>
      <c r="J45" s="47">
        <f t="shared" si="15"/>
        <v>0.10285940429711478</v>
      </c>
      <c r="K45" s="47">
        <f t="shared" si="16"/>
        <v>6.1926876532429793E-2</v>
      </c>
      <c r="L45" s="47">
        <f t="shared" si="17"/>
        <v>3.0822669467197336E-4</v>
      </c>
      <c r="M45" s="47">
        <f t="shared" si="18"/>
        <v>1.8556899678142153E-4</v>
      </c>
      <c r="N45" s="48">
        <f t="shared" si="7"/>
        <v>1</v>
      </c>
      <c r="O45" s="49">
        <f t="shared" si="8"/>
        <v>0.16478628082954458</v>
      </c>
      <c r="P45" s="49">
        <f t="shared" si="9"/>
        <v>4.9379569145339486E-4</v>
      </c>
      <c r="Q45" s="50">
        <f t="shared" si="10"/>
        <v>0.99902240048034607</v>
      </c>
      <c r="R45" s="50">
        <f t="shared" si="11"/>
        <v>9.77599519653967E-4</v>
      </c>
      <c r="S45" s="51">
        <f>IF(R45&lt;Interface!$B$21,R45,0)</f>
        <v>9.77599519653967E-4</v>
      </c>
    </row>
    <row r="46" spans="1:19">
      <c r="A46" s="39"/>
      <c r="B46" s="39"/>
      <c r="C46" s="89"/>
      <c r="D46" s="89"/>
      <c r="E46" s="39"/>
      <c r="F46" s="46">
        <v>45</v>
      </c>
      <c r="G46" s="47">
        <f t="shared" si="12"/>
        <v>0.83554240167830229</v>
      </c>
      <c r="H46" s="47">
        <f t="shared" si="13"/>
        <v>2.0639748046184974E-3</v>
      </c>
      <c r="I46" s="47">
        <f t="shared" si="14"/>
        <v>4.9678798026797568E-4</v>
      </c>
      <c r="J46" s="47">
        <f t="shared" si="15"/>
        <v>0.10326928560068903</v>
      </c>
      <c r="K46" s="47">
        <f t="shared" si="16"/>
        <v>5.8132886022403317E-2</v>
      </c>
      <c r="L46" s="47">
        <f t="shared" si="17"/>
        <v>3.1649877116574375E-4</v>
      </c>
      <c r="M46" s="47">
        <f t="shared" si="18"/>
        <v>1.7816514255315164E-4</v>
      </c>
      <c r="N46" s="48">
        <f t="shared" si="7"/>
        <v>1</v>
      </c>
      <c r="O46" s="49">
        <f t="shared" si="8"/>
        <v>0.16140217162309234</v>
      </c>
      <c r="P46" s="49">
        <f t="shared" si="9"/>
        <v>4.9466391371889536E-4</v>
      </c>
      <c r="Q46" s="50">
        <f t="shared" si="10"/>
        <v>0.99900854810601314</v>
      </c>
      <c r="R46" s="50">
        <f t="shared" si="11"/>
        <v>9.9145189398687104E-4</v>
      </c>
      <c r="S46" s="51">
        <f>IF(R46&lt;Interface!$B$21,R46,0)</f>
        <v>9.9145189398687104E-4</v>
      </c>
    </row>
    <row r="47" spans="1:19">
      <c r="A47" s="39"/>
      <c r="B47" s="39"/>
      <c r="C47" s="89"/>
      <c r="D47" s="89"/>
      <c r="E47" s="39"/>
      <c r="F47" s="46">
        <v>46</v>
      </c>
      <c r="G47" s="47">
        <f t="shared" si="12"/>
        <v>0.83865184538528004</v>
      </c>
      <c r="H47" s="47">
        <f t="shared" si="13"/>
        <v>2.1177646576544993E-3</v>
      </c>
      <c r="I47" s="47">
        <f t="shared" si="14"/>
        <v>5.0973491759922183E-4</v>
      </c>
      <c r="J47" s="47">
        <f t="shared" si="15"/>
        <v>0.10365359886784359</v>
      </c>
      <c r="K47" s="47">
        <f t="shared" si="16"/>
        <v>5.4571336817286389E-2</v>
      </c>
      <c r="L47" s="47">
        <f t="shared" si="17"/>
        <v>3.2474713851450473E-4</v>
      </c>
      <c r="M47" s="47">
        <f t="shared" si="18"/>
        <v>1.709722158216626E-4</v>
      </c>
      <c r="N47" s="48">
        <f t="shared" si="7"/>
        <v>0.99999999999999989</v>
      </c>
      <c r="O47" s="49">
        <f t="shared" si="8"/>
        <v>0.15822493568512996</v>
      </c>
      <c r="P47" s="49">
        <f t="shared" si="9"/>
        <v>4.9571935433616733E-4</v>
      </c>
      <c r="Q47" s="50">
        <f t="shared" si="10"/>
        <v>0.99899454572806445</v>
      </c>
      <c r="R47" s="50">
        <f t="shared" si="11"/>
        <v>1.0054542719353892E-3</v>
      </c>
      <c r="S47" s="51">
        <f>IF(R47&lt;Interface!$B$21,R47,0)</f>
        <v>1.0054542719353892E-3</v>
      </c>
    </row>
    <row r="48" spans="1:19">
      <c r="A48" s="39"/>
      <c r="B48" s="39"/>
      <c r="C48" s="89"/>
      <c r="D48" s="89"/>
      <c r="E48" s="39"/>
      <c r="F48" s="46">
        <v>47</v>
      </c>
      <c r="G48" s="47">
        <f t="shared" si="12"/>
        <v>0.84156709462842416</v>
      </c>
      <c r="H48" s="47">
        <f t="shared" si="13"/>
        <v>2.1713985130021049E-3</v>
      </c>
      <c r="I48" s="47">
        <f t="shared" si="14"/>
        <v>5.2264430709976224E-4</v>
      </c>
      <c r="J48" s="47">
        <f t="shared" si="15"/>
        <v>0.10401391057205242</v>
      </c>
      <c r="K48" s="47">
        <f t="shared" si="16"/>
        <v>5.122798824882082E-2</v>
      </c>
      <c r="L48" s="47">
        <f t="shared" si="17"/>
        <v>3.3297158450697233E-4</v>
      </c>
      <c r="M48" s="47">
        <f t="shared" si="18"/>
        <v>1.6399214609375153E-4</v>
      </c>
      <c r="N48" s="48">
        <f t="shared" si="7"/>
        <v>1</v>
      </c>
      <c r="O48" s="49">
        <f t="shared" si="8"/>
        <v>0.15524189882087325</v>
      </c>
      <c r="P48" s="49">
        <f t="shared" si="9"/>
        <v>4.9696373060072381E-4</v>
      </c>
      <c r="Q48" s="50">
        <f t="shared" si="10"/>
        <v>0.99898039196229949</v>
      </c>
      <c r="R48" s="50">
        <f t="shared" si="11"/>
        <v>1.0196080377004859E-3</v>
      </c>
      <c r="S48" s="51">
        <f>IF(R48&lt;Interface!$B$21,R48,0)</f>
        <v>1.0196080377004859E-3</v>
      </c>
    </row>
    <row r="49" spans="1:19">
      <c r="A49" s="39"/>
      <c r="B49" s="39"/>
      <c r="C49" s="89"/>
      <c r="D49" s="89"/>
      <c r="E49" s="39"/>
      <c r="F49" s="46">
        <v>48</v>
      </c>
      <c r="G49" s="47">
        <f t="shared" si="12"/>
        <v>0.84430004710939133</v>
      </c>
      <c r="H49" s="47">
        <f t="shared" si="13"/>
        <v>2.2248757236177398E-3</v>
      </c>
      <c r="I49" s="47">
        <f t="shared" si="14"/>
        <v>5.3551599302957998E-4</v>
      </c>
      <c r="J49" s="47">
        <f t="shared" si="15"/>
        <v>0.10435169121576746</v>
      </c>
      <c r="K49" s="47">
        <f t="shared" si="16"/>
        <v>4.8089472112584034E-2</v>
      </c>
      <c r="L49" s="47">
        <f t="shared" si="17"/>
        <v>3.4117200992270235E-4</v>
      </c>
      <c r="M49" s="47">
        <f t="shared" si="18"/>
        <v>1.5722583568720337E-4</v>
      </c>
      <c r="N49" s="48">
        <f t="shared" si="7"/>
        <v>1</v>
      </c>
      <c r="O49" s="49">
        <f t="shared" si="8"/>
        <v>0.1524411633283515</v>
      </c>
      <c r="P49" s="49">
        <f t="shared" si="9"/>
        <v>4.983978456099057E-4</v>
      </c>
      <c r="Q49" s="50">
        <f t="shared" si="10"/>
        <v>0.99896608616136051</v>
      </c>
      <c r="R49" s="50">
        <f t="shared" si="11"/>
        <v>1.0339138386394856E-3</v>
      </c>
      <c r="S49" s="51">
        <f>IF(R49&lt;Interface!$B$21,R49,0)</f>
        <v>1.0339138386394856E-3</v>
      </c>
    </row>
    <row r="50" spans="1:19">
      <c r="A50" s="39"/>
      <c r="B50" s="39"/>
      <c r="C50" s="89"/>
      <c r="D50" s="89"/>
      <c r="E50" s="39"/>
      <c r="F50" s="46">
        <v>49</v>
      </c>
      <c r="G50" s="47">
        <f t="shared" si="12"/>
        <v>0.84686187160936421</v>
      </c>
      <c r="H50" s="47">
        <f t="shared" si="13"/>
        <v>2.2781962942516661E-3</v>
      </c>
      <c r="I50" s="47">
        <f t="shared" si="14"/>
        <v>5.4834997653203878E-4</v>
      </c>
      <c r="J50" s="47">
        <f t="shared" si="15"/>
        <v>0.10466832121014613</v>
      </c>
      <c r="K50" s="47">
        <f t="shared" si="16"/>
        <v>4.5143239215922747E-2</v>
      </c>
      <c r="L50" s="47">
        <f t="shared" si="17"/>
        <v>3.493484154901208E-4</v>
      </c>
      <c r="M50" s="47">
        <f t="shared" si="18"/>
        <v>1.506732782931589E-4</v>
      </c>
      <c r="N50" s="48">
        <f t="shared" si="7"/>
        <v>1.0000000000000002</v>
      </c>
      <c r="O50" s="49">
        <f t="shared" si="8"/>
        <v>0.14981156042606888</v>
      </c>
      <c r="P50" s="49">
        <f t="shared" si="9"/>
        <v>5.0002169378327976E-4</v>
      </c>
      <c r="Q50" s="50">
        <f t="shared" si="10"/>
        <v>0.99895162832968476</v>
      </c>
      <c r="R50" s="50">
        <f t="shared" si="11"/>
        <v>1.0483716703153186E-3</v>
      </c>
      <c r="S50" s="51">
        <f>IF(R50&lt;Interface!$B$21,R50,0)</f>
        <v>1.0483716703153186E-3</v>
      </c>
    </row>
    <row r="51" spans="1:19">
      <c r="A51" s="39"/>
      <c r="B51" s="39"/>
      <c r="C51" s="89"/>
      <c r="D51" s="89"/>
      <c r="E51" s="39"/>
      <c r="F51" s="46">
        <v>50</v>
      </c>
      <c r="G51" s="47">
        <f t="shared" si="12"/>
        <v>0.84926305264683921</v>
      </c>
      <c r="H51" s="47">
        <f t="shared" si="13"/>
        <v>2.3313608040519836E-3</v>
      </c>
      <c r="I51" s="47">
        <f t="shared" si="14"/>
        <v>5.6114639700506792E-4</v>
      </c>
      <c r="J51" s="47">
        <f t="shared" si="15"/>
        <v>0.10496509639455313</v>
      </c>
      <c r="K51" s="47">
        <f t="shared" si="16"/>
        <v>4.2377509200662342E-2</v>
      </c>
      <c r="L51" s="47">
        <f t="shared" si="17"/>
        <v>3.5750089001828717E-4</v>
      </c>
      <c r="M51" s="47">
        <f t="shared" si="18"/>
        <v>1.4433366687005781E-4</v>
      </c>
      <c r="N51" s="48">
        <f t="shared" si="7"/>
        <v>1</v>
      </c>
      <c r="O51" s="49">
        <f t="shared" si="8"/>
        <v>0.14734260559521548</v>
      </c>
      <c r="P51" s="49">
        <f t="shared" si="9"/>
        <v>5.0183455688834495E-4</v>
      </c>
      <c r="Q51" s="50">
        <f t="shared" si="10"/>
        <v>0.99893701904610666</v>
      </c>
      <c r="R51" s="50">
        <f t="shared" si="11"/>
        <v>1.0629809538934129E-3</v>
      </c>
      <c r="S51" s="51">
        <f>IF(R51&lt;Interface!$B$21,R51,0)</f>
        <v>1.0629809538934129E-3</v>
      </c>
    </row>
    <row r="52" spans="1:19">
      <c r="A52" s="39"/>
      <c r="B52" s="39"/>
      <c r="C52" s="89"/>
      <c r="D52" s="89"/>
      <c r="E52" s="39"/>
      <c r="F52" s="46">
        <v>51</v>
      </c>
      <c r="G52" s="47">
        <f t="shared" si="12"/>
        <v>0.85151343239942678</v>
      </c>
      <c r="H52" s="47">
        <f t="shared" si="13"/>
        <v>2.3843703362022559E-3</v>
      </c>
      <c r="I52" s="47">
        <f t="shared" si="14"/>
        <v>5.7390551516530721E-4</v>
      </c>
      <c r="J52" s="47">
        <f t="shared" si="15"/>
        <v>0.10524323321790666</v>
      </c>
      <c r="K52" s="47">
        <f t="shared" si="16"/>
        <v>3.9781223439960753E-2</v>
      </c>
      <c r="L52" s="47">
        <f t="shared" si="17"/>
        <v>3.6562959960722684E-4</v>
      </c>
      <c r="M52" s="47">
        <f t="shared" si="18"/>
        <v>1.3820549173097505E-4</v>
      </c>
      <c r="N52" s="48">
        <f t="shared" si="7"/>
        <v>0.99999999999999978</v>
      </c>
      <c r="O52" s="49">
        <f t="shared" si="8"/>
        <v>0.1450244566578674</v>
      </c>
      <c r="P52" s="49">
        <f t="shared" si="9"/>
        <v>5.0383509133820187E-4</v>
      </c>
      <c r="Q52" s="50">
        <f t="shared" si="10"/>
        <v>0.99892225939349644</v>
      </c>
      <c r="R52" s="50">
        <f t="shared" si="11"/>
        <v>1.0777406065035091E-3</v>
      </c>
      <c r="S52" s="51">
        <f>IF(R52&lt;Interface!$B$21,R52,0)</f>
        <v>1.0777406065035091E-3</v>
      </c>
    </row>
    <row r="53" spans="1:19">
      <c r="A53" s="39"/>
      <c r="B53" s="39"/>
      <c r="C53" s="89"/>
      <c r="D53" s="89"/>
      <c r="E53" s="39"/>
      <c r="F53" s="46">
        <v>52</v>
      </c>
      <c r="G53" s="47">
        <f t="shared" si="12"/>
        <v>0.85362225005728531</v>
      </c>
      <c r="H53" s="47">
        <f t="shared" si="13"/>
        <v>2.4372264140231428E-3</v>
      </c>
      <c r="I53" s="47">
        <f t="shared" si="14"/>
        <v>5.8662769766810129E-4</v>
      </c>
      <c r="J53" s="47">
        <f t="shared" si="15"/>
        <v>0.10550387360258581</v>
      </c>
      <c r="K53" s="47">
        <f t="shared" si="16"/>
        <v>3.7344000820967289E-2</v>
      </c>
      <c r="L53" s="47">
        <f t="shared" si="17"/>
        <v>3.7373477784947951E-4</v>
      </c>
      <c r="M53" s="47">
        <f t="shared" si="18"/>
        <v>1.3228662962089499E-4</v>
      </c>
      <c r="N53" s="48">
        <f t="shared" si="7"/>
        <v>1.0000000000000002</v>
      </c>
      <c r="O53" s="49">
        <f t="shared" si="8"/>
        <v>0.1428478744235531</v>
      </c>
      <c r="P53" s="49">
        <f t="shared" si="9"/>
        <v>5.0602140747037444E-4</v>
      </c>
      <c r="Q53" s="50">
        <f t="shared" si="10"/>
        <v>0.9989073508948616</v>
      </c>
      <c r="R53" s="50">
        <f t="shared" si="11"/>
        <v>1.0926491051384758E-3</v>
      </c>
      <c r="S53" s="51">
        <f>IF(R53&lt;Interface!$B$21,R53,0)</f>
        <v>1.0926491051384758E-3</v>
      </c>
    </row>
    <row r="54" spans="1:19">
      <c r="A54" s="39"/>
      <c r="B54" s="39"/>
      <c r="C54" s="89"/>
      <c r="D54" s="89"/>
      <c r="E54" s="39"/>
      <c r="F54" s="46">
        <v>53</v>
      </c>
      <c r="G54" s="47">
        <f t="shared" si="12"/>
        <v>0.85559817876554023</v>
      </c>
      <c r="H54" s="47">
        <f t="shared" si="13"/>
        <v>2.489930943009081E-3</v>
      </c>
      <c r="I54" s="47">
        <f t="shared" si="14"/>
        <v>5.9931340315603186E-4</v>
      </c>
      <c r="J54" s="47">
        <f t="shared" si="15"/>
        <v>0.10574808951034767</v>
      </c>
      <c r="K54" s="47">
        <f t="shared" si="16"/>
        <v>3.5056096236485708E-2</v>
      </c>
      <c r="L54" s="47">
        <f t="shared" si="17"/>
        <v>3.8181671694175547E-4</v>
      </c>
      <c r="M54" s="47">
        <f t="shared" si="18"/>
        <v>1.2657442451950352E-4</v>
      </c>
      <c r="N54" s="48">
        <f t="shared" si="7"/>
        <v>0.99999999999999989</v>
      </c>
      <c r="O54" s="49">
        <f t="shared" si="8"/>
        <v>0.14080418574683337</v>
      </c>
      <c r="P54" s="49">
        <f t="shared" si="9"/>
        <v>5.0839114146125901E-4</v>
      </c>
      <c r="Q54" s="50">
        <f t="shared" si="10"/>
        <v>0.99889229545538272</v>
      </c>
      <c r="R54" s="50">
        <f t="shared" si="11"/>
        <v>1.1077045446172909E-3</v>
      </c>
      <c r="S54" s="51">
        <f>IF(R54&lt;Interface!$B$21,R54,0)</f>
        <v>1.1077045446172909E-3</v>
      </c>
    </row>
    <row r="55" spans="1:19">
      <c r="A55" s="39"/>
      <c r="B55" s="39"/>
      <c r="C55" s="89"/>
      <c r="D55" s="89"/>
      <c r="E55" s="39"/>
      <c r="F55" s="46">
        <v>54</v>
      </c>
      <c r="G55" s="47">
        <f t="shared" si="12"/>
        <v>0.85744936030340346</v>
      </c>
      <c r="H55" s="47">
        <f t="shared" si="13"/>
        <v>2.5424861583133941E-3</v>
      </c>
      <c r="I55" s="47">
        <f t="shared" si="14"/>
        <v>6.1196316961885659E-4</v>
      </c>
      <c r="J55" s="47">
        <f t="shared" si="15"/>
        <v>0.10597688722851054</v>
      </c>
      <c r="K55" s="47">
        <f t="shared" si="16"/>
        <v>3.2908361619672741E-2</v>
      </c>
      <c r="L55" s="47">
        <f t="shared" si="17"/>
        <v>3.8987575963207586E-4</v>
      </c>
      <c r="M55" s="47">
        <f t="shared" si="18"/>
        <v>1.2106576084889301E-4</v>
      </c>
      <c r="N55" s="48">
        <f t="shared" si="7"/>
        <v>1</v>
      </c>
      <c r="O55" s="49">
        <f t="shared" si="8"/>
        <v>0.13888524884818326</v>
      </c>
      <c r="P55" s="49">
        <f t="shared" si="9"/>
        <v>5.1094152048096887E-4</v>
      </c>
      <c r="Q55" s="50">
        <f t="shared" si="10"/>
        <v>0.9988770953099001</v>
      </c>
      <c r="R55" s="50">
        <f t="shared" si="11"/>
        <v>1.1229046900998255E-3</v>
      </c>
      <c r="S55" s="51">
        <f>IF(R55&lt;Interface!$B$21,R55,0)</f>
        <v>1.1229046900998255E-3</v>
      </c>
    </row>
    <row r="56" spans="1:19">
      <c r="A56" s="39"/>
      <c r="B56" s="39"/>
      <c r="C56" s="89"/>
      <c r="D56" s="89"/>
      <c r="E56" s="39"/>
      <c r="F56" s="46">
        <v>55</v>
      </c>
      <c r="G56" s="47">
        <f t="shared" si="12"/>
        <v>0.85918343763865213</v>
      </c>
      <c r="H56" s="47">
        <f t="shared" si="13"/>
        <v>2.5948945772320715E-3</v>
      </c>
      <c r="I56" s="47">
        <f t="shared" si="14"/>
        <v>6.245776029566028E-4</v>
      </c>
      <c r="J56" s="47">
        <f t="shared" si="15"/>
        <v>0.10619121139354126</v>
      </c>
      <c r="K56" s="47">
        <f t="shared" si="16"/>
        <v>3.089220936597116E-2</v>
      </c>
      <c r="L56" s="47">
        <f t="shared" si="17"/>
        <v>3.9791229193343158E-4</v>
      </c>
      <c r="M56" s="47">
        <f t="shared" si="18"/>
        <v>1.1575712971336015E-4</v>
      </c>
      <c r="N56" s="48">
        <f t="shared" si="7"/>
        <v>1</v>
      </c>
      <c r="O56" s="49">
        <f t="shared" si="8"/>
        <v>0.13708342075951241</v>
      </c>
      <c r="P56" s="49">
        <f t="shared" si="9"/>
        <v>5.1366942164679172E-4</v>
      </c>
      <c r="Q56" s="50">
        <f t="shared" si="10"/>
        <v>0.99886175297539659</v>
      </c>
      <c r="R56" s="50">
        <f t="shared" si="11"/>
        <v>1.1382470246033946E-3</v>
      </c>
      <c r="S56" s="51">
        <f>IF(R56&lt;Interface!$B$21,R56,0)</f>
        <v>1.1382470246033946E-3</v>
      </c>
    </row>
    <row r="57" spans="1:19">
      <c r="A57" s="39"/>
      <c r="B57" s="39"/>
      <c r="C57" s="89"/>
      <c r="D57" s="89"/>
      <c r="E57" s="39"/>
      <c r="F57" s="46">
        <v>56</v>
      </c>
      <c r="G57" s="47">
        <f t="shared" si="12"/>
        <v>0.86080758548763658</v>
      </c>
      <c r="H57" s="47">
        <f t="shared" si="13"/>
        <v>2.6471589562704636E-3</v>
      </c>
      <c r="I57" s="47">
        <f t="shared" si="14"/>
        <v>6.3715736664574432E-4</v>
      </c>
      <c r="J57" s="47">
        <f t="shared" si="15"/>
        <v>0.10639194876813485</v>
      </c>
      <c r="K57" s="47">
        <f t="shared" si="16"/>
        <v>2.8999577996021996E-2</v>
      </c>
      <c r="L57" s="47">
        <f t="shared" si="17"/>
        <v>4.0592673654020538E-4</v>
      </c>
      <c r="M57" s="47">
        <f t="shared" si="18"/>
        <v>1.1064468875011402E-4</v>
      </c>
      <c r="N57" s="48">
        <f t="shared" si="7"/>
        <v>0.99999999999999989</v>
      </c>
      <c r="O57" s="49">
        <f t="shared" si="8"/>
        <v>0.13539152676415683</v>
      </c>
      <c r="P57" s="49">
        <f t="shared" si="9"/>
        <v>5.1657142529031941E-4</v>
      </c>
      <c r="Q57" s="50">
        <f t="shared" si="10"/>
        <v>0.99884627120806391</v>
      </c>
      <c r="R57" s="50">
        <f t="shared" si="11"/>
        <v>1.1537287919360637E-3</v>
      </c>
      <c r="S57" s="51">
        <f>IF(R57&lt;Interface!$B$21,R57,0)</f>
        <v>1.1537287919360637E-3</v>
      </c>
    </row>
    <row r="58" spans="1:19">
      <c r="A58" s="39"/>
      <c r="B58" s="39"/>
      <c r="C58" s="89"/>
      <c r="D58" s="89"/>
      <c r="E58" s="39"/>
      <c r="F58" s="46">
        <v>57</v>
      </c>
      <c r="G58" s="47">
        <f t="shared" si="12"/>
        <v>0.86232853900301054</v>
      </c>
      <c r="H58" s="47">
        <f t="shared" si="13"/>
        <v>2.6992822524097623E-3</v>
      </c>
      <c r="I58" s="47">
        <f t="shared" si="14"/>
        <v>6.4970317241624552E-4</v>
      </c>
      <c r="J58" s="47">
        <f t="shared" si="15"/>
        <v>0.10657993178688893</v>
      </c>
      <c r="K58" s="47">
        <f t="shared" si="16"/>
        <v>2.7222899922260877E-2</v>
      </c>
      <c r="L58" s="47">
        <f t="shared" si="17"/>
        <v>4.1391954688860759E-4</v>
      </c>
      <c r="M58" s="47">
        <f t="shared" si="18"/>
        <v>1.0572431612498266E-4</v>
      </c>
      <c r="N58" s="48">
        <f t="shared" si="7"/>
        <v>1</v>
      </c>
      <c r="O58" s="49">
        <f t="shared" si="8"/>
        <v>0.13380283170914981</v>
      </c>
      <c r="P58" s="49">
        <f t="shared" si="9"/>
        <v>5.1964386301359025E-4</v>
      </c>
      <c r="Q58" s="50">
        <f t="shared" si="10"/>
        <v>0.99883065296457008</v>
      </c>
      <c r="R58" s="50">
        <f t="shared" si="11"/>
        <v>1.1693470354298358E-3</v>
      </c>
      <c r="S58" s="51">
        <f>IF(R58&lt;Interface!$B$21,R58,0)</f>
        <v>1.1693470354298358E-3</v>
      </c>
    </row>
    <row r="59" spans="1:19">
      <c r="A59" s="39"/>
      <c r="B59" s="39"/>
      <c r="C59" s="89"/>
      <c r="D59" s="89"/>
      <c r="E59" s="39"/>
      <c r="F59" s="46">
        <v>58</v>
      </c>
      <c r="G59" s="47">
        <f t="shared" si="12"/>
        <v>0.86375262070388703</v>
      </c>
      <c r="H59" s="47">
        <f t="shared" si="13"/>
        <v>2.7512675882205794E-3</v>
      </c>
      <c r="I59" s="47">
        <f t="shared" si="14"/>
        <v>6.6221577185458119E-4</v>
      </c>
      <c r="J59" s="47">
        <f t="shared" si="15"/>
        <v>0.10675594188475009</v>
      </c>
      <c r="K59" s="47">
        <f t="shared" si="16"/>
        <v>2.5555071190314884E-2</v>
      </c>
      <c r="L59" s="47">
        <f t="shared" si="17"/>
        <v>4.2189120180704224E-4</v>
      </c>
      <c r="M59" s="47">
        <f t="shared" si="18"/>
        <v>1.0099165916577972E-4</v>
      </c>
      <c r="N59" s="48">
        <f t="shared" si="7"/>
        <v>0.99999999999999989</v>
      </c>
      <c r="O59" s="49">
        <f t="shared" si="8"/>
        <v>0.13231101307506496</v>
      </c>
      <c r="P59" s="49">
        <f t="shared" si="9"/>
        <v>5.2288286097282202E-4</v>
      </c>
      <c r="Q59" s="50">
        <f t="shared" si="10"/>
        <v>0.99881490136717255</v>
      </c>
      <c r="R59" s="50">
        <f t="shared" si="11"/>
        <v>1.1850986328274032E-3</v>
      </c>
      <c r="S59" s="51">
        <f>IF(R59&lt;Interface!$B$21,R59,0)</f>
        <v>1.1850986328274032E-3</v>
      </c>
    </row>
    <row r="60" spans="1:19">
      <c r="A60" s="39"/>
      <c r="B60" s="39"/>
      <c r="C60" s="89"/>
      <c r="D60" s="89"/>
      <c r="E60" s="39"/>
      <c r="F60" s="46">
        <v>59</v>
      </c>
      <c r="G60" s="47">
        <f t="shared" si="12"/>
        <v>0.86508576575610185</v>
      </c>
      <c r="H60" s="47">
        <f t="shared" si="13"/>
        <v>2.8031182204970007E-3</v>
      </c>
      <c r="I60" s="47">
        <f t="shared" si="14"/>
        <v>6.7469594885411681E-4</v>
      </c>
      <c r="J60" s="47">
        <f t="shared" si="15"/>
        <v>0.10692071262154067</v>
      </c>
      <c r="K60" s="47">
        <f t="shared" si="16"/>
        <v>2.3989423074212465E-2</v>
      </c>
      <c r="L60" s="47">
        <f t="shared" si="17"/>
        <v>4.2984220070631777E-4</v>
      </c>
      <c r="M60" s="47">
        <f t="shared" si="18"/>
        <v>9.644217808755025E-5</v>
      </c>
      <c r="N60" s="48">
        <f t="shared" si="7"/>
        <v>1</v>
      </c>
      <c r="O60" s="49">
        <f t="shared" si="8"/>
        <v>0.13091013569575313</v>
      </c>
      <c r="P60" s="49">
        <f t="shared" si="9"/>
        <v>5.2628437879386804E-4</v>
      </c>
      <c r="Q60" s="50">
        <f t="shared" si="10"/>
        <v>0.99879901967235196</v>
      </c>
      <c r="R60" s="50">
        <f t="shared" si="11"/>
        <v>1.2009803276479848E-3</v>
      </c>
      <c r="S60" s="51">
        <f>IF(R60&lt;Interface!$B$21,R60,0)</f>
        <v>1.2009803276479848E-3</v>
      </c>
    </row>
    <row r="61" spans="1:19">
      <c r="A61" s="39"/>
      <c r="B61" s="39"/>
      <c r="C61" s="89"/>
      <c r="D61" s="89"/>
      <c r="E61" s="39"/>
      <c r="F61" s="46">
        <v>60</v>
      </c>
      <c r="G61" s="47">
        <f t="shared" si="12"/>
        <v>0.86633354570366539</v>
      </c>
      <c r="H61" s="47">
        <f t="shared" si="13"/>
        <v>2.8548375121108921E-3</v>
      </c>
      <c r="I61" s="47">
        <f t="shared" si="14"/>
        <v>6.8714451284058683E-4</v>
      </c>
      <c r="J61" s="47">
        <f t="shared" si="15"/>
        <v>0.10707493261505975</v>
      </c>
      <c r="K61" s="47">
        <f t="shared" si="16"/>
        <v>2.2519695411831346E-2</v>
      </c>
      <c r="L61" s="47">
        <f t="shared" si="17"/>
        <v>4.3777305926366583E-4</v>
      </c>
      <c r="M61" s="47">
        <f t="shared" si="18"/>
        <v>9.2071185228434865E-5</v>
      </c>
      <c r="N61" s="48">
        <f t="shared" si="7"/>
        <v>1</v>
      </c>
      <c r="O61" s="49">
        <f t="shared" si="8"/>
        <v>0.12959462802689109</v>
      </c>
      <c r="P61" s="49">
        <f t="shared" si="9"/>
        <v>5.2984424449210074E-4</v>
      </c>
      <c r="Q61" s="50">
        <f t="shared" si="10"/>
        <v>0.99878301124266733</v>
      </c>
      <c r="R61" s="50">
        <f t="shared" si="11"/>
        <v>1.2169887573326875E-3</v>
      </c>
      <c r="S61" s="51">
        <f>IF(R61&lt;Interface!$B$21,R61,0)</f>
        <v>1.2169887573326875E-3</v>
      </c>
    </row>
    <row r="62" spans="1:19">
      <c r="A62" s="39"/>
      <c r="B62" s="39"/>
      <c r="C62" s="89"/>
      <c r="D62" s="89"/>
      <c r="E62" s="39"/>
      <c r="F62" s="46">
        <v>61</v>
      </c>
      <c r="G62" s="47">
        <f t="shared" si="12"/>
        <v>0.86750119074628973</v>
      </c>
      <c r="H62" s="47">
        <f t="shared" si="13"/>
        <v>2.9064289068107606E-3</v>
      </c>
      <c r="I62" s="47">
        <f t="shared" si="14"/>
        <v>6.9956229270631202E-4</v>
      </c>
      <c r="J62" s="47">
        <f t="shared" si="15"/>
        <v>0.10721924829448523</v>
      </c>
      <c r="K62" s="47">
        <f t="shared" si="16"/>
        <v>2.1140011573967631E-2</v>
      </c>
      <c r="L62" s="47">
        <f t="shared" si="17"/>
        <v>4.4568430555828973E-4</v>
      </c>
      <c r="M62" s="47">
        <f t="shared" si="18"/>
        <v>8.7873880182039806E-5</v>
      </c>
      <c r="N62" s="48">
        <f t="shared" si="7"/>
        <v>1</v>
      </c>
      <c r="O62" s="49">
        <f t="shared" si="8"/>
        <v>0.12835925986845287</v>
      </c>
      <c r="P62" s="49">
        <f t="shared" si="9"/>
        <v>5.3355818574032953E-4</v>
      </c>
      <c r="Q62" s="50">
        <f t="shared" si="10"/>
        <v>0.99876687952155341</v>
      </c>
      <c r="R62" s="50">
        <f t="shared" si="11"/>
        <v>1.2331204784466416E-3</v>
      </c>
      <c r="S62" s="51">
        <f>IF(R62&lt;Interface!$B$21,R62,0)</f>
        <v>1.2331204784466416E-3</v>
      </c>
    </row>
    <row r="63" spans="1:19">
      <c r="A63" s="39"/>
      <c r="B63" s="39"/>
      <c r="C63" s="89"/>
      <c r="D63" s="89"/>
      <c r="E63" s="39"/>
      <c r="F63" s="46">
        <v>62</v>
      </c>
      <c r="G63" s="47">
        <f t="shared" si="12"/>
        <v>0.86859361065207208</v>
      </c>
      <c r="H63" s="47">
        <f t="shared" si="13"/>
        <v>2.9578959067074876E-3</v>
      </c>
      <c r="I63" s="47">
        <f t="shared" si="14"/>
        <v>7.1195013139113217E-4</v>
      </c>
      <c r="J63" s="47">
        <f t="shared" si="15"/>
        <v>0.10735426648508753</v>
      </c>
      <c r="K63" s="47">
        <f t="shared" si="16"/>
        <v>1.9844854966941255E-2</v>
      </c>
      <c r="L63" s="47">
        <f t="shared" si="17"/>
        <v>4.5357647661893043E-4</v>
      </c>
      <c r="M63" s="47">
        <f t="shared" si="18"/>
        <v>8.3845381181652765E-5</v>
      </c>
      <c r="N63" s="48">
        <f t="shared" si="7"/>
        <v>1</v>
      </c>
      <c r="O63" s="49">
        <f t="shared" si="8"/>
        <v>0.12719912145202877</v>
      </c>
      <c r="P63" s="49">
        <f t="shared" si="9"/>
        <v>5.3742185780058323E-4</v>
      </c>
      <c r="Q63" s="50">
        <f t="shared" si="10"/>
        <v>0.99875062801080827</v>
      </c>
      <c r="R63" s="50">
        <f t="shared" si="11"/>
        <v>1.2493719891917155E-3</v>
      </c>
      <c r="S63" s="51">
        <f>IF(R63&lt;Interface!$B$21,R63,0)</f>
        <v>1.2493719891917155E-3</v>
      </c>
    </row>
    <row r="64" spans="1:19">
      <c r="A64" s="39"/>
      <c r="B64" s="39"/>
      <c r="C64" s="89"/>
      <c r="D64" s="89"/>
      <c r="E64" s="39"/>
      <c r="F64" s="46">
        <v>63</v>
      </c>
      <c r="G64" s="47">
        <f t="shared" si="12"/>
        <v>0.86961541438894452</v>
      </c>
      <c r="H64" s="47">
        <f t="shared" si="13"/>
        <v>3.0092420522159643E-3</v>
      </c>
      <c r="I64" s="47">
        <f t="shared" si="14"/>
        <v>7.243088810544629E-4</v>
      </c>
      <c r="J64" s="47">
        <f t="shared" si="15"/>
        <v>0.10748055683458864</v>
      </c>
      <c r="K64" s="47">
        <f t="shared" si="16"/>
        <v>1.8629046974784593E-2</v>
      </c>
      <c r="L64" s="47">
        <f t="shared" si="17"/>
        <v>4.6145011534803019E-4</v>
      </c>
      <c r="M64" s="47">
        <f t="shared" si="18"/>
        <v>7.9980753063718768E-5</v>
      </c>
      <c r="N64" s="48">
        <f t="shared" si="7"/>
        <v>1</v>
      </c>
      <c r="O64" s="49">
        <f t="shared" si="8"/>
        <v>0.12610960380937322</v>
      </c>
      <c r="P64" s="49">
        <f t="shared" si="9"/>
        <v>5.4143086841174895E-4</v>
      </c>
      <c r="Q64" s="50">
        <f t="shared" si="10"/>
        <v>0.99873426025053369</v>
      </c>
      <c r="R64" s="50">
        <f t="shared" si="11"/>
        <v>1.2657397494662118E-3</v>
      </c>
      <c r="S64" s="51">
        <f>IF(R64&lt;Interface!$B$21,R64,0)</f>
        <v>1.2657397494662118E-3</v>
      </c>
    </row>
    <row r="65" spans="1:19">
      <c r="A65" s="39"/>
      <c r="B65" s="39"/>
      <c r="C65" s="89"/>
      <c r="D65" s="89"/>
      <c r="E65" s="39"/>
      <c r="F65" s="46">
        <v>64</v>
      </c>
      <c r="G65" s="47">
        <f t="shared" si="12"/>
        <v>0.87057092855339402</v>
      </c>
      <c r="H65" s="47">
        <f t="shared" si="13"/>
        <v>3.0604709042334147E-3</v>
      </c>
      <c r="I65" s="47">
        <f t="shared" si="14"/>
        <v>7.3663939878571027E-4</v>
      </c>
      <c r="J65" s="47">
        <f t="shared" si="15"/>
        <v>0.10759865409086891</v>
      </c>
      <c r="K65" s="47">
        <f t="shared" si="16"/>
        <v>1.7487726252817335E-2</v>
      </c>
      <c r="L65" s="47">
        <f t="shared" si="17"/>
        <v>4.6930576778888054E-4</v>
      </c>
      <c r="M65" s="47">
        <f t="shared" si="18"/>
        <v>7.6275032111732297E-5</v>
      </c>
      <c r="N65" s="48">
        <f t="shared" si="7"/>
        <v>1.0000000000000002</v>
      </c>
      <c r="O65" s="49">
        <f t="shared" si="8"/>
        <v>0.12508638034368624</v>
      </c>
      <c r="P65" s="49">
        <f t="shared" si="9"/>
        <v>5.4558079990061281E-4</v>
      </c>
      <c r="Q65" s="50">
        <f t="shared" si="10"/>
        <v>0.99871777980131371</v>
      </c>
      <c r="R65" s="50">
        <f t="shared" si="11"/>
        <v>1.2822201986863232E-3</v>
      </c>
      <c r="S65" s="51">
        <f>IF(R65&lt;Interface!$B$21,R65,0)</f>
        <v>1.2822201986863232E-3</v>
      </c>
    </row>
    <row r="66" spans="1:19">
      <c r="A66" s="39"/>
      <c r="B66" s="39"/>
      <c r="C66" s="89"/>
      <c r="D66" s="89"/>
      <c r="E66" s="39"/>
      <c r="F66" s="46">
        <v>65</v>
      </c>
      <c r="G66" s="47">
        <f t="shared" ref="G66:G97" si="19">p.delivery*(1-(1-p.conception)^F66)*(1-alpha)^F66</f>
        <v>0.87146421467013258</v>
      </c>
      <c r="H66" s="47">
        <f t="shared" ref="H66:H101" si="20" xml:space="preserve"> p.delivery*(1-h.mtctx*p.mtct)*(1-(1-p.conception)^F66)*(1-(1-alpha)^F66)</f>
        <v>3.1115860283562604E-3</v>
      </c>
      <c r="I66" s="47">
        <f t="shared" ref="I66:I101" si="21">p.delivery*(h.mtctx*p.mtct)*(1-(1-p.conception)^F66)*(1-(1-alpha)^F66)</f>
        <v>7.4894254280535291E-4</v>
      </c>
      <c r="J66" s="47">
        <f t="shared" ref="J66:J101" si="22">(1-p.delivery)*(1-(1-p.conception)^F66)*(1-alpha)^F66</f>
        <v>0.10770906024012873</v>
      </c>
      <c r="K66" s="47">
        <f t="shared" ref="K66:K101" si="23">((1-p.conception)^F66)*(1-alpha)^F66</f>
        <v>1.6416329289813965E-2</v>
      </c>
      <c r="L66" s="47">
        <f t="shared" ref="L66:L101" si="24">(1-p.delivery)*(1-(1-p.conception)^F66)*(1-(1-alpha)^F66)</f>
        <v>4.7714398070536785E-4</v>
      </c>
      <c r="M66" s="47">
        <f t="shared" ref="M66:M101" si="25">(1-p.conception)^F66*(1-(1-alpha)^F66)</f>
        <v>7.2723248057768013E-5</v>
      </c>
      <c r="N66" s="48">
        <f t="shared" si="7"/>
        <v>1</v>
      </c>
      <c r="O66" s="49">
        <f t="shared" si="8"/>
        <v>0.1241253895299427</v>
      </c>
      <c r="P66" s="49">
        <f t="shared" si="9"/>
        <v>5.4986722876313582E-4</v>
      </c>
      <c r="Q66" s="50">
        <f t="shared" si="10"/>
        <v>0.99870119022843151</v>
      </c>
      <c r="R66" s="50">
        <f t="shared" si="11"/>
        <v>1.2988097715684887E-3</v>
      </c>
      <c r="S66" s="51">
        <f>IF(R66&lt;Interface!$B$21,R66,0)</f>
        <v>1.2988097715684887E-3</v>
      </c>
    </row>
    <row r="67" spans="1:19">
      <c r="A67" s="39"/>
      <c r="B67" s="39"/>
      <c r="C67" s="89"/>
      <c r="D67" s="89"/>
      <c r="E67" s="39"/>
      <c r="F67" s="46">
        <v>66</v>
      </c>
      <c r="G67" s="47">
        <f t="shared" si="19"/>
        <v>0.87229908543189283</v>
      </c>
      <c r="H67" s="47">
        <f t="shared" si="20"/>
        <v>3.1625909809541316E-3</v>
      </c>
      <c r="I67" s="47">
        <f t="shared" si="21"/>
        <v>7.6121916911302918E-4</v>
      </c>
      <c r="J67" s="47">
        <f t="shared" si="22"/>
        <v>0.10781224651405415</v>
      </c>
      <c r="K67" s="47">
        <f t="shared" si="23"/>
        <v>1.5410572161042786E-2</v>
      </c>
      <c r="L67" s="47">
        <f t="shared" si="24"/>
        <v>4.8496529944650293E-4</v>
      </c>
      <c r="M67" s="47">
        <f t="shared" si="25"/>
        <v>6.9320443496628345E-5</v>
      </c>
      <c r="N67" s="48">
        <f t="shared" ref="N67:N101" si="26">SUM(G67:M67)</f>
        <v>1.0000000000000002</v>
      </c>
      <c r="O67" s="49">
        <f t="shared" ref="O67:O101" si="27">SUM(J67:K67)</f>
        <v>0.12322281867509693</v>
      </c>
      <c r="P67" s="49">
        <f t="shared" ref="P67:P101" si="28">SUM(L67:M67)</f>
        <v>5.5428574294313123E-4</v>
      </c>
      <c r="Q67" s="50">
        <f t="shared" ref="Q67:Q101" si="29">O67+H67+G67</f>
        <v>0.99868449508794388</v>
      </c>
      <c r="R67" s="50">
        <f t="shared" ref="R67:R101" si="30">P67+I67</f>
        <v>1.3155049120561605E-3</v>
      </c>
      <c r="S67" s="51">
        <f>IF(R67&lt;Interface!$B$21,R67,0)</f>
        <v>1.3155049120561605E-3</v>
      </c>
    </row>
    <row r="68" spans="1:19">
      <c r="A68" s="39"/>
      <c r="B68" s="39"/>
      <c r="C68" s="89"/>
      <c r="D68" s="89"/>
      <c r="E68" s="39"/>
      <c r="F68" s="46">
        <v>67</v>
      </c>
      <c r="G68" s="47">
        <f t="shared" si="19"/>
        <v>0.87307911994428133</v>
      </c>
      <c r="H68" s="47">
        <f t="shared" si="20"/>
        <v>3.2134892969311068E-3</v>
      </c>
      <c r="I68" s="47">
        <f t="shared" si="21"/>
        <v>7.7347012854173038E-4</v>
      </c>
      <c r="J68" s="47">
        <f t="shared" si="22"/>
        <v>0.10790865527401229</v>
      </c>
      <c r="K68" s="47">
        <f t="shared" si="23"/>
        <v>1.4466433399216872E-2</v>
      </c>
      <c r="L68" s="47">
        <f t="shared" si="24"/>
        <v>4.927702660696764E-4</v>
      </c>
      <c r="M68" s="47">
        <f t="shared" si="25"/>
        <v>6.6061690946936889E-5</v>
      </c>
      <c r="N68" s="48">
        <f t="shared" si="26"/>
        <v>0.99999999999999978</v>
      </c>
      <c r="O68" s="49">
        <f t="shared" si="27"/>
        <v>0.12237508867322916</v>
      </c>
      <c r="P68" s="49">
        <f t="shared" si="28"/>
        <v>5.5883195701661329E-4</v>
      </c>
      <c r="Q68" s="50">
        <f t="shared" si="29"/>
        <v>0.99866769791444154</v>
      </c>
      <c r="R68" s="50">
        <f t="shared" si="30"/>
        <v>1.3323020855583437E-3</v>
      </c>
      <c r="S68" s="51">
        <f>IF(R68&lt;Interface!$B$21,R68,0)</f>
        <v>1.3323020855583437E-3</v>
      </c>
    </row>
    <row r="69" spans="1:19">
      <c r="A69" s="39"/>
      <c r="B69" s="39"/>
      <c r="C69" s="89"/>
      <c r="D69" s="89"/>
      <c r="E69" s="39"/>
      <c r="F69" s="46">
        <v>68</v>
      </c>
      <c r="G69" s="47">
        <f t="shared" si="19"/>
        <v>0.87380767803664672</v>
      </c>
      <c r="H69" s="47">
        <f t="shared" si="20"/>
        <v>3.2642844790206861E-3</v>
      </c>
      <c r="I69" s="47">
        <f t="shared" si="21"/>
        <v>7.8569626418115775E-4</v>
      </c>
      <c r="J69" s="47">
        <f t="shared" si="22"/>
        <v>0.10799870177981026</v>
      </c>
      <c r="K69" s="47">
        <f t="shared" si="23"/>
        <v>1.3580137914867414E-2</v>
      </c>
      <c r="L69" s="47">
        <f t="shared" si="24"/>
        <v>5.0055941769910428E-4</v>
      </c>
      <c r="M69" s="47">
        <f t="shared" si="25"/>
        <v>6.2942107774580162E-5</v>
      </c>
      <c r="N69" s="48">
        <f t="shared" si="26"/>
        <v>1</v>
      </c>
      <c r="O69" s="49">
        <f t="shared" si="27"/>
        <v>0.12157883969467767</v>
      </c>
      <c r="P69" s="49">
        <f t="shared" si="28"/>
        <v>5.6350152547368442E-4</v>
      </c>
      <c r="Q69" s="50">
        <f t="shared" si="29"/>
        <v>0.99865080221034508</v>
      </c>
      <c r="R69" s="50">
        <f t="shared" si="30"/>
        <v>1.3491977896548423E-3</v>
      </c>
      <c r="S69" s="51">
        <f>IF(R69&lt;Interface!$B$21,R69,0)</f>
        <v>1.3491977896548423E-3</v>
      </c>
    </row>
    <row r="70" spans="1:19">
      <c r="A70" s="39"/>
      <c r="B70" s="39"/>
      <c r="C70" s="89"/>
      <c r="D70" s="89"/>
      <c r="E70" s="39"/>
      <c r="F70" s="46">
        <v>69</v>
      </c>
      <c r="G70" s="47">
        <f t="shared" si="19"/>
        <v>0.87448791369618284</v>
      </c>
      <c r="H70" s="47">
        <f t="shared" si="20"/>
        <v>3.3149799884715893E-3</v>
      </c>
      <c r="I70" s="47">
        <f t="shared" si="21"/>
        <v>7.9789840913584154E-4</v>
      </c>
      <c r="J70" s="47">
        <f t="shared" si="22"/>
        <v>0.10808277585009</v>
      </c>
      <c r="K70" s="47">
        <f t="shared" si="23"/>
        <v>1.2748141901845891E-2</v>
      </c>
      <c r="L70" s="47">
        <f t="shared" si="24"/>
        <v>5.0833328509754749E-4</v>
      </c>
      <c r="M70" s="47">
        <f t="shared" si="25"/>
        <v>5.9956869176298297E-5</v>
      </c>
      <c r="N70" s="48">
        <f t="shared" si="26"/>
        <v>1</v>
      </c>
      <c r="O70" s="49">
        <f t="shared" si="27"/>
        <v>0.1208309177519359</v>
      </c>
      <c r="P70" s="49">
        <f t="shared" si="28"/>
        <v>5.6829015427384581E-4</v>
      </c>
      <c r="Q70" s="50">
        <f t="shared" si="29"/>
        <v>0.99863381143659036</v>
      </c>
      <c r="R70" s="50">
        <f t="shared" si="30"/>
        <v>1.3661885634096873E-3</v>
      </c>
      <c r="S70" s="51">
        <f>IF(R70&lt;Interface!$B$21,R70,0)</f>
        <v>1.3661885634096873E-3</v>
      </c>
    </row>
    <row r="71" spans="1:19">
      <c r="A71" s="39"/>
      <c r="B71" s="39"/>
      <c r="C71" s="89"/>
      <c r="D71" s="89"/>
      <c r="E71" s="39"/>
      <c r="F71" s="46">
        <v>70</v>
      </c>
      <c r="G71" s="47">
        <f t="shared" si="19"/>
        <v>0.87512278767898211</v>
      </c>
      <c r="H71" s="47">
        <f t="shared" si="20"/>
        <v>3.3655792369958895E-3</v>
      </c>
      <c r="I71" s="47">
        <f t="shared" si="21"/>
        <v>8.1007738458709988E-4</v>
      </c>
      <c r="J71" s="47">
        <f t="shared" si="22"/>
        <v>0.10816124342099777</v>
      </c>
      <c r="K71" s="47">
        <f t="shared" si="23"/>
        <v>1.1967118667600486E-2</v>
      </c>
      <c r="L71" s="47">
        <f t="shared" si="24"/>
        <v>5.1609239143160534E-4</v>
      </c>
      <c r="M71" s="47">
        <f t="shared" si="25"/>
        <v>5.7101219405071505E-5</v>
      </c>
      <c r="N71" s="48">
        <f t="shared" si="26"/>
        <v>0.99999999999999989</v>
      </c>
      <c r="O71" s="49">
        <f t="shared" si="27"/>
        <v>0.12012836208859826</v>
      </c>
      <c r="P71" s="49">
        <f t="shared" si="28"/>
        <v>5.7319361083667687E-4</v>
      </c>
      <c r="Q71" s="50">
        <f t="shared" si="29"/>
        <v>0.99861672900457621</v>
      </c>
      <c r="R71" s="50">
        <f t="shared" si="30"/>
        <v>1.3832709954237766E-3</v>
      </c>
      <c r="S71" s="51">
        <f>IF(R71&lt;Interface!$B$21,R71,0)</f>
        <v>1.3832709954237766E-3</v>
      </c>
    </row>
    <row r="72" spans="1:19">
      <c r="A72" s="39"/>
      <c r="B72" s="39"/>
      <c r="C72" s="89"/>
      <c r="D72" s="89"/>
      <c r="E72" s="39"/>
      <c r="F72" s="46">
        <v>71</v>
      </c>
      <c r="G72" s="47">
        <f t="shared" si="19"/>
        <v>0.87571507934846549</v>
      </c>
      <c r="H72" s="47">
        <f t="shared" si="20"/>
        <v>3.4160855798582362E-3</v>
      </c>
      <c r="I72" s="47">
        <f t="shared" si="21"/>
        <v>8.2223399812964991E-4</v>
      </c>
      <c r="J72" s="47">
        <f t="shared" si="22"/>
        <v>0.1082344480093609</v>
      </c>
      <c r="K72" s="47">
        <f t="shared" si="23"/>
        <v>1.123394533156988E-2</v>
      </c>
      <c r="L72" s="47">
        <f t="shared" si="24"/>
        <v>5.2383725121198576E-4</v>
      </c>
      <c r="M72" s="47">
        <f t="shared" si="25"/>
        <v>5.4370481403908764E-5</v>
      </c>
      <c r="N72" s="48">
        <f t="shared" si="26"/>
        <v>1</v>
      </c>
      <c r="O72" s="49">
        <f t="shared" si="27"/>
        <v>0.11946839334093078</v>
      </c>
      <c r="P72" s="49">
        <f t="shared" si="28"/>
        <v>5.7820773261589456E-4</v>
      </c>
      <c r="Q72" s="50">
        <f t="shared" si="29"/>
        <v>0.99859955826925451</v>
      </c>
      <c r="R72" s="50">
        <f t="shared" si="30"/>
        <v>1.4004417307455445E-3</v>
      </c>
      <c r="S72" s="51">
        <f>IF(R72&lt;Interface!$B$21,R72,0)</f>
        <v>1.4004417307455445E-3</v>
      </c>
    </row>
    <row r="73" spans="1:19">
      <c r="A73" s="39"/>
      <c r="B73" s="39"/>
      <c r="C73" s="89"/>
      <c r="D73" s="89"/>
      <c r="E73" s="39"/>
      <c r="F73" s="46">
        <v>72</v>
      </c>
      <c r="G73" s="47">
        <f t="shared" si="19"/>
        <v>0.87626739778852281</v>
      </c>
      <c r="H73" s="47">
        <f t="shared" si="20"/>
        <v>3.466502309997148E-3</v>
      </c>
      <c r="I73" s="47">
        <f t="shared" si="21"/>
        <v>8.3436904235663367E-4</v>
      </c>
      <c r="J73" s="47">
        <f t="shared" si="22"/>
        <v>0.1083027120862219</v>
      </c>
      <c r="K73" s="47">
        <f t="shared" si="23"/>
        <v>1.0545690338508631E-2</v>
      </c>
      <c r="L73" s="47">
        <f t="shared" si="24"/>
        <v>5.3156836939204034E-4</v>
      </c>
      <c r="M73" s="47">
        <f t="shared" si="25"/>
        <v>5.1760065000879895E-5</v>
      </c>
      <c r="N73" s="48">
        <f t="shared" si="26"/>
        <v>1</v>
      </c>
      <c r="O73" s="49">
        <f t="shared" si="27"/>
        <v>0.11884840242473053</v>
      </c>
      <c r="P73" s="49">
        <f t="shared" si="28"/>
        <v>5.8332843439292022E-4</v>
      </c>
      <c r="Q73" s="50">
        <f t="shared" si="29"/>
        <v>0.99858230252325053</v>
      </c>
      <c r="R73" s="50">
        <f t="shared" si="30"/>
        <v>1.4176974767495538E-3</v>
      </c>
      <c r="S73" s="51">
        <f>IF(R73&lt;Interface!$B$21,R73,0)</f>
        <v>1.4176974767495538E-3</v>
      </c>
    </row>
    <row r="74" spans="1:19">
      <c r="A74" s="39"/>
      <c r="B74" s="39"/>
      <c r="C74" s="89"/>
      <c r="D74" s="89"/>
      <c r="E74" s="39"/>
      <c r="F74" s="46">
        <v>73</v>
      </c>
      <c r="G74" s="47">
        <f t="shared" si="19"/>
        <v>0.87678219223579956</v>
      </c>
      <c r="H74" s="47">
        <f t="shared" si="20"/>
        <v>3.5168326530778263E-3</v>
      </c>
      <c r="I74" s="47">
        <f t="shared" si="21"/>
        <v>8.4648329366885646E-4</v>
      </c>
      <c r="J74" s="47">
        <f t="shared" si="22"/>
        <v>0.10836633836622239</v>
      </c>
      <c r="K74" s="47">
        <f t="shared" si="23"/>
        <v>9.8996017368168081E-3</v>
      </c>
      <c r="L74" s="47">
        <f t="shared" si="24"/>
        <v>5.392862406091404E-4</v>
      </c>
      <c r="M74" s="47">
        <f t="shared" si="25"/>
        <v>4.9265473805468394E-5</v>
      </c>
      <c r="N74" s="48">
        <f t="shared" si="26"/>
        <v>1.0000000000000002</v>
      </c>
      <c r="O74" s="49">
        <f t="shared" si="27"/>
        <v>0.1182659401030392</v>
      </c>
      <c r="P74" s="49">
        <f t="shared" si="28"/>
        <v>5.8855171441460883E-4</v>
      </c>
      <c r="Q74" s="50">
        <f t="shared" si="29"/>
        <v>0.9985649649919166</v>
      </c>
      <c r="R74" s="50">
        <f t="shared" si="30"/>
        <v>1.4350350080834652E-3</v>
      </c>
      <c r="S74" s="51">
        <f>IF(R74&lt;Interface!$B$21,R74,0)</f>
        <v>1.4350350080834652E-3</v>
      </c>
    </row>
    <row r="75" spans="1:19">
      <c r="A75" s="39"/>
      <c r="B75" s="39"/>
      <c r="C75" s="89"/>
      <c r="D75" s="89"/>
      <c r="E75" s="39"/>
      <c r="F75" s="46">
        <v>74</v>
      </c>
      <c r="G75" s="47">
        <f t="shared" si="19"/>
        <v>0.87726176187284255</v>
      </c>
      <c r="H75" s="47">
        <f t="shared" si="20"/>
        <v>3.5670797633846679E-3</v>
      </c>
      <c r="I75" s="47">
        <f t="shared" si="21"/>
        <v>8.5857751128613573E-4</v>
      </c>
      <c r="J75" s="47">
        <f t="shared" si="22"/>
        <v>0.10842561101799177</v>
      </c>
      <c r="K75" s="47">
        <f t="shared" si="23"/>
        <v>9.2930961750054396E-3</v>
      </c>
      <c r="L75" s="47">
        <f t="shared" si="24"/>
        <v>5.4699134855481829E-4</v>
      </c>
      <c r="M75" s="47">
        <f t="shared" si="25"/>
        <v>4.6882310934566495E-5</v>
      </c>
      <c r="N75" s="48">
        <f t="shared" si="26"/>
        <v>0.99999999999999989</v>
      </c>
      <c r="O75" s="49">
        <f t="shared" si="27"/>
        <v>0.11771870719299721</v>
      </c>
      <c r="P75" s="49">
        <f t="shared" si="28"/>
        <v>5.9387365948938473E-4</v>
      </c>
      <c r="Q75" s="50">
        <f t="shared" si="29"/>
        <v>0.99854754882922436</v>
      </c>
      <c r="R75" s="50">
        <f t="shared" si="30"/>
        <v>1.4524511707755205E-3</v>
      </c>
      <c r="S75" s="51">
        <f>IF(R75&lt;Interface!$B$21,R75,0)</f>
        <v>1.4524511707755205E-3</v>
      </c>
    </row>
    <row r="76" spans="1:19">
      <c r="A76" s="39"/>
      <c r="B76" s="39"/>
      <c r="C76" s="89"/>
      <c r="D76" s="89"/>
      <c r="E76" s="39"/>
      <c r="F76" s="46">
        <v>75</v>
      </c>
      <c r="G76" s="47">
        <f t="shared" si="19"/>
        <v>0.87770826502126198</v>
      </c>
      <c r="H76" s="47">
        <f t="shared" si="20"/>
        <v>3.6172467204696906E-3</v>
      </c>
      <c r="I76" s="47">
        <f t="shared" si="21"/>
        <v>8.7065243644059533E-4</v>
      </c>
      <c r="J76" s="47">
        <f t="shared" si="22"/>
        <v>0.10848079680038067</v>
      </c>
      <c r="K76" s="47">
        <f t="shared" si="23"/>
        <v>8.7237485723006564E-3</v>
      </c>
      <c r="L76" s="47">
        <f t="shared" si="24"/>
        <v>5.5468416546082164E-4</v>
      </c>
      <c r="M76" s="47">
        <f t="shared" si="25"/>
        <v>4.4606283685589999E-5</v>
      </c>
      <c r="N76" s="48">
        <f t="shared" si="26"/>
        <v>1</v>
      </c>
      <c r="O76" s="49">
        <f t="shared" si="27"/>
        <v>0.11720454537268132</v>
      </c>
      <c r="P76" s="49">
        <f t="shared" si="28"/>
        <v>5.9929044914641162E-4</v>
      </c>
      <c r="Q76" s="50">
        <f t="shared" si="29"/>
        <v>0.99853005711441301</v>
      </c>
      <c r="R76" s="50">
        <f t="shared" si="30"/>
        <v>1.4699428855870071E-3</v>
      </c>
      <c r="S76" s="51">
        <f>IF(R76&lt;Interface!$B$21,R76,0)</f>
        <v>1.4699428855870071E-3</v>
      </c>
    </row>
    <row r="77" spans="1:19">
      <c r="A77" s="39"/>
      <c r="B77" s="39"/>
      <c r="C77" s="89"/>
      <c r="D77" s="89"/>
      <c r="E77" s="39"/>
      <c r="F77" s="46">
        <v>76</v>
      </c>
      <c r="G77" s="47">
        <f t="shared" si="19"/>
        <v>0.87812372777166892</v>
      </c>
      <c r="H77" s="47">
        <f t="shared" si="20"/>
        <v>3.6673365264775631E-3</v>
      </c>
      <c r="I77" s="47">
        <f t="shared" si="21"/>
        <v>8.8270879173281283E-4</v>
      </c>
      <c r="J77" s="47">
        <f t="shared" si="22"/>
        <v>0.10853214612908266</v>
      </c>
      <c r="K77" s="47">
        <f t="shared" si="23"/>
        <v>8.1892824220850362E-3</v>
      </c>
      <c r="L77" s="47">
        <f t="shared" si="24"/>
        <v>5.6236515168892271E-4</v>
      </c>
      <c r="M77" s="47">
        <f t="shared" si="25"/>
        <v>4.2433207264158302E-5</v>
      </c>
      <c r="N77" s="48">
        <f t="shared" si="26"/>
        <v>1</v>
      </c>
      <c r="O77" s="49">
        <f t="shared" si="27"/>
        <v>0.1167214285511677</v>
      </c>
      <c r="P77" s="49">
        <f t="shared" si="28"/>
        <v>6.0479835895308105E-4</v>
      </c>
      <c r="Q77" s="50">
        <f t="shared" si="29"/>
        <v>0.9985124928493142</v>
      </c>
      <c r="R77" s="50">
        <f t="shared" si="30"/>
        <v>1.4875071506858938E-3</v>
      </c>
      <c r="S77" s="51">
        <f>IF(R77&lt;Interface!$B$21,R77,0)</f>
        <v>1.4875071506858938E-3</v>
      </c>
    </row>
    <row r="78" spans="1:19">
      <c r="A78" s="39"/>
      <c r="B78" s="39"/>
      <c r="C78" s="89"/>
      <c r="D78" s="89"/>
      <c r="E78" s="39"/>
      <c r="F78" s="46">
        <v>77</v>
      </c>
      <c r="G78" s="47">
        <f t="shared" si="19"/>
        <v>0.87851005208489352</v>
      </c>
      <c r="H78" s="47">
        <f t="shared" si="20"/>
        <v>3.7173521040799904E-3</v>
      </c>
      <c r="I78" s="47">
        <f t="shared" si="21"/>
        <v>8.9474728063463781E-4</v>
      </c>
      <c r="J78" s="47">
        <f t="shared" si="22"/>
        <v>0.10857989407790816</v>
      </c>
      <c r="K78" s="47">
        <f t="shared" si="23"/>
        <v>7.6875606894049372E-3</v>
      </c>
      <c r="L78" s="47">
        <f t="shared" si="24"/>
        <v>5.7003475541416739E-4</v>
      </c>
      <c r="M78" s="47">
        <f t="shared" si="25"/>
        <v>4.0359007664643833E-5</v>
      </c>
      <c r="N78" s="48">
        <f t="shared" si="26"/>
        <v>1</v>
      </c>
      <c r="O78" s="49">
        <f t="shared" si="27"/>
        <v>0.11626745476731309</v>
      </c>
      <c r="P78" s="49">
        <f t="shared" si="28"/>
        <v>6.1039376307881117E-4</v>
      </c>
      <c r="Q78" s="50">
        <f t="shared" si="29"/>
        <v>0.99849485895628665</v>
      </c>
      <c r="R78" s="50">
        <f t="shared" si="30"/>
        <v>1.5051410437134489E-3</v>
      </c>
      <c r="S78" s="51">
        <f>IF(R78&lt;Interface!$B$21,R78,0)</f>
        <v>1.5051410437134489E-3</v>
      </c>
    </row>
    <row r="79" spans="1:19">
      <c r="A79" s="39"/>
      <c r="B79" s="39"/>
      <c r="C79" s="89"/>
      <c r="D79" s="89"/>
      <c r="E79" s="39"/>
      <c r="F79" s="46">
        <v>78</v>
      </c>
      <c r="G79" s="47">
        <f t="shared" si="19"/>
        <v>0.87886902339687756</v>
      </c>
      <c r="H79" s="47">
        <f t="shared" si="20"/>
        <v>3.7672962949522114E-3</v>
      </c>
      <c r="I79" s="47">
        <f t="shared" si="21"/>
        <v>9.067685871224924E-4</v>
      </c>
      <c r="J79" s="47">
        <f t="shared" si="22"/>
        <v>0.10862426131871519</v>
      </c>
      <c r="K79" s="47">
        <f t="shared" si="23"/>
        <v>7.2165772661479761E-3</v>
      </c>
      <c r="L79" s="47">
        <f t="shared" si="24"/>
        <v>5.7769341239125537E-4</v>
      </c>
      <c r="M79" s="47">
        <f t="shared" si="25"/>
        <v>3.8379723793324401E-5</v>
      </c>
      <c r="N79" s="48">
        <f t="shared" si="26"/>
        <v>0.99999999999999989</v>
      </c>
      <c r="O79" s="49">
        <f t="shared" si="27"/>
        <v>0.11584083858486317</v>
      </c>
      <c r="P79" s="49">
        <f t="shared" si="28"/>
        <v>6.1607313618457975E-4</v>
      </c>
      <c r="Q79" s="50">
        <f t="shared" si="29"/>
        <v>0.99847715827669292</v>
      </c>
      <c r="R79" s="50">
        <f t="shared" si="30"/>
        <v>1.5228417233070723E-3</v>
      </c>
      <c r="S79" s="51">
        <f>IF(R79&lt;Interface!$B$21,R79,0)</f>
        <v>1.5228417233070723E-3</v>
      </c>
    </row>
    <row r="80" spans="1:19">
      <c r="A80" s="39"/>
      <c r="B80" s="39"/>
      <c r="C80" s="89"/>
      <c r="D80" s="89"/>
      <c r="E80" s="39"/>
      <c r="F80" s="46">
        <v>79</v>
      </c>
      <c r="G80" s="47">
        <f t="shared" si="19"/>
        <v>0.87920231775764723</v>
      </c>
      <c r="H80" s="47">
        <f t="shared" si="20"/>
        <v>3.8171718587350378E-3</v>
      </c>
      <c r="I80" s="47">
        <f t="shared" si="21"/>
        <v>9.1877337542753997E-4</v>
      </c>
      <c r="J80" s="47">
        <f t="shared" si="22"/>
        <v>0.10866545500375413</v>
      </c>
      <c r="K80" s="47">
        <f t="shared" si="23"/>
        <v>6.7744489497246511E-3</v>
      </c>
      <c r="L80" s="47">
        <f t="shared" si="24"/>
        <v>5.8534154579537457E-4</v>
      </c>
      <c r="M80" s="47">
        <f t="shared" si="25"/>
        <v>3.6491508916119533E-5</v>
      </c>
      <c r="N80" s="48">
        <f t="shared" si="26"/>
        <v>1.0000000000000002</v>
      </c>
      <c r="O80" s="49">
        <f t="shared" si="27"/>
        <v>0.11543990395347878</v>
      </c>
      <c r="P80" s="49">
        <f t="shared" si="28"/>
        <v>6.2183305471149415E-4</v>
      </c>
      <c r="Q80" s="50">
        <f t="shared" si="29"/>
        <v>0.99845939356986102</v>
      </c>
      <c r="R80" s="50">
        <f t="shared" si="30"/>
        <v>1.5406064301390341E-3</v>
      </c>
      <c r="S80" s="51">
        <f>IF(R80&lt;Interface!$B$21,R80,0)</f>
        <v>1.5406064301390341E-3</v>
      </c>
    </row>
    <row r="81" spans="1:19">
      <c r="A81" s="39"/>
      <c r="B81" s="39"/>
      <c r="C81" s="89"/>
      <c r="D81" s="89"/>
      <c r="E81" s="39"/>
      <c r="F81" s="46">
        <v>80</v>
      </c>
      <c r="G81" s="47">
        <f t="shared" si="19"/>
        <v>0.87951150853291282</v>
      </c>
      <c r="H81" s="47">
        <f t="shared" si="20"/>
        <v>3.8669814724265933E-3</v>
      </c>
      <c r="I81" s="47">
        <f t="shared" si="21"/>
        <v>9.3076228988927916E-4</v>
      </c>
      <c r="J81" s="47">
        <f t="shared" si="22"/>
        <v>0.1087036695939555</v>
      </c>
      <c r="K81" s="47">
        <f t="shared" si="23"/>
        <v>6.3594079131812625E-3</v>
      </c>
      <c r="L81" s="47">
        <f t="shared" si="24"/>
        <v>5.9297956612892791E-4</v>
      </c>
      <c r="M81" s="47">
        <f t="shared" si="25"/>
        <v>3.4690631505643149E-5</v>
      </c>
      <c r="N81" s="48">
        <f t="shared" si="26"/>
        <v>1</v>
      </c>
      <c r="O81" s="49">
        <f t="shared" si="27"/>
        <v>0.11506307750713676</v>
      </c>
      <c r="P81" s="49">
        <f t="shared" si="28"/>
        <v>6.2767019763457102E-4</v>
      </c>
      <c r="Q81" s="50">
        <f t="shared" si="29"/>
        <v>0.99844156751247615</v>
      </c>
      <c r="R81" s="50">
        <f t="shared" si="30"/>
        <v>1.5584324875238501E-3</v>
      </c>
      <c r="S81" s="51">
        <f>IF(R81&lt;Interface!$B$21,R81,0)</f>
        <v>1.5584324875238501E-3</v>
      </c>
    </row>
    <row r="82" spans="1:19">
      <c r="A82" s="39"/>
      <c r="B82" s="39"/>
      <c r="C82" s="89"/>
      <c r="D82" s="89"/>
      <c r="E82" s="39"/>
      <c r="F82" s="46">
        <v>81</v>
      </c>
      <c r="G82" s="47">
        <f t="shared" si="19"/>
        <v>0.87979807269509069</v>
      </c>
      <c r="H82" s="47">
        <f t="shared" si="20"/>
        <v>3.9167277301570876E-3</v>
      </c>
      <c r="I82" s="47">
        <f t="shared" si="21"/>
        <v>9.4273595490133356E-4</v>
      </c>
      <c r="J82" s="47">
        <f t="shared" si="22"/>
        <v>0.10873908763647186</v>
      </c>
      <c r="K82" s="47">
        <f t="shared" si="23"/>
        <v>5.9697946366362728E-3</v>
      </c>
      <c r="L82" s="47">
        <f t="shared" si="24"/>
        <v>6.0060787118699566E-4</v>
      </c>
      <c r="M82" s="47">
        <f t="shared" si="25"/>
        <v>3.2973475555730636E-5</v>
      </c>
      <c r="N82" s="48">
        <f t="shared" si="26"/>
        <v>1</v>
      </c>
      <c r="O82" s="49">
        <f t="shared" si="27"/>
        <v>0.11470888227310813</v>
      </c>
      <c r="P82" s="49">
        <f t="shared" si="28"/>
        <v>6.3358134674272625E-4</v>
      </c>
      <c r="Q82" s="50">
        <f t="shared" si="29"/>
        <v>0.99842368269835591</v>
      </c>
      <c r="R82" s="50">
        <f t="shared" si="30"/>
        <v>1.5763173016440598E-3</v>
      </c>
      <c r="S82" s="51">
        <f>IF(R82&lt;Interface!$B$21,R82,0)</f>
        <v>1.5763173016440598E-3</v>
      </c>
    </row>
    <row r="83" spans="1:19">
      <c r="A83" s="39"/>
      <c r="B83" s="39"/>
      <c r="C83" s="89"/>
      <c r="D83" s="89"/>
      <c r="E83" s="39"/>
      <c r="F83" s="46">
        <v>82</v>
      </c>
      <c r="G83" s="47">
        <f t="shared" si="19"/>
        <v>0.88006339672890088</v>
      </c>
      <c r="H83" s="47">
        <f t="shared" si="20"/>
        <v>3.9664131433007031E-3</v>
      </c>
      <c r="I83" s="47">
        <f t="shared" si="21"/>
        <v>9.5469497493838259E-4</v>
      </c>
      <c r="J83" s="47">
        <f t="shared" si="22"/>
        <v>0.10877188049458324</v>
      </c>
      <c r="K83" s="47">
        <f t="shared" si="23"/>
        <v>5.6040512717768481E-3</v>
      </c>
      <c r="L83" s="47">
        <f t="shared" si="24"/>
        <v>6.0822684607449347E-4</v>
      </c>
      <c r="M83" s="47">
        <f t="shared" si="25"/>
        <v>3.1336540425467126E-5</v>
      </c>
      <c r="N83" s="48">
        <f t="shared" si="26"/>
        <v>1</v>
      </c>
      <c r="O83" s="49">
        <f t="shared" si="27"/>
        <v>0.11437593176636009</v>
      </c>
      <c r="P83" s="49">
        <f t="shared" si="28"/>
        <v>6.3956338649996062E-4</v>
      </c>
      <c r="Q83" s="50">
        <f t="shared" si="29"/>
        <v>0.99840574163856166</v>
      </c>
      <c r="R83" s="50">
        <f t="shared" si="30"/>
        <v>1.5942583614383431E-3</v>
      </c>
      <c r="S83" s="51">
        <f>IF(R83&lt;Interface!$B$21,R83,0)</f>
        <v>1.5942583614383431E-3</v>
      </c>
    </row>
    <row r="84" spans="1:19">
      <c r="A84" s="39"/>
      <c r="B84" s="39"/>
      <c r="C84" s="89"/>
      <c r="D84" s="89"/>
      <c r="E84" s="39"/>
      <c r="F84" s="46">
        <v>83</v>
      </c>
      <c r="G84" s="47">
        <f t="shared" si="19"/>
        <v>0.88030878217515529</v>
      </c>
      <c r="H84" s="47">
        <f t="shared" si="20"/>
        <v>4.0160401408840972E-3</v>
      </c>
      <c r="I84" s="47">
        <f t="shared" si="21"/>
        <v>9.6663993465448482E-4</v>
      </c>
      <c r="J84" s="47">
        <f t="shared" si="22"/>
        <v>0.10880220903288434</v>
      </c>
      <c r="K84" s="47">
        <f t="shared" si="23"/>
        <v>5.2607154128838391E-3</v>
      </c>
      <c r="L84" s="47">
        <f t="shared" si="24"/>
        <v>6.1583686326881334E-4</v>
      </c>
      <c r="M84" s="47">
        <f t="shared" si="25"/>
        <v>2.9776440269159472E-5</v>
      </c>
      <c r="N84" s="48">
        <f t="shared" si="26"/>
        <v>1</v>
      </c>
      <c r="O84" s="49">
        <f t="shared" si="27"/>
        <v>0.11406292444576818</v>
      </c>
      <c r="P84" s="49">
        <f t="shared" si="28"/>
        <v>6.4561330353797282E-4</v>
      </c>
      <c r="Q84" s="50">
        <f t="shared" si="29"/>
        <v>0.99838774676180753</v>
      </c>
      <c r="R84" s="50">
        <f t="shared" si="30"/>
        <v>1.6122532381924576E-3</v>
      </c>
      <c r="S84" s="51">
        <f>IF(R84&lt;Interface!$B$21,R84,0)</f>
        <v>1.6122532381924576E-3</v>
      </c>
    </row>
    <row r="85" spans="1:19">
      <c r="A85" s="39"/>
      <c r="B85" s="39"/>
      <c r="C85" s="89"/>
      <c r="D85" s="89"/>
      <c r="E85" s="39"/>
      <c r="F85" s="46">
        <v>84</v>
      </c>
      <c r="G85" s="47">
        <f t="shared" si="19"/>
        <v>0.88053545083490103</v>
      </c>
      <c r="H85" s="47">
        <f t="shared" si="20"/>
        <v>4.0656110702563227E-3</v>
      </c>
      <c r="I85" s="47">
        <f t="shared" si="21"/>
        <v>9.7857139904432571E-4</v>
      </c>
      <c r="J85" s="47">
        <f t="shared" si="22"/>
        <v>0.10883022426049335</v>
      </c>
      <c r="K85" s="47">
        <f t="shared" si="23"/>
        <v>4.9384142494789778E-3</v>
      </c>
      <c r="L85" s="47">
        <f t="shared" si="24"/>
        <v>6.2343828272255189E-4</v>
      </c>
      <c r="M85" s="47">
        <f t="shared" si="25"/>
        <v>2.8289903103557171E-5</v>
      </c>
      <c r="N85" s="48">
        <f t="shared" si="26"/>
        <v>1.0000000000000002</v>
      </c>
      <c r="O85" s="49">
        <f t="shared" si="27"/>
        <v>0.11376863850997233</v>
      </c>
      <c r="P85" s="49">
        <f t="shared" si="28"/>
        <v>6.5172818582610902E-4</v>
      </c>
      <c r="Q85" s="50">
        <f t="shared" si="29"/>
        <v>0.99836970041512973</v>
      </c>
      <c r="R85" s="50">
        <f t="shared" si="30"/>
        <v>1.6302995848704346E-3</v>
      </c>
      <c r="S85" s="51">
        <f>IF(R85&lt;Interface!$B$21,R85,0)</f>
        <v>1.6302995848704346E-3</v>
      </c>
    </row>
    <row r="86" spans="1:19">
      <c r="A86" s="39"/>
      <c r="B86" s="39"/>
      <c r="C86" s="89"/>
      <c r="D86" s="89"/>
      <c r="E86" s="39"/>
      <c r="F86" s="46">
        <v>85</v>
      </c>
      <c r="G86" s="47">
        <f t="shared" si="19"/>
        <v>0.88074454965472948</v>
      </c>
      <c r="H86" s="47">
        <f t="shared" si="20"/>
        <v>4.1151281979839765E-3</v>
      </c>
      <c r="I86" s="47">
        <f t="shared" si="21"/>
        <v>9.904899136586741E-4</v>
      </c>
      <c r="J86" s="47">
        <f t="shared" si="22"/>
        <v>0.10885606793485419</v>
      </c>
      <c r="K86" s="47">
        <f t="shared" si="23"/>
        <v>4.6358590772139757E-3</v>
      </c>
      <c r="L86" s="47">
        <f t="shared" si="24"/>
        <v>6.3103145200077697E-4</v>
      </c>
      <c r="M86" s="47">
        <f t="shared" si="25"/>
        <v>2.6873769558864006E-5</v>
      </c>
      <c r="N86" s="48">
        <f t="shared" si="26"/>
        <v>1</v>
      </c>
      <c r="O86" s="49">
        <f t="shared" si="27"/>
        <v>0.11349192701206817</v>
      </c>
      <c r="P86" s="49">
        <f t="shared" si="28"/>
        <v>6.5790522155964094E-4</v>
      </c>
      <c r="Q86" s="50">
        <f t="shared" si="29"/>
        <v>0.99835160486478158</v>
      </c>
      <c r="R86" s="50">
        <f t="shared" si="30"/>
        <v>1.648395135218315E-3</v>
      </c>
      <c r="S86" s="51">
        <f>IF(R86&lt;Interface!$B$21,R86,0)</f>
        <v>1.648395135218315E-3</v>
      </c>
    </row>
    <row r="87" spans="1:19">
      <c r="A87" s="39"/>
      <c r="B87" s="39"/>
      <c r="C87" s="89"/>
      <c r="D87" s="89"/>
      <c r="E87" s="39"/>
      <c r="F87" s="46">
        <v>86</v>
      </c>
      <c r="G87" s="47">
        <f t="shared" si="19"/>
        <v>0.88093715531278438</v>
      </c>
      <c r="H87" s="47">
        <f t="shared" si="20"/>
        <v>4.1645937109439195E-3</v>
      </c>
      <c r="I87" s="47">
        <f t="shared" si="21"/>
        <v>1.0023960048673949E-3</v>
      </c>
      <c r="J87" s="47">
        <f t="shared" si="22"/>
        <v>0.10887987312854637</v>
      </c>
      <c r="K87" s="47">
        <f t="shared" si="23"/>
        <v>4.3518401450535708E-3</v>
      </c>
      <c r="L87" s="47">
        <f t="shared" si="24"/>
        <v>6.3861670644858935E-4</v>
      </c>
      <c r="M87" s="47">
        <f t="shared" si="25"/>
        <v>2.5524991355782697E-5</v>
      </c>
      <c r="N87" s="48">
        <f t="shared" si="26"/>
        <v>1</v>
      </c>
      <c r="O87" s="49">
        <f t="shared" si="27"/>
        <v>0.11323171327359995</v>
      </c>
      <c r="P87" s="49">
        <f t="shared" si="28"/>
        <v>6.6414169780437205E-4</v>
      </c>
      <c r="Q87" s="50">
        <f t="shared" si="29"/>
        <v>0.99833346229732822</v>
      </c>
      <c r="R87" s="50">
        <f t="shared" si="30"/>
        <v>1.666537702671767E-3</v>
      </c>
      <c r="S87" s="51">
        <f>IF(R87&lt;Interface!$B$21,R87,0)</f>
        <v>1.666537702671767E-3</v>
      </c>
    </row>
    <row r="88" spans="1:19">
      <c r="A88" s="39"/>
      <c r="B88" s="39"/>
      <c r="C88" s="89"/>
      <c r="D88" s="89"/>
      <c r="E88" s="39"/>
      <c r="F88" s="46">
        <v>87</v>
      </c>
      <c r="G88" s="47">
        <f t="shared" si="19"/>
        <v>0.88111427852380253</v>
      </c>
      <c r="H88" s="47">
        <f t="shared" si="20"/>
        <v>4.2140097175848573E-3</v>
      </c>
      <c r="I88" s="47">
        <f t="shared" si="21"/>
        <v>1.0142901801631044E-3</v>
      </c>
      <c r="J88" s="47">
        <f t="shared" si="22"/>
        <v>0.10890176476136884</v>
      </c>
      <c r="K88" s="47">
        <f t="shared" si="23"/>
        <v>4.0852218181492723E-3</v>
      </c>
      <c r="L88" s="47">
        <f t="shared" si="24"/>
        <v>6.4619436938457935E-4</v>
      </c>
      <c r="M88" s="47">
        <f t="shared" si="25"/>
        <v>2.4240629546818303E-5</v>
      </c>
      <c r="N88" s="48">
        <f t="shared" si="26"/>
        <v>1</v>
      </c>
      <c r="O88" s="49">
        <f t="shared" si="27"/>
        <v>0.11298698657951811</v>
      </c>
      <c r="P88" s="49">
        <f t="shared" si="28"/>
        <v>6.7043499893139769E-4</v>
      </c>
      <c r="Q88" s="50">
        <f t="shared" si="29"/>
        <v>0.99831527482090554</v>
      </c>
      <c r="R88" s="50">
        <f t="shared" si="30"/>
        <v>1.684725179094502E-3</v>
      </c>
      <c r="S88" s="51">
        <f>IF(R88&lt;Interface!$B$21,R88,0)</f>
        <v>1.684725179094502E-3</v>
      </c>
    </row>
    <row r="89" spans="1:19">
      <c r="A89" s="39"/>
      <c r="B89" s="39"/>
      <c r="C89" s="89"/>
      <c r="D89" s="89"/>
      <c r="E89" s="39"/>
      <c r="F89" s="46">
        <v>88</v>
      </c>
      <c r="G89" s="47">
        <f t="shared" si="19"/>
        <v>0.88127686808040528</v>
      </c>
      <c r="H89" s="47">
        <f t="shared" si="20"/>
        <v>4.2633782493338547E-3</v>
      </c>
      <c r="I89" s="47">
        <f t="shared" si="21"/>
        <v>1.0261729284997119E-3</v>
      </c>
      <c r="J89" s="47">
        <f t="shared" si="22"/>
        <v>0.10892186009982537</v>
      </c>
      <c r="K89" s="47">
        <f t="shared" si="23"/>
        <v>3.8349380370628038E-3</v>
      </c>
      <c r="L89" s="47">
        <f t="shared" si="24"/>
        <v>6.5376475231650806E-4</v>
      </c>
      <c r="M89" s="47">
        <f t="shared" si="25"/>
        <v>2.3017852556426728E-5</v>
      </c>
      <c r="N89" s="48">
        <f t="shared" si="26"/>
        <v>1</v>
      </c>
      <c r="O89" s="49">
        <f t="shared" si="27"/>
        <v>0.11275679813688817</v>
      </c>
      <c r="P89" s="49">
        <f t="shared" si="28"/>
        <v>6.7678260487293485E-4</v>
      </c>
      <c r="Q89" s="50">
        <f t="shared" si="29"/>
        <v>0.99829704446662726</v>
      </c>
      <c r="R89" s="50">
        <f t="shared" si="30"/>
        <v>1.7029555333726468E-3</v>
      </c>
      <c r="S89" s="51">
        <f>IF(R89&lt;Interface!$B$21,R89,0)</f>
        <v>1.7029555333726468E-3</v>
      </c>
    </row>
    <row r="90" spans="1:19">
      <c r="A90" s="39"/>
      <c r="B90" s="39"/>
      <c r="C90" s="89"/>
      <c r="D90" s="89"/>
      <c r="E90" s="39"/>
      <c r="F90" s="46">
        <v>89</v>
      </c>
      <c r="G90" s="47">
        <f t="shared" si="19"/>
        <v>0.8814258146467987</v>
      </c>
      <c r="H90" s="47">
        <f t="shared" si="20"/>
        <v>4.3127012621227744E-3</v>
      </c>
      <c r="I90" s="47">
        <f t="shared" si="21"/>
        <v>1.0380447206598238E-3</v>
      </c>
      <c r="J90" s="47">
        <f t="shared" si="22"/>
        <v>0.10894026922600883</v>
      </c>
      <c r="K90" s="47">
        <f t="shared" si="23"/>
        <v>3.5999880551831846E-3</v>
      </c>
      <c r="L90" s="47">
        <f t="shared" si="24"/>
        <v>6.6132815517537719E-4</v>
      </c>
      <c r="M90" s="47">
        <f t="shared" si="25"/>
        <v>2.1853934051223129E-5</v>
      </c>
      <c r="N90" s="48">
        <f t="shared" si="26"/>
        <v>0.99999999999999989</v>
      </c>
      <c r="O90" s="49">
        <f t="shared" si="27"/>
        <v>0.11254025728119202</v>
      </c>
      <c r="P90" s="49">
        <f t="shared" si="28"/>
        <v>6.8318208922660034E-4</v>
      </c>
      <c r="Q90" s="50">
        <f t="shared" si="29"/>
        <v>0.99827877319011349</v>
      </c>
      <c r="R90" s="50">
        <f t="shared" si="30"/>
        <v>1.7212268098864242E-3</v>
      </c>
      <c r="S90" s="51">
        <f>IF(R90&lt;Interface!$B$21,R90,0)</f>
        <v>1.7212268098864242E-3</v>
      </c>
    </row>
    <row r="91" spans="1:19">
      <c r="A91" s="39"/>
      <c r="B91" s="39"/>
      <c r="C91" s="89"/>
      <c r="D91" s="89"/>
      <c r="E91" s="39"/>
      <c r="F91" s="46">
        <v>90</v>
      </c>
      <c r="G91" s="47">
        <f t="shared" si="19"/>
        <v>0.88156195432004736</v>
      </c>
      <c r="H91" s="47">
        <f t="shared" si="20"/>
        <v>4.361980638019093E-3</v>
      </c>
      <c r="I91" s="47">
        <f t="shared" si="21"/>
        <v>1.0499060096472754E-3</v>
      </c>
      <c r="J91" s="47">
        <f t="shared" si="22"/>
        <v>0.10895709547775864</v>
      </c>
      <c r="K91" s="47">
        <f t="shared" si="23"/>
        <v>3.3794324372937346E-3</v>
      </c>
      <c r="L91" s="47">
        <f t="shared" si="24"/>
        <v>6.6888486656550611E-4</v>
      </c>
      <c r="M91" s="47">
        <f t="shared" si="25"/>
        <v>2.0746250668436618E-5</v>
      </c>
      <c r="N91" s="48">
        <f t="shared" si="26"/>
        <v>1</v>
      </c>
      <c r="O91" s="49">
        <f t="shared" si="27"/>
        <v>0.11233652791505237</v>
      </c>
      <c r="P91" s="49">
        <f t="shared" si="28"/>
        <v>6.8963111723394273E-4</v>
      </c>
      <c r="Q91" s="50">
        <f t="shared" si="29"/>
        <v>0.99826046287311887</v>
      </c>
      <c r="R91" s="50">
        <f t="shared" si="30"/>
        <v>1.739537126881218E-3</v>
      </c>
      <c r="S91" s="51">
        <f>IF(R91&lt;Interface!$B$21,R91,0)</f>
        <v>1.739537126881218E-3</v>
      </c>
    </row>
    <row r="92" spans="1:19">
      <c r="A92" s="39"/>
      <c r="B92" s="39"/>
      <c r="C92" s="89"/>
      <c r="D92" s="89"/>
      <c r="E92" s="39"/>
      <c r="F92" s="46">
        <v>91</v>
      </c>
      <c r="G92" s="47">
        <f t="shared" si="19"/>
        <v>0.88168607197316629</v>
      </c>
      <c r="H92" s="47">
        <f t="shared" si="20"/>
        <v>4.411218186938023E-3</v>
      </c>
      <c r="I92" s="47">
        <f t="shared" si="21"/>
        <v>1.0617572310992263E-3</v>
      </c>
      <c r="J92" s="47">
        <f t="shared" si="22"/>
        <v>0.108972435861852</v>
      </c>
      <c r="K92" s="47">
        <f t="shared" si="23"/>
        <v>3.1723893032894919E-3</v>
      </c>
      <c r="L92" s="47">
        <f t="shared" si="24"/>
        <v>6.7643516402707553E-4</v>
      </c>
      <c r="M92" s="47">
        <f t="shared" si="25"/>
        <v>1.9692279627931016E-5</v>
      </c>
      <c r="N92" s="48">
        <f t="shared" si="26"/>
        <v>1</v>
      </c>
      <c r="O92" s="49">
        <f t="shared" si="27"/>
        <v>0.11214482516514149</v>
      </c>
      <c r="P92" s="49">
        <f t="shared" si="28"/>
        <v>6.9612744365500656E-4</v>
      </c>
      <c r="Q92" s="50">
        <f t="shared" si="29"/>
        <v>0.99824211532524576</v>
      </c>
      <c r="R92" s="50">
        <f t="shared" si="30"/>
        <v>1.7578846747542329E-3</v>
      </c>
      <c r="S92" s="51">
        <f>IF(R92&lt;Interface!$B$21,R92,0)</f>
        <v>1.7578846747542329E-3</v>
      </c>
    </row>
    <row r="93" spans="1:19">
      <c r="A93" s="39"/>
      <c r="B93" s="39"/>
      <c r="C93" s="89"/>
      <c r="D93" s="89"/>
      <c r="E93" s="39"/>
      <c r="F93" s="46">
        <v>92</v>
      </c>
      <c r="G93" s="47">
        <f t="shared" si="19"/>
        <v>0.88179890439339625</v>
      </c>
      <c r="H93" s="47">
        <f t="shared" si="20"/>
        <v>4.4604156484230727E-3</v>
      </c>
      <c r="I93" s="47">
        <f t="shared" si="21"/>
        <v>1.0735988037147343E-3</v>
      </c>
      <c r="J93" s="47">
        <f t="shared" si="22"/>
        <v>0.10898638144188044</v>
      </c>
      <c r="K93" s="47">
        <f t="shared" si="23"/>
        <v>2.978030802025718E-3</v>
      </c>
      <c r="L93" s="47">
        <f t="shared" si="24"/>
        <v>6.8397931430916705E-4</v>
      </c>
      <c r="M93" s="47">
        <f t="shared" si="25"/>
        <v>1.8689596250586231E-5</v>
      </c>
      <c r="N93" s="48">
        <f t="shared" si="26"/>
        <v>1</v>
      </c>
      <c r="O93" s="49">
        <f t="shared" si="27"/>
        <v>0.11196441224390616</v>
      </c>
      <c r="P93" s="49">
        <f t="shared" si="28"/>
        <v>7.0266891055975329E-4</v>
      </c>
      <c r="Q93" s="50">
        <f t="shared" si="29"/>
        <v>0.99822373228572547</v>
      </c>
      <c r="R93" s="50">
        <f t="shared" si="30"/>
        <v>1.7762677142744876E-3</v>
      </c>
      <c r="S93" s="51">
        <f>IF(R93&lt;Interface!$B$21,R93,0)</f>
        <v>1.7762677142744876E-3</v>
      </c>
    </row>
    <row r="94" spans="1:19">
      <c r="A94" s="39"/>
      <c r="B94" s="39"/>
      <c r="C94" s="89"/>
      <c r="D94" s="89"/>
      <c r="E94" s="39"/>
      <c r="F94" s="46">
        <v>93</v>
      </c>
      <c r="G94" s="47">
        <f t="shared" si="19"/>
        <v>0.88190114322820967</v>
      </c>
      <c r="H94" s="47">
        <f t="shared" si="20"/>
        <v>4.5095746934788192E-3</v>
      </c>
      <c r="I94" s="47">
        <f t="shared" si="21"/>
        <v>1.0854311296958942E-3</v>
      </c>
      <c r="J94" s="47">
        <f t="shared" si="22"/>
        <v>0.10899901770236298</v>
      </c>
      <c r="K94" s="47">
        <f t="shared" si="23"/>
        <v>2.7955798011983909E-3</v>
      </c>
      <c r="L94" s="47">
        <f t="shared" si="24"/>
        <v>6.9151757365080709E-4</v>
      </c>
      <c r="M94" s="47">
        <f t="shared" si="25"/>
        <v>1.7735871403454008E-5</v>
      </c>
      <c r="N94" s="48">
        <f t="shared" si="26"/>
        <v>1</v>
      </c>
      <c r="O94" s="49">
        <f t="shared" si="27"/>
        <v>0.11179459750356137</v>
      </c>
      <c r="P94" s="49">
        <f t="shared" si="28"/>
        <v>7.092534450542611E-4</v>
      </c>
      <c r="Q94" s="50">
        <f t="shared" si="29"/>
        <v>0.99820531542524982</v>
      </c>
      <c r="R94" s="50">
        <f t="shared" si="30"/>
        <v>1.7946845747501554E-3</v>
      </c>
      <c r="S94" s="51">
        <f>IF(R94&lt;Interface!$B$21,R94,0)</f>
        <v>1.7946845747501554E-3</v>
      </c>
    </row>
    <row r="95" spans="1:19">
      <c r="A95" s="39"/>
      <c r="B95" s="39"/>
      <c r="C95" s="89"/>
      <c r="D95" s="89"/>
      <c r="E95" s="39"/>
      <c r="F95" s="46">
        <v>94</v>
      </c>
      <c r="G95" s="47">
        <f t="shared" si="19"/>
        <v>0.88199343775082817</v>
      </c>
      <c r="H95" s="47">
        <f t="shared" si="20"/>
        <v>4.5586969264424619E-3</v>
      </c>
      <c r="I95" s="47">
        <f t="shared" si="21"/>
        <v>1.0972545951983097E-3</v>
      </c>
      <c r="J95" s="47">
        <f t="shared" si="22"/>
        <v>0.10901042489055178</v>
      </c>
      <c r="K95" s="47">
        <f t="shared" si="23"/>
        <v>2.6243067800213247E-3</v>
      </c>
      <c r="L95" s="47">
        <f t="shared" si="24"/>
        <v>6.990501880679604E-4</v>
      </c>
      <c r="M95" s="47">
        <f t="shared" si="25"/>
        <v>1.6828868889960021E-5</v>
      </c>
      <c r="N95" s="48">
        <f t="shared" si="26"/>
        <v>1</v>
      </c>
      <c r="O95" s="49">
        <f t="shared" si="27"/>
        <v>0.1116347316705731</v>
      </c>
      <c r="P95" s="49">
        <f t="shared" si="28"/>
        <v>7.1587905695792047E-4</v>
      </c>
      <c r="Q95" s="50">
        <f t="shared" si="29"/>
        <v>0.9981868663478437</v>
      </c>
      <c r="R95" s="50">
        <f t="shared" si="30"/>
        <v>1.8131336521562303E-3</v>
      </c>
      <c r="S95" s="51">
        <f>IF(R95&lt;Interface!$B$21,R95,0)</f>
        <v>1.8131336521562303E-3</v>
      </c>
    </row>
    <row r="96" spans="1:19">
      <c r="A96" s="39"/>
      <c r="B96" s="39"/>
      <c r="C96" s="89"/>
      <c r="D96" s="89"/>
      <c r="E96" s="39"/>
      <c r="F96" s="46">
        <v>95</v>
      </c>
      <c r="G96" s="47">
        <f t="shared" si="19"/>
        <v>0.88207639745630861</v>
      </c>
      <c r="H96" s="47">
        <f t="shared" si="20"/>
        <v>4.6077838868843713E-3</v>
      </c>
      <c r="I96" s="47">
        <f t="shared" si="21"/>
        <v>1.1090695707885458E-3</v>
      </c>
      <c r="J96" s="47">
        <f t="shared" si="22"/>
        <v>0.10902067833729656</v>
      </c>
      <c r="K96" s="47">
        <f t="shared" si="23"/>
        <v>2.463526912275452E-3</v>
      </c>
      <c r="L96" s="47">
        <f t="shared" si="24"/>
        <v>7.0657739364496722E-4</v>
      </c>
      <c r="M96" s="47">
        <f t="shared" si="25"/>
        <v>1.5966442801469244E-5</v>
      </c>
      <c r="N96" s="48">
        <f t="shared" si="26"/>
        <v>1</v>
      </c>
      <c r="O96" s="49">
        <f t="shared" si="27"/>
        <v>0.11148420524957202</v>
      </c>
      <c r="P96" s="49">
        <f t="shared" si="28"/>
        <v>7.225438364464365E-4</v>
      </c>
      <c r="Q96" s="50">
        <f t="shared" si="29"/>
        <v>0.99816838659276497</v>
      </c>
      <c r="R96" s="50">
        <f t="shared" si="30"/>
        <v>1.8316134072349824E-3</v>
      </c>
      <c r="S96" s="51">
        <f>IF(R96&lt;Interface!$B$21,R96,0)</f>
        <v>1.8316134072349824E-3</v>
      </c>
    </row>
    <row r="97" spans="1:19">
      <c r="A97" s="39"/>
      <c r="B97" s="39"/>
      <c r="C97" s="89"/>
      <c r="D97" s="89"/>
      <c r="E97" s="39"/>
      <c r="F97" s="46">
        <v>96</v>
      </c>
      <c r="G97" s="47">
        <f t="shared" si="19"/>
        <v>0.88215059449857836</v>
      </c>
      <c r="H97" s="47">
        <f t="shared" si="20"/>
        <v>4.6568370515247424E-3</v>
      </c>
      <c r="I97" s="47">
        <f t="shared" si="21"/>
        <v>1.120876411905459E-3</v>
      </c>
      <c r="J97" s="47">
        <f t="shared" si="22"/>
        <v>0.10902984875825125</v>
      </c>
      <c r="K97" s="47">
        <f t="shared" si="23"/>
        <v>2.3125973280669981E-3</v>
      </c>
      <c r="L97" s="47">
        <f t="shared" si="24"/>
        <v>7.1409941682845179E-4</v>
      </c>
      <c r="M97" s="47">
        <f t="shared" si="25"/>
        <v>1.514653484472252E-5</v>
      </c>
      <c r="N97" s="48">
        <f t="shared" si="26"/>
        <v>1</v>
      </c>
      <c r="O97" s="49">
        <f t="shared" si="27"/>
        <v>0.11134244608631826</v>
      </c>
      <c r="P97" s="49">
        <f t="shared" si="28"/>
        <v>7.2924595167317429E-4</v>
      </c>
      <c r="Q97" s="50">
        <f t="shared" si="29"/>
        <v>0.99814987763642138</v>
      </c>
      <c r="R97" s="50">
        <f t="shared" si="30"/>
        <v>1.8501223635786334E-3</v>
      </c>
      <c r="S97" s="51">
        <f>IF(R97&lt;Interface!$B$21,R97,0)</f>
        <v>1.8501223635786334E-3</v>
      </c>
    </row>
    <row r="98" spans="1:19">
      <c r="A98" s="39"/>
      <c r="B98" s="39"/>
      <c r="C98" s="89"/>
      <c r="D98" s="89"/>
      <c r="E98" s="39"/>
      <c r="F98" s="46">
        <v>97</v>
      </c>
      <c r="G98" s="47">
        <f>p.delivery*(1-(1-p.conception)^F98)*(1-alpha)^F98</f>
        <v>0.88221656597816411</v>
      </c>
      <c r="H98" s="47">
        <f t="shared" si="20"/>
        <v>4.705857836158873E-3</v>
      </c>
      <c r="I98" s="47">
        <f t="shared" si="21"/>
        <v>1.1326754593235999E-3</v>
      </c>
      <c r="J98" s="47">
        <f t="shared" si="22"/>
        <v>0.10903800253662702</v>
      </c>
      <c r="K98" s="47">
        <f t="shared" si="23"/>
        <v>2.170914543345827E-3</v>
      </c>
      <c r="L98" s="47">
        <f t="shared" si="24"/>
        <v>7.2161647472255273E-4</v>
      </c>
      <c r="M98" s="47">
        <f t="shared" si="25"/>
        <v>1.436717165803647E-5</v>
      </c>
      <c r="N98" s="48">
        <f t="shared" si="26"/>
        <v>1</v>
      </c>
      <c r="O98" s="49">
        <f t="shared" si="27"/>
        <v>0.11120891707997284</v>
      </c>
      <c r="P98" s="49">
        <f t="shared" si="28"/>
        <v>7.3598364638058919E-4</v>
      </c>
      <c r="Q98" s="50">
        <f t="shared" si="29"/>
        <v>0.99813134089429578</v>
      </c>
      <c r="R98" s="50">
        <f t="shared" si="30"/>
        <v>1.8686591057041891E-3</v>
      </c>
      <c r="S98" s="51">
        <f>IF(R98&lt;Interface!$B$21,R98,0)</f>
        <v>1.8686591057041891E-3</v>
      </c>
    </row>
    <row r="99" spans="1:19">
      <c r="A99" s="39"/>
      <c r="B99" s="39"/>
      <c r="C99" s="89"/>
      <c r="D99" s="89"/>
      <c r="E99" s="39"/>
      <c r="F99" s="46">
        <v>98</v>
      </c>
      <c r="G99" s="47">
        <f>p.delivery*(1-(1-p.conception)^F99)*(1-alpha)^F99</f>
        <v>0.88227481608976077</v>
      </c>
      <c r="H99" s="47">
        <f t="shared" si="20"/>
        <v>4.7548475975826496E-3</v>
      </c>
      <c r="I99" s="47">
        <f t="shared" si="21"/>
        <v>1.1444670396166675E-3</v>
      </c>
      <c r="J99" s="47">
        <f t="shared" si="22"/>
        <v>0.1090452019886221</v>
      </c>
      <c r="K99" s="47">
        <f t="shared" si="23"/>
        <v>2.0379120469060249E-3</v>
      </c>
      <c r="L99" s="47">
        <f t="shared" si="24"/>
        <v>7.2912877538418514E-4</v>
      </c>
      <c r="M99" s="47">
        <f t="shared" si="25"/>
        <v>1.3626462127662516E-5</v>
      </c>
      <c r="N99" s="48">
        <f t="shared" si="26"/>
        <v>1.0000000000000002</v>
      </c>
      <c r="O99" s="49">
        <f t="shared" si="27"/>
        <v>0.11108311403552812</v>
      </c>
      <c r="P99" s="49">
        <f t="shared" si="28"/>
        <v>7.4275523751184765E-4</v>
      </c>
      <c r="Q99" s="50">
        <f t="shared" si="29"/>
        <v>0.99811277772287155</v>
      </c>
      <c r="R99" s="50">
        <f t="shared" si="30"/>
        <v>1.887222277128515E-3</v>
      </c>
      <c r="S99" s="51">
        <f>IF(R99&lt;Interface!$B$21,R99,0)</f>
        <v>1.887222277128515E-3</v>
      </c>
    </row>
    <row r="100" spans="1:19">
      <c r="A100" s="39"/>
      <c r="B100" s="39"/>
      <c r="C100" s="89"/>
      <c r="D100" s="89"/>
      <c r="E100" s="39"/>
      <c r="F100" s="46">
        <v>99</v>
      </c>
      <c r="G100" s="47">
        <f>p.delivery*(1-(1-p.conception)^F100)*(1-alpha)^F100</f>
        <v>0.88232581813822986</v>
      </c>
      <c r="H100" s="47">
        <f t="shared" si="20"/>
        <v>4.8038076355092739E-3</v>
      </c>
      <c r="I100" s="47">
        <f t="shared" si="21"/>
        <v>1.1562514656188576E-3</v>
      </c>
      <c r="J100" s="47">
        <f t="shared" si="22"/>
        <v>0.10905150561259019</v>
      </c>
      <c r="K100" s="47">
        <f t="shared" si="23"/>
        <v>1.9130580352204676E-3</v>
      </c>
      <c r="L100" s="47">
        <f t="shared" si="24"/>
        <v>7.3663651811695986E-4</v>
      </c>
      <c r="M100" s="47">
        <f t="shared" si="25"/>
        <v>1.2922594714343673E-5</v>
      </c>
      <c r="N100" s="48">
        <f t="shared" si="26"/>
        <v>0.99999999999999978</v>
      </c>
      <c r="O100" s="49">
        <f t="shared" si="27"/>
        <v>0.11096456364781065</v>
      </c>
      <c r="P100" s="49">
        <f t="shared" si="28"/>
        <v>7.4955911283130356E-4</v>
      </c>
      <c r="Q100" s="50">
        <f t="shared" si="29"/>
        <v>0.99809418942154982</v>
      </c>
      <c r="R100" s="50">
        <f t="shared" si="30"/>
        <v>1.905810578450161E-3</v>
      </c>
      <c r="S100" s="51">
        <f>IF(R100&lt;Interface!$B$21,R100,0)</f>
        <v>1.905810578450161E-3</v>
      </c>
    </row>
    <row r="101" spans="1:19">
      <c r="A101" s="39"/>
      <c r="B101" s="39"/>
      <c r="C101" s="89"/>
      <c r="D101" s="89"/>
      <c r="E101" s="39"/>
      <c r="F101" s="46">
        <v>100</v>
      </c>
      <c r="G101" s="47">
        <f>p.delivery*(1-(1-p.conception)^F101)*(1-alpha)^F101</f>
        <v>0.88237001643108381</v>
      </c>
      <c r="H101" s="47">
        <f t="shared" si="20"/>
        <v>4.8527391944750576E-3</v>
      </c>
      <c r="I101" s="47">
        <f t="shared" si="21"/>
        <v>1.1680290368835747E-3</v>
      </c>
      <c r="J101" s="47">
        <f t="shared" si="22"/>
        <v>0.10905696832294294</v>
      </c>
      <c r="K101" s="47">
        <f t="shared" si="23"/>
        <v>1.7958532860522219E-3</v>
      </c>
      <c r="L101" s="47">
        <f t="shared" si="24"/>
        <v>7.4413989376342633E-4</v>
      </c>
      <c r="M101" s="47">
        <f t="shared" si="25"/>
        <v>1.225383479889438E-5</v>
      </c>
      <c r="N101" s="48">
        <f t="shared" si="26"/>
        <v>1</v>
      </c>
      <c r="O101" s="49">
        <f t="shared" si="27"/>
        <v>0.11085282160899516</v>
      </c>
      <c r="P101" s="49">
        <f t="shared" si="28"/>
        <v>7.5639372856232067E-4</v>
      </c>
      <c r="Q101" s="50">
        <f t="shared" si="29"/>
        <v>0.99807557723455398</v>
      </c>
      <c r="R101" s="50">
        <f t="shared" si="30"/>
        <v>1.9244227654458953E-3</v>
      </c>
      <c r="S101" s="51">
        <f>IF(R101&lt;Interface!$B$21,R101,0)</f>
        <v>1.9244227654458953E-3</v>
      </c>
    </row>
    <row r="102" spans="1:19">
      <c r="A102" s="39"/>
      <c r="B102" s="39"/>
      <c r="C102" s="89"/>
      <c r="D102" s="89"/>
      <c r="E102" s="39"/>
      <c r="F102" s="46"/>
      <c r="G102" s="47"/>
      <c r="H102" s="47"/>
      <c r="I102" s="47"/>
      <c r="J102" s="47"/>
      <c r="K102" s="47"/>
      <c r="L102" s="47"/>
      <c r="M102" s="47"/>
      <c r="N102" s="48"/>
      <c r="O102" s="49"/>
      <c r="P102" s="49"/>
      <c r="Q102" s="52"/>
      <c r="R102" s="52"/>
      <c r="S102" s="39"/>
    </row>
    <row r="103" spans="1:19">
      <c r="A103" s="39"/>
      <c r="B103" s="39"/>
      <c r="C103" s="89"/>
      <c r="D103" s="89"/>
      <c r="E103" s="39"/>
      <c r="F103" s="46"/>
      <c r="G103" s="47"/>
      <c r="H103" s="47"/>
      <c r="I103" s="47"/>
      <c r="J103" s="47"/>
      <c r="K103" s="47"/>
      <c r="L103" s="47"/>
      <c r="M103" s="47"/>
      <c r="N103" s="48"/>
      <c r="O103" s="49"/>
      <c r="P103" s="49"/>
      <c r="Q103" s="52"/>
      <c r="R103" s="52"/>
      <c r="S103" s="39"/>
    </row>
    <row r="104" spans="1:19">
      <c r="A104" s="39"/>
      <c r="B104" s="39"/>
      <c r="C104" s="89"/>
      <c r="D104" s="89"/>
      <c r="E104" s="39"/>
      <c r="F104" s="46"/>
      <c r="G104" s="47"/>
      <c r="H104" s="47"/>
      <c r="I104" s="47"/>
      <c r="J104" s="47"/>
      <c r="K104" s="47"/>
      <c r="L104" s="47"/>
      <c r="M104" s="47"/>
      <c r="N104" s="48"/>
      <c r="O104" s="49"/>
      <c r="P104" s="49"/>
      <c r="Q104" s="52"/>
      <c r="R104" s="52"/>
      <c r="S104" s="39"/>
    </row>
    <row r="105" spans="1:19">
      <c r="A105" s="39"/>
      <c r="B105" s="39"/>
      <c r="C105" s="89"/>
      <c r="D105" s="89"/>
      <c r="E105" s="39"/>
      <c r="F105" s="46"/>
      <c r="G105" s="47"/>
      <c r="H105" s="47"/>
      <c r="I105" s="47"/>
      <c r="J105" s="47"/>
      <c r="K105" s="47"/>
      <c r="L105" s="47"/>
      <c r="M105" s="47"/>
      <c r="N105" s="48"/>
      <c r="O105" s="49"/>
      <c r="P105" s="49"/>
      <c r="Q105" s="52"/>
      <c r="R105" s="52"/>
      <c r="S105" s="39"/>
    </row>
    <row r="106" spans="1:19">
      <c r="A106" s="39"/>
      <c r="B106" s="39"/>
      <c r="C106" s="89"/>
      <c r="D106" s="89"/>
      <c r="E106" s="39"/>
      <c r="F106" s="46"/>
      <c r="G106" s="47"/>
      <c r="H106" s="47"/>
      <c r="I106" s="47"/>
      <c r="J106" s="47"/>
      <c r="K106" s="47"/>
      <c r="L106" s="47"/>
      <c r="M106" s="47"/>
      <c r="N106" s="48"/>
      <c r="O106" s="49"/>
      <c r="P106" s="49"/>
      <c r="Q106" s="52"/>
      <c r="R106" s="52"/>
      <c r="S106" s="39"/>
    </row>
    <row r="107" spans="1:19">
      <c r="A107" s="39"/>
      <c r="B107" s="39"/>
      <c r="C107" s="89"/>
      <c r="D107" s="89"/>
      <c r="E107" s="39"/>
      <c r="F107" s="46"/>
      <c r="G107" s="47"/>
      <c r="H107" s="47"/>
      <c r="I107" s="47"/>
      <c r="J107" s="47"/>
      <c r="K107" s="47"/>
      <c r="L107" s="47"/>
      <c r="M107" s="47"/>
      <c r="N107" s="48"/>
      <c r="O107" s="49"/>
      <c r="P107" s="49"/>
      <c r="Q107" s="52"/>
      <c r="R107" s="52"/>
      <c r="S107" s="39"/>
    </row>
    <row r="108" spans="1:19">
      <c r="A108" s="39"/>
      <c r="B108" s="39"/>
      <c r="C108" s="89"/>
      <c r="D108" s="89"/>
      <c r="E108" s="39"/>
      <c r="F108" s="46"/>
      <c r="G108" s="47"/>
      <c r="H108" s="47"/>
      <c r="I108" s="47"/>
      <c r="J108" s="47"/>
      <c r="K108" s="47"/>
      <c r="L108" s="47"/>
      <c r="M108" s="47"/>
      <c r="N108" s="48"/>
      <c r="O108" s="49"/>
      <c r="P108" s="49"/>
      <c r="Q108" s="52"/>
      <c r="R108" s="52"/>
      <c r="S108" s="39"/>
    </row>
    <row r="109" spans="1:19">
      <c r="A109" s="39"/>
      <c r="B109" s="39"/>
      <c r="C109" s="89"/>
      <c r="D109" s="89"/>
      <c r="E109" s="39"/>
      <c r="F109" s="46"/>
      <c r="G109" s="47"/>
      <c r="H109" s="47"/>
      <c r="I109" s="47"/>
      <c r="J109" s="47"/>
      <c r="K109" s="47"/>
      <c r="L109" s="47"/>
      <c r="M109" s="47"/>
      <c r="N109" s="48"/>
      <c r="O109" s="49"/>
      <c r="P109" s="49"/>
      <c r="Q109" s="52"/>
      <c r="R109" s="52"/>
      <c r="S109" s="39"/>
    </row>
    <row r="110" spans="1:19" ht="16" thickBot="1">
      <c r="A110" s="40" t="s">
        <v>21</v>
      </c>
      <c r="B110" s="39">
        <f>MIN(1,TT*h.late*h.tx*h.std*h.prep)</f>
        <v>6.8000000000000013E-5</v>
      </c>
      <c r="C110" s="89"/>
      <c r="D110" s="89"/>
      <c r="E110" s="39"/>
      <c r="F110" s="53"/>
      <c r="G110" s="54"/>
      <c r="H110" s="54"/>
      <c r="I110" s="54"/>
      <c r="J110" s="54"/>
      <c r="K110" s="54"/>
      <c r="L110" s="54"/>
      <c r="M110" s="54"/>
      <c r="N110" s="55"/>
      <c r="O110" s="44"/>
      <c r="P110" s="44"/>
      <c r="Q110" s="45"/>
      <c r="R110" s="45"/>
      <c r="S110" s="39"/>
    </row>
    <row r="111" spans="1:19">
      <c r="A111" s="39"/>
      <c r="B111" s="39"/>
      <c r="C111" s="89"/>
      <c r="D111" s="89"/>
      <c r="E111" s="39"/>
      <c r="F111" s="56"/>
      <c r="G111" s="57"/>
      <c r="H111" s="57"/>
      <c r="I111" s="57"/>
      <c r="J111" s="57"/>
      <c r="K111" s="57"/>
      <c r="L111" s="57"/>
      <c r="M111" s="57"/>
      <c r="N111" s="58"/>
      <c r="O111" s="49"/>
      <c r="P111" s="49"/>
      <c r="Q111" s="52"/>
      <c r="R111" s="50"/>
      <c r="S111" s="39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G34"/>
  <sheetViews>
    <sheetView workbookViewId="0">
      <selection activeCell="B14" sqref="B14"/>
    </sheetView>
  </sheetViews>
  <sheetFormatPr baseColWidth="10" defaultColWidth="9.1640625" defaultRowHeight="12" x14ac:dyDescent="0"/>
  <cols>
    <col min="1" max="1" width="9.1640625" style="21"/>
    <col min="2" max="2" width="19.1640625" style="99" customWidth="1"/>
    <col min="3" max="3" width="21.5" style="22" customWidth="1"/>
    <col min="4" max="4" width="17.6640625" style="21" customWidth="1"/>
    <col min="5" max="5" width="16.6640625" style="21" hidden="1" customWidth="1"/>
    <col min="6" max="6" width="9.1640625" style="21"/>
    <col min="7" max="7" width="30.5" style="59" bestFit="1" customWidth="1"/>
    <col min="8" max="16384" width="9.1640625" style="21"/>
  </cols>
  <sheetData>
    <row r="1" spans="1:7" s="23" customFormat="1" ht="16" thickBot="1">
      <c r="A1" s="77" t="s">
        <v>34</v>
      </c>
      <c r="B1" s="96" t="s">
        <v>35</v>
      </c>
      <c r="C1" s="75" t="s">
        <v>36</v>
      </c>
      <c r="D1" s="79" t="s">
        <v>40</v>
      </c>
      <c r="E1" s="28" t="s">
        <v>45</v>
      </c>
      <c r="F1" s="82" t="s">
        <v>41</v>
      </c>
      <c r="G1" s="84" t="s">
        <v>46</v>
      </c>
    </row>
    <row r="2" spans="1:7">
      <c r="A2" s="78">
        <v>18</v>
      </c>
      <c r="B2" s="97">
        <f>Pregnancy.Calc!W2</f>
        <v>6.1201814416838085E-2</v>
      </c>
      <c r="C2" s="76">
        <f>Pregnancy.Calc!X2</f>
        <v>0.89</v>
      </c>
      <c r="D2" s="80">
        <f>LOG(1-Interface!$B$20)/LOG(1-B2)+0.5</f>
        <v>27.652328057732831</v>
      </c>
      <c r="E2" s="26">
        <f ca="1">CELL("row",INDEX(Model!S:S,MATCH(MAX(Model!S:S),Model!S:S,0)))</f>
        <v>101</v>
      </c>
      <c r="F2" s="83">
        <f ca="1">INDIRECT("Model!F"&amp;Pregnancy!E2)</f>
        <v>100</v>
      </c>
      <c r="G2" s="85">
        <f ca="1">MIN(D2,F2)</f>
        <v>27.652328057732831</v>
      </c>
    </row>
    <row r="3" spans="1:7">
      <c r="A3" s="71">
        <v>19</v>
      </c>
      <c r="B3" s="97">
        <f>Pregnancy.Calc!W3</f>
        <v>4.3125539143931892E-2</v>
      </c>
      <c r="C3" s="76">
        <f>Pregnancy.Calc!X3</f>
        <v>0.89</v>
      </c>
      <c r="D3" s="81">
        <f>LOG(1-Interface!$B$20)/LOG(1-B3)+0.5</f>
        <v>39.399246223123086</v>
      </c>
      <c r="E3" s="24">
        <f ca="1">CELL("row",INDEX(Model!S:S,MATCH(MAX(Model!S:S),Model!S:S,0)))</f>
        <v>101</v>
      </c>
      <c r="F3" s="83">
        <f ca="1">INDIRECT("Model!F"&amp;Pregnancy!E3)</f>
        <v>100</v>
      </c>
      <c r="G3" s="86">
        <f t="shared" ref="G3:G33" ca="1" si="0">MIN(D3,F3)</f>
        <v>39.399246223123086</v>
      </c>
    </row>
    <row r="4" spans="1:7">
      <c r="A4" s="71">
        <v>20</v>
      </c>
      <c r="B4" s="97">
        <f>Pregnancy.Calc!W4</f>
        <v>3.6625907148053048E-2</v>
      </c>
      <c r="C4" s="76">
        <f>Pregnancy.Calc!X4</f>
        <v>0.89</v>
      </c>
      <c r="D4" s="81">
        <f>LOG(1-Interface!$B$20)/LOG(1-B4)+0.5</f>
        <v>46.45654407003763</v>
      </c>
      <c r="E4" s="24">
        <f ca="1">CELL("row",INDEX(Model!S:S,MATCH(MAX(Model!S:S),Model!S:S,0)))</f>
        <v>101</v>
      </c>
      <c r="F4" s="83">
        <f ca="1">INDIRECT("Model!F"&amp;Pregnancy!E4)</f>
        <v>100</v>
      </c>
      <c r="G4" s="86">
        <f t="shared" ca="1" si="0"/>
        <v>46.45654407003763</v>
      </c>
    </row>
    <row r="5" spans="1:7">
      <c r="A5" s="71">
        <v>21</v>
      </c>
      <c r="B5" s="97">
        <f>Pregnancy.Calc!W5</f>
        <v>3.2463269383356273E-2</v>
      </c>
      <c r="C5" s="76">
        <f>Pregnancy.Calc!X5</f>
        <v>0.89</v>
      </c>
      <c r="D5" s="81">
        <f>LOG(1-Interface!$B$20)/LOG(1-B5)+0.5</f>
        <v>52.460612273163541</v>
      </c>
      <c r="E5" s="24">
        <f ca="1">CELL("row",INDEX(Model!S:S,MATCH(MAX(Model!S:S),Model!S:S,0)))</f>
        <v>101</v>
      </c>
      <c r="F5" s="83">
        <f ca="1">INDIRECT("Model!F"&amp;Pregnancy!E5)</f>
        <v>100</v>
      </c>
      <c r="G5" s="86">
        <f t="shared" ca="1" si="0"/>
        <v>52.460612273163541</v>
      </c>
    </row>
    <row r="6" spans="1:7">
      <c r="A6" s="71">
        <v>22</v>
      </c>
      <c r="B6" s="97">
        <f>Pregnancy.Calc!W6</f>
        <v>2.9366965471821289E-2</v>
      </c>
      <c r="C6" s="76">
        <f>Pregnancy.Calc!X6</f>
        <v>0.89</v>
      </c>
      <c r="D6" s="81">
        <f>LOG(1-Interface!$B$20)/LOG(1-B6)+0.5</f>
        <v>58.030429322861984</v>
      </c>
      <c r="E6" s="24">
        <f ca="1">CELL("row",INDEX(Model!S:S,MATCH(MAX(Model!S:S),Model!S:S,0)))</f>
        <v>101</v>
      </c>
      <c r="F6" s="83">
        <f ca="1">INDIRECT("Model!F"&amp;Pregnancy!E6)</f>
        <v>100</v>
      </c>
      <c r="G6" s="86">
        <f t="shared" ca="1" si="0"/>
        <v>58.030429322861984</v>
      </c>
    </row>
    <row r="7" spans="1:7">
      <c r="A7" s="71">
        <v>23</v>
      </c>
      <c r="B7" s="97">
        <f>Pregnancy.Calc!W7</f>
        <v>2.6888701108983077E-2</v>
      </c>
      <c r="C7" s="76">
        <f>Pregnancy.Calc!X7</f>
        <v>0.89</v>
      </c>
      <c r="D7" s="81">
        <f>LOG(1-Interface!$B$20)/LOG(1-B7)+0.5</f>
        <v>63.412646466881476</v>
      </c>
      <c r="E7" s="24">
        <f ca="1">CELL("row",INDEX(Model!S:S,MATCH(MAX(Model!S:S),Model!S:S,0)))</f>
        <v>101</v>
      </c>
      <c r="F7" s="83">
        <f ca="1">INDIRECT("Model!F"&amp;Pregnancy!E7)</f>
        <v>100</v>
      </c>
      <c r="G7" s="86">
        <f t="shared" ca="1" si="0"/>
        <v>63.412646466881476</v>
      </c>
    </row>
    <row r="8" spans="1:7">
      <c r="A8" s="71">
        <v>24</v>
      </c>
      <c r="B8" s="97">
        <f>Pregnancy.Calc!W8</f>
        <v>2.4816051230480789E-2</v>
      </c>
      <c r="C8" s="76">
        <f>Pregnancy.Calc!X8</f>
        <v>0.89</v>
      </c>
      <c r="D8" s="81">
        <f>LOG(1-Interface!$B$20)/LOG(1-B8)+0.5</f>
        <v>68.739384146557356</v>
      </c>
      <c r="E8" s="24">
        <f ca="1">CELL("row",INDEX(Model!S:S,MATCH(MAX(Model!S:S),Model!S:S,0)))</f>
        <v>101</v>
      </c>
      <c r="F8" s="83">
        <f ca="1">INDIRECT("Model!F"&amp;Pregnancy!E8)</f>
        <v>100</v>
      </c>
      <c r="G8" s="86">
        <f t="shared" ca="1" si="0"/>
        <v>68.739384146557356</v>
      </c>
    </row>
    <row r="9" spans="1:7">
      <c r="A9" s="71">
        <v>25</v>
      </c>
      <c r="B9" s="97">
        <f>Pregnancy.Calc!W9</f>
        <v>2.3030994380579577E-2</v>
      </c>
      <c r="C9" s="76">
        <f>Pregnancy.Calc!X9</f>
        <v>0.89</v>
      </c>
      <c r="D9" s="81">
        <f>LOG(1-Interface!$B$20)/LOG(1-B9)+0.5</f>
        <v>74.095388887768735</v>
      </c>
      <c r="E9" s="24">
        <f ca="1">CELL("row",INDEX(Model!S:S,MATCH(MAX(Model!S:S),Model!S:S,0)))</f>
        <v>101</v>
      </c>
      <c r="F9" s="83">
        <f ca="1">INDIRECT("Model!F"&amp;Pregnancy!E9)</f>
        <v>100</v>
      </c>
      <c r="G9" s="86">
        <f t="shared" ca="1" si="0"/>
        <v>74.095388887768735</v>
      </c>
    </row>
    <row r="10" spans="1:7">
      <c r="A10" s="71">
        <v>26</v>
      </c>
      <c r="B10" s="97">
        <f>Pregnancy.Calc!W10</f>
        <v>2.1460949167666072E-2</v>
      </c>
      <c r="C10" s="76">
        <f>Pregnancy.Calc!X10</f>
        <v>0.89</v>
      </c>
      <c r="D10" s="81">
        <f>LOG(1-Interface!$B$20)/LOG(1-B10)+0.5</f>
        <v>79.542696675776043</v>
      </c>
      <c r="E10" s="24">
        <f ca="1">CELL("row",INDEX(Model!S:S,MATCH(MAX(Model!S:S),Model!S:S,0)))</f>
        <v>101</v>
      </c>
      <c r="F10" s="83">
        <f ca="1">INDIRECT("Model!F"&amp;Pregnancy!E10)</f>
        <v>100</v>
      </c>
      <c r="G10" s="86">
        <f t="shared" ca="1" si="0"/>
        <v>79.542696675776043</v>
      </c>
    </row>
    <row r="11" spans="1:7">
      <c r="A11" s="71">
        <v>27</v>
      </c>
      <c r="B11" s="97">
        <f>Pregnancy.Calc!W11</f>
        <v>2.0057995517369864E-2</v>
      </c>
      <c r="C11" s="76">
        <f>Pregnancy.Calc!X11</f>
        <v>0.89</v>
      </c>
      <c r="D11" s="81">
        <f>LOG(1-Interface!$B$20)/LOG(1-B11)+0.5</f>
        <v>85.131719110844486</v>
      </c>
      <c r="E11" s="24">
        <f ca="1">CELL("row",INDEX(Model!S:S,MATCH(MAX(Model!S:S),Model!S:S,0)))</f>
        <v>101</v>
      </c>
      <c r="F11" s="83">
        <f ca="1">INDIRECT("Model!F"&amp;Pregnancy!E11)</f>
        <v>100</v>
      </c>
      <c r="G11" s="86">
        <f t="shared" ca="1" si="0"/>
        <v>85.131719110844486</v>
      </c>
    </row>
    <row r="12" spans="1:7">
      <c r="A12" s="71">
        <v>28</v>
      </c>
      <c r="B12" s="97">
        <f>Pregnancy.Calc!W12</f>
        <v>1.8788786783167311E-2</v>
      </c>
      <c r="C12" s="76">
        <f>Pregnancy.Calc!X12</f>
        <v>0.89</v>
      </c>
      <c r="D12" s="81">
        <f>LOG(1-Interface!$B$20)/LOG(1-B12)+0.5</f>
        <v>90.907008751953512</v>
      </c>
      <c r="E12" s="24">
        <f ca="1">CELL("row",INDEX(Model!S:S,MATCH(MAX(Model!S:S),Model!S:S,0)))</f>
        <v>101</v>
      </c>
      <c r="F12" s="83">
        <f ca="1">INDIRECT("Model!F"&amp;Pregnancy!E12)</f>
        <v>100</v>
      </c>
      <c r="G12" s="86">
        <f t="shared" ca="1" si="0"/>
        <v>90.907008751953512</v>
      </c>
    </row>
    <row r="13" spans="1:7">
      <c r="A13" s="71">
        <v>29</v>
      </c>
      <c r="B13" s="97">
        <f>Pregnancy.Calc!W13</f>
        <v>1.7629155810877501E-2</v>
      </c>
      <c r="C13" s="76">
        <f>Pregnancy.Calc!X13</f>
        <v>0.89</v>
      </c>
      <c r="D13" s="81">
        <f>LOG(1-Interface!$B$20)/LOG(1-B13)+0.5</f>
        <v>96.910651460205472</v>
      </c>
      <c r="E13" s="24">
        <f ca="1">CELL("row",INDEX(Model!S:S,MATCH(MAX(Model!S:S),Model!S:S,0)))</f>
        <v>101</v>
      </c>
      <c r="F13" s="83">
        <f ca="1">INDIRECT("Model!F"&amp;Pregnancy!E13)</f>
        <v>100</v>
      </c>
      <c r="G13" s="86">
        <f t="shared" ca="1" si="0"/>
        <v>96.910651460205472</v>
      </c>
    </row>
    <row r="14" spans="1:7">
      <c r="A14" s="71">
        <v>30</v>
      </c>
      <c r="B14" s="97">
        <f>Pregnancy.Calc!W14</f>
        <v>1.6561012269405095E-2</v>
      </c>
      <c r="C14" s="76">
        <f>Pregnancy.Calc!X14</f>
        <v>0.85499999999999998</v>
      </c>
      <c r="D14" s="81">
        <f>LOG(1-Interface!$B$20)/LOG(1-B14)+0.5</f>
        <v>103.18451473906453</v>
      </c>
      <c r="E14" s="24">
        <f ca="1">CELL("row",INDEX(Model!S:S,MATCH(MAX(Model!S:S),Model!S:S,0)))</f>
        <v>101</v>
      </c>
      <c r="F14" s="83">
        <f ca="1">INDIRECT("Model!F"&amp;Pregnancy!E14)</f>
        <v>100</v>
      </c>
      <c r="G14" s="86">
        <f t="shared" ca="1" si="0"/>
        <v>100</v>
      </c>
    </row>
    <row r="15" spans="1:7">
      <c r="A15" s="71">
        <v>31</v>
      </c>
      <c r="B15" s="97">
        <f>Pregnancy.Calc!W15</f>
        <v>1.5570452536299481E-2</v>
      </c>
      <c r="C15" s="76">
        <f>Pregnancy.Calc!X15</f>
        <v>0.82</v>
      </c>
      <c r="D15" s="81">
        <f>LOG(1-Interface!$B$20)/LOG(1-B15)+0.5</f>
        <v>109.77193114351866</v>
      </c>
      <c r="E15" s="24">
        <f ca="1">CELL("row",INDEX(Model!S:S,MATCH(MAX(Model!S:S),Model!S:S,0)))</f>
        <v>101</v>
      </c>
      <c r="F15" s="83">
        <f ca="1">INDIRECT("Model!F"&amp;Pregnancy!E15)</f>
        <v>100</v>
      </c>
      <c r="G15" s="86">
        <f t="shared" ca="1" si="0"/>
        <v>100</v>
      </c>
    </row>
    <row r="16" spans="1:7">
      <c r="A16" s="71">
        <v>32</v>
      </c>
      <c r="B16" s="97">
        <f>Pregnancy.Calc!W16</f>
        <v>1.4646553613987387E-2</v>
      </c>
      <c r="C16" s="76">
        <f>Pregnancy.Calc!X16</f>
        <v>0.78500000000000003</v>
      </c>
      <c r="D16" s="81">
        <f>LOG(1-Interface!$B$20)/LOG(1-B16)+0.5</f>
        <v>116.71912210188016</v>
      </c>
      <c r="E16" s="24">
        <f ca="1">CELL("row",INDEX(Model!S:S,MATCH(MAX(Model!S:S),Model!S:S,0)))</f>
        <v>101</v>
      </c>
      <c r="F16" s="83">
        <f ca="1">INDIRECT("Model!F"&amp;Pregnancy!E16)</f>
        <v>100</v>
      </c>
      <c r="G16" s="86">
        <f t="shared" ca="1" si="0"/>
        <v>100</v>
      </c>
    </row>
    <row r="17" spans="1:7">
      <c r="A17" s="71">
        <v>33</v>
      </c>
      <c r="B17" s="97">
        <f>Pregnancy.Calc!W17</f>
        <v>1.3780573485517774E-2</v>
      </c>
      <c r="C17" s="76">
        <f>Pregnancy.Calc!X17</f>
        <v>0.75</v>
      </c>
      <c r="D17" s="81">
        <f>LOG(1-Interface!$B$20)/LOG(1-B17)+0.5</f>
        <v>124.07654426269964</v>
      </c>
      <c r="E17" s="24">
        <f ca="1">CELL("row",INDEX(Model!S:S,MATCH(MAX(Model!S:S),Model!S:S,0)))</f>
        <v>101</v>
      </c>
      <c r="F17" s="83">
        <f ca="1">INDIRECT("Model!F"&amp;Pregnancy!E17)</f>
        <v>100</v>
      </c>
      <c r="G17" s="86">
        <f t="shared" ca="1" si="0"/>
        <v>100</v>
      </c>
    </row>
    <row r="18" spans="1:7">
      <c r="A18" s="71">
        <v>34</v>
      </c>
      <c r="B18" s="97">
        <f>Pregnancy.Calc!W18</f>
        <v>1.2965403601659745E-2</v>
      </c>
      <c r="C18" s="76">
        <f>Pregnancy.Calc!X18</f>
        <v>0.71499999999999997</v>
      </c>
      <c r="D18" s="81">
        <f>LOG(1-Interface!$B$20)/LOG(1-B18)+0.5</f>
        <v>131.90028454572868</v>
      </c>
      <c r="E18" s="24">
        <f ca="1">CELL("row",INDEX(Model!S:S,MATCH(MAX(Model!S:S),Model!S:S,0)))</f>
        <v>101</v>
      </c>
      <c r="F18" s="83">
        <f ca="1">INDIRECT("Model!F"&amp;Pregnancy!E18)</f>
        <v>100</v>
      </c>
      <c r="G18" s="86">
        <f t="shared" ca="1" si="0"/>
        <v>100</v>
      </c>
    </row>
    <row r="19" spans="1:7">
      <c r="A19" s="71">
        <v>35</v>
      </c>
      <c r="B19" s="97">
        <f>Pregnancy.Calc!W19</f>
        <v>1.2195183568346923E-2</v>
      </c>
      <c r="C19" s="76">
        <f>Pregnancy.Calc!X19</f>
        <v>0.68</v>
      </c>
      <c r="D19" s="81">
        <f>LOG(1-Interface!$B$20)/LOG(1-B19)+0.5</f>
        <v>140.25360802969405</v>
      </c>
      <c r="E19" s="24">
        <f ca="1">CELL("row",INDEX(Model!S:S,MATCH(MAX(Model!S:S),Model!S:S,0)))</f>
        <v>101</v>
      </c>
      <c r="F19" s="83">
        <f ca="1">INDIRECT("Model!F"&amp;Pregnancy!E19)</f>
        <v>100</v>
      </c>
      <c r="G19" s="86">
        <f t="shared" ca="1" si="0"/>
        <v>100</v>
      </c>
    </row>
    <row r="20" spans="1:7">
      <c r="A20" s="71">
        <v>36</v>
      </c>
      <c r="B20" s="97">
        <f>Pregnancy.Calc!W20</f>
        <v>1.1465023479918901E-2</v>
      </c>
      <c r="C20" s="76">
        <f>Pregnancy.Calc!X20</f>
        <v>0.64500000000000002</v>
      </c>
      <c r="D20" s="81">
        <f>LOG(1-Interface!$B$20)/LOG(1-B20)+0.5</f>
        <v>149.20876075971077</v>
      </c>
      <c r="E20" s="24">
        <f ca="1">CELL("row",INDEX(Model!S:S,MATCH(MAX(Model!S:S),Model!S:S,0)))</f>
        <v>101</v>
      </c>
      <c r="F20" s="83">
        <f ca="1">INDIRECT("Model!F"&amp;Pregnancy!E20)</f>
        <v>100</v>
      </c>
      <c r="G20" s="86">
        <f t="shared" ca="1" si="0"/>
        <v>100</v>
      </c>
    </row>
    <row r="21" spans="1:7">
      <c r="A21" s="71">
        <v>37</v>
      </c>
      <c r="B21" s="97">
        <f>Pregnancy.Calc!W21</f>
        <v>1.0770799645204387E-2</v>
      </c>
      <c r="C21" s="76">
        <f>Pregnancy.Calc!X21</f>
        <v>0.61</v>
      </c>
      <c r="D21" s="81">
        <f>LOG(1-Interface!$B$20)/LOG(1-B21)+0.5</f>
        <v>158.8491422549323</v>
      </c>
      <c r="E21" s="24">
        <f ca="1">CELL("row",INDEX(Model!S:S,MATCH(MAX(Model!S:S),Model!S:S,0)))</f>
        <v>101</v>
      </c>
      <c r="F21" s="83">
        <f ca="1">INDIRECT("Model!F"&amp;Pregnancy!E21)</f>
        <v>100</v>
      </c>
      <c r="G21" s="86">
        <f t="shared" ca="1" si="0"/>
        <v>100</v>
      </c>
    </row>
    <row r="22" spans="1:7">
      <c r="A22" s="71">
        <v>38</v>
      </c>
      <c r="B22" s="97">
        <f>Pregnancy.Calc!W22</f>
        <v>1.0109001547482213E-2</v>
      </c>
      <c r="C22" s="76">
        <f>Pregnancy.Calc!X22</f>
        <v>0.57499999999999996</v>
      </c>
      <c r="D22" s="81">
        <f>LOG(1-Interface!$B$20)/LOG(1-B22)+0.5</f>
        <v>169.27198926104148</v>
      </c>
      <c r="E22" s="24">
        <f ca="1">CELL("row",INDEX(Model!S:S,MATCH(MAX(Model!S:S),Model!S:S,0)))</f>
        <v>101</v>
      </c>
      <c r="F22" s="83">
        <f ca="1">INDIRECT("Model!F"&amp;Pregnancy!E22)</f>
        <v>100</v>
      </c>
      <c r="G22" s="86">
        <f t="shared" ca="1" si="0"/>
        <v>100</v>
      </c>
    </row>
    <row r="23" spans="1:7">
      <c r="A23" s="71">
        <v>39</v>
      </c>
      <c r="B23" s="97">
        <f>Pregnancy.Calc!W23</f>
        <v>9.4766153222484526E-3</v>
      </c>
      <c r="C23" s="76">
        <f>Pregnancy.Calc!X23</f>
        <v>0.54</v>
      </c>
      <c r="D23" s="81">
        <f>LOG(1-Interface!$B$20)/LOG(1-B23)+0.5</f>
        <v>180.59175565888572</v>
      </c>
      <c r="E23" s="24">
        <f ca="1">CELL("row",INDEX(Model!S:S,MATCH(MAX(Model!S:S),Model!S:S,0)))</f>
        <v>101</v>
      </c>
      <c r="F23" s="83">
        <f ca="1">INDIRECT("Model!F"&amp;Pregnancy!E23)</f>
        <v>100</v>
      </c>
      <c r="G23" s="86">
        <f t="shared" ca="1" si="0"/>
        <v>100</v>
      </c>
    </row>
    <row r="24" spans="1:7">
      <c r="A24" s="71">
        <v>40</v>
      </c>
      <c r="B24" s="97">
        <f>Pregnancy.Calc!W24</f>
        <v>8.8710337502010961E-3</v>
      </c>
      <c r="C24" s="76">
        <f>Pregnancy.Calc!X24</f>
        <v>0.505</v>
      </c>
      <c r="D24" s="81">
        <f>LOG(1-Interface!$B$20)/LOG(1-B24)+0.5</f>
        <v>192.94443918238508</v>
      </c>
      <c r="E24" s="24">
        <f ca="1">CELL("row",INDEX(Model!S:S,MATCH(MAX(Model!S:S),Model!S:S,0)))</f>
        <v>101</v>
      </c>
      <c r="F24" s="83">
        <f ca="1">INDIRECT("Model!F"&amp;Pregnancy!E24)</f>
        <v>100</v>
      </c>
      <c r="G24" s="86">
        <f t="shared" ca="1" si="0"/>
        <v>100</v>
      </c>
    </row>
    <row r="25" spans="1:7">
      <c r="A25" s="71">
        <v>41</v>
      </c>
      <c r="B25" s="97">
        <f>Pregnancy.Calc!W25</f>
        <v>8.2899858245492428E-3</v>
      </c>
      <c r="C25" s="76">
        <f>Pregnancy.Calc!X25</f>
        <v>0.47</v>
      </c>
      <c r="D25" s="81">
        <f>LOG(1-Interface!$B$20)/LOG(1-B25)+0.5</f>
        <v>206.49320377024023</v>
      </c>
      <c r="E25" s="24">
        <f ca="1">CELL("row",INDEX(Model!S:S,MATCH(MAX(Model!S:S),Model!S:S,0)))</f>
        <v>101</v>
      </c>
      <c r="F25" s="83">
        <f ca="1">INDIRECT("Model!F"&amp;Pregnancy!E25)</f>
        <v>100</v>
      </c>
      <c r="G25" s="86">
        <f t="shared" ca="1" si="0"/>
        <v>100</v>
      </c>
    </row>
    <row r="26" spans="1:7">
      <c r="A26" s="71">
        <v>42</v>
      </c>
      <c r="B26" s="97">
        <f>Pregnancy.Calc!W26</f>
        <v>7.7314809860949962E-3</v>
      </c>
      <c r="C26" s="76">
        <f>Pregnancy.Calc!X26</f>
        <v>0.435</v>
      </c>
      <c r="D26" s="81">
        <f>LOG(1-Interface!$B$20)/LOG(1-B26)+0.5</f>
        <v>221.43579358286615</v>
      </c>
      <c r="E26" s="24">
        <f ca="1">CELL("row",INDEX(Model!S:S,MATCH(MAX(Model!S:S),Model!S:S,0)))</f>
        <v>101</v>
      </c>
      <c r="F26" s="83">
        <f ca="1">INDIRECT("Model!F"&amp;Pregnancy!E26)</f>
        <v>100</v>
      </c>
      <c r="G26" s="86">
        <f t="shared" ca="1" si="0"/>
        <v>100</v>
      </c>
    </row>
    <row r="27" spans="1:7">
      <c r="A27" s="71">
        <v>43</v>
      </c>
      <c r="B27" s="97">
        <f>Pregnancy.Calc!W27</f>
        <v>7.1937644990620981E-3</v>
      </c>
      <c r="C27" s="76">
        <f>Pregnancy.Calc!X27</f>
        <v>0.4</v>
      </c>
      <c r="D27" s="81">
        <f>LOG(1-Interface!$B$20)/LOG(1-B27)+0.5</f>
        <v>238.0144583148965</v>
      </c>
      <c r="E27" s="24">
        <f ca="1">CELL("row",INDEX(Model!S:S,MATCH(MAX(Model!S:S),Model!S:S,0)))</f>
        <v>101</v>
      </c>
      <c r="F27" s="83">
        <f ca="1">INDIRECT("Model!F"&amp;Pregnancy!E27)</f>
        <v>100</v>
      </c>
      <c r="G27" s="86">
        <f t="shared" ca="1" si="0"/>
        <v>100</v>
      </c>
    </row>
    <row r="28" spans="1:7">
      <c r="A28" s="71">
        <v>44</v>
      </c>
      <c r="B28" s="97">
        <f>Pregnancy.Calc!W28</f>
        <v>6.6752813935105166E-3</v>
      </c>
      <c r="C28" s="76">
        <f>Pregnancy.Calc!X28</f>
        <v>0.36499999999999999</v>
      </c>
      <c r="D28" s="81">
        <f>LOG(1-Interface!$B$20)/LOG(1-B28)+0.5</f>
        <v>256.52945515682592</v>
      </c>
      <c r="E28" s="24">
        <f ca="1">CELL("row",INDEX(Model!S:S,MATCH(MAX(Model!S:S),Model!S:S,0)))</f>
        <v>101</v>
      </c>
      <c r="F28" s="83">
        <f ca="1">INDIRECT("Model!F"&amp;Pregnancy!E28)</f>
        <v>100</v>
      </c>
      <c r="G28" s="86">
        <f t="shared" ca="1" si="0"/>
        <v>100</v>
      </c>
    </row>
    <row r="29" spans="1:7">
      <c r="A29" s="71">
        <v>45</v>
      </c>
      <c r="B29" s="97">
        <f>Pregnancy.Calc!W29</f>
        <v>6.1746470694357498E-3</v>
      </c>
      <c r="C29" s="76">
        <f>Pregnancy.Calc!X29</f>
        <v>0.33306249999999998</v>
      </c>
      <c r="D29" s="81">
        <f>LOG(1-Interface!$B$20)/LOG(1-B29)+0.5</f>
        <v>277.3577387822728</v>
      </c>
      <c r="E29" s="24">
        <f ca="1">CELL("row",INDEX(Model!S:S,MATCH(MAX(Model!S:S),Model!S:S,0)))</f>
        <v>101</v>
      </c>
      <c r="F29" s="83">
        <f ca="1">INDIRECT("Model!F"&amp;Pregnancy!E29)</f>
        <v>100</v>
      </c>
      <c r="G29" s="86">
        <f t="shared" ca="1" si="0"/>
        <v>100</v>
      </c>
    </row>
    <row r="30" spans="1:7">
      <c r="A30" s="71">
        <v>46</v>
      </c>
      <c r="B30" s="97">
        <f>Pregnancy.Calc!W30</f>
        <v>5.6906231349449681E-3</v>
      </c>
      <c r="C30" s="76">
        <f>Pregnancy.Calc!X30</f>
        <v>0.30391953124999999</v>
      </c>
      <c r="D30" s="81">
        <f>LOG(1-Interface!$B$20)/LOG(1-B30)+0.5</f>
        <v>300.97933433160097</v>
      </c>
      <c r="E30" s="24">
        <f ca="1">CELL("row",INDEX(Model!S:S,MATCH(MAX(Model!S:S),Model!S:S,0)))</f>
        <v>101</v>
      </c>
      <c r="F30" s="83">
        <f ca="1">INDIRECT("Model!F"&amp;Pregnancy!E30)</f>
        <v>100</v>
      </c>
      <c r="G30" s="86">
        <f t="shared" ca="1" si="0"/>
        <v>100</v>
      </c>
    </row>
    <row r="31" spans="1:7">
      <c r="A31" s="71">
        <v>47</v>
      </c>
      <c r="B31" s="97">
        <f>Pregnancy.Calc!W31</f>
        <v>5.2220973960847572E-3</v>
      </c>
      <c r="C31" s="76">
        <f>Pregnancy.Calc!X31</f>
        <v>0.27732657226562496</v>
      </c>
      <c r="D31" s="81">
        <f>LOG(1-Interface!$B$20)/LOG(1-B31)+0.5</f>
        <v>328.01535810876152</v>
      </c>
      <c r="E31" s="24">
        <f ca="1">CELL("row",INDEX(Model!S:S,MATCH(MAX(Model!S:S),Model!S:S,0)))</f>
        <v>101</v>
      </c>
      <c r="F31" s="83">
        <f ca="1">INDIRECT("Model!F"&amp;Pregnancy!E31)</f>
        <v>100</v>
      </c>
      <c r="G31" s="86">
        <f t="shared" ca="1" si="0"/>
        <v>100</v>
      </c>
    </row>
    <row r="32" spans="1:7">
      <c r="A32" s="71">
        <v>48</v>
      </c>
      <c r="B32" s="97">
        <f>Pregnancy.Calc!W32</f>
        <v>4.7680671687667835E-3</v>
      </c>
      <c r="C32" s="76">
        <f>Pregnancy.Calc!X32</f>
        <v>0.25306049719238277</v>
      </c>
      <c r="D32" s="81">
        <f>LOG(1-Interface!$B$20)/LOG(1-B32)+0.5</f>
        <v>359.28417270089921</v>
      </c>
      <c r="E32" s="24">
        <f ca="1">CELL("row",INDEX(Model!S:S,MATCH(MAX(Model!S:S),Model!S:S,0)))</f>
        <v>101</v>
      </c>
      <c r="F32" s="83">
        <f ca="1">INDIRECT("Model!F"&amp;Pregnancy!E32)</f>
        <v>100</v>
      </c>
      <c r="G32" s="86">
        <f t="shared" ca="1" si="0"/>
        <v>100</v>
      </c>
    </row>
    <row r="33" spans="1:7">
      <c r="A33" s="71">
        <v>49</v>
      </c>
      <c r="B33" s="97">
        <f>Pregnancy.Calc!W33</f>
        <v>4.3276252706962266E-3</v>
      </c>
      <c r="C33" s="76">
        <f>Pregnancy.Calc!X33</f>
        <v>0.23091770368804929</v>
      </c>
      <c r="D33" s="81">
        <f>LOG(1-Interface!$B$20)/LOG(1-B33)+0.5</f>
        <v>395.88664659535004</v>
      </c>
      <c r="E33" s="24">
        <f ca="1">CELL("row",INDEX(Model!S:S,MATCH(MAX(Model!S:S),Model!S:S,0)))</f>
        <v>101</v>
      </c>
      <c r="F33" s="83">
        <f ca="1">INDIRECT("Model!F"&amp;Pregnancy!E33)</f>
        <v>100</v>
      </c>
      <c r="G33" s="86">
        <f t="shared" ca="1" si="0"/>
        <v>100</v>
      </c>
    </row>
    <row r="34" spans="1:7">
      <c r="A34" s="35"/>
      <c r="B34" s="98"/>
      <c r="C34" s="36"/>
    </row>
  </sheetData>
  <phoneticPr fontId="1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5"/>
  <sheetViews>
    <sheetView topLeftCell="V1" zoomScale="150" zoomScaleNormal="150" zoomScalePageLayoutView="150" workbookViewId="0">
      <selection activeCell="X5" sqref="X5"/>
    </sheetView>
  </sheetViews>
  <sheetFormatPr baseColWidth="10" defaultRowHeight="12" x14ac:dyDescent="0"/>
  <cols>
    <col min="2" max="2" width="21.83203125" customWidth="1"/>
    <col min="3" max="3" width="21.6640625" customWidth="1"/>
    <col min="5" max="5" width="67.83203125" customWidth="1"/>
    <col min="7" max="8" width="21.5" customWidth="1"/>
    <col min="9" max="9" width="21.6640625" customWidth="1"/>
    <col min="10" max="10" width="19.1640625" customWidth="1"/>
    <col min="12" max="12" width="28" customWidth="1"/>
    <col min="19" max="20" width="21.5" customWidth="1"/>
    <col min="21" max="21" width="21.6640625" customWidth="1"/>
    <col min="22" max="22" width="19.1640625" style="95" customWidth="1"/>
    <col min="23" max="23" width="20.33203125" style="95" customWidth="1"/>
    <col min="24" max="24" width="10.83203125" customWidth="1"/>
    <col min="25" max="25" width="30.5" style="95" customWidth="1"/>
  </cols>
  <sheetData>
    <row r="1" spans="1:25" ht="15">
      <c r="A1" s="100" t="s">
        <v>47</v>
      </c>
      <c r="B1" s="100"/>
      <c r="C1" s="100"/>
      <c r="E1" s="60" t="s">
        <v>48</v>
      </c>
      <c r="F1" s="61" t="s">
        <v>34</v>
      </c>
      <c r="G1" s="62" t="s">
        <v>49</v>
      </c>
      <c r="H1" s="62" t="s">
        <v>50</v>
      </c>
      <c r="I1" s="62" t="s">
        <v>51</v>
      </c>
      <c r="J1" s="62" t="s">
        <v>52</v>
      </c>
      <c r="K1" s="62" t="s">
        <v>53</v>
      </c>
      <c r="L1" s="62" t="s">
        <v>54</v>
      </c>
      <c r="N1" s="63" t="s">
        <v>55</v>
      </c>
      <c r="O1" s="63" t="s">
        <v>56</v>
      </c>
      <c r="P1" s="64"/>
      <c r="Q1" s="64"/>
      <c r="R1" s="65" t="s">
        <v>34</v>
      </c>
      <c r="S1" s="66" t="s">
        <v>49</v>
      </c>
      <c r="T1" s="66" t="s">
        <v>50</v>
      </c>
      <c r="U1" s="66" t="s">
        <v>51</v>
      </c>
      <c r="V1" s="93" t="s">
        <v>52</v>
      </c>
      <c r="W1" s="93" t="s">
        <v>86</v>
      </c>
      <c r="X1" s="66" t="s">
        <v>53</v>
      </c>
      <c r="Y1" s="93" t="s">
        <v>87</v>
      </c>
    </row>
    <row r="2" spans="1:25" ht="62" thickBot="1">
      <c r="A2" s="28" t="s">
        <v>34</v>
      </c>
      <c r="B2" s="28" t="s">
        <v>35</v>
      </c>
      <c r="C2" s="29" t="s">
        <v>36</v>
      </c>
      <c r="E2" s="67" t="s">
        <v>57</v>
      </c>
      <c r="F2" s="68">
        <v>18</v>
      </c>
      <c r="G2" s="69">
        <v>0.88</v>
      </c>
      <c r="H2" s="69">
        <f>1-G2</f>
        <v>0.12</v>
      </c>
      <c r="I2" s="69">
        <f>H2^(1/12)</f>
        <v>0.83804068629273387</v>
      </c>
      <c r="J2" s="69">
        <f>1-I2</f>
        <v>0.16195931370726613</v>
      </c>
      <c r="K2" s="70">
        <v>0.89</v>
      </c>
      <c r="L2" s="69">
        <f>K2*J2</f>
        <v>0.14414378919946685</v>
      </c>
      <c r="N2" s="64">
        <v>21.5</v>
      </c>
      <c r="O2" s="64">
        <v>0.88</v>
      </c>
      <c r="P2" s="64"/>
      <c r="Q2" s="64"/>
      <c r="R2" s="71">
        <v>18</v>
      </c>
      <c r="S2" s="72">
        <f>1.416934-0.023392*R2</f>
        <v>0.99587799999999993</v>
      </c>
      <c r="T2" s="72">
        <f>1-S2</f>
        <v>4.1220000000000701E-3</v>
      </c>
      <c r="U2" s="72">
        <f>T2^(1/12)</f>
        <v>0.63278911349897149</v>
      </c>
      <c r="V2" s="94">
        <f>1-U2</f>
        <v>0.36721088650102851</v>
      </c>
      <c r="W2" s="94">
        <f>V2/6</f>
        <v>6.1201814416838085E-2</v>
      </c>
      <c r="X2" s="73">
        <v>0.89</v>
      </c>
      <c r="Y2" s="94">
        <f>X2*V2</f>
        <v>0.3268176889859154</v>
      </c>
    </row>
    <row r="3" spans="1:25">
      <c r="A3" s="26">
        <v>18</v>
      </c>
      <c r="B3" s="26">
        <v>0.75</v>
      </c>
      <c r="C3" s="27">
        <v>0.89</v>
      </c>
      <c r="E3" s="74" t="s">
        <v>58</v>
      </c>
      <c r="F3" s="68">
        <v>19</v>
      </c>
      <c r="G3" s="69">
        <v>0.88</v>
      </c>
      <c r="H3" s="69">
        <f t="shared" ref="H3:H33" si="0">1-G3</f>
        <v>0.12</v>
      </c>
      <c r="I3" s="69">
        <f t="shared" ref="I3:I33" si="1">H3^(1/12)</f>
        <v>0.83804068629273387</v>
      </c>
      <c r="J3" s="69">
        <f t="shared" ref="J3:J33" si="2">1-I3</f>
        <v>0.16195931370726613</v>
      </c>
      <c r="K3" s="70">
        <v>0.89</v>
      </c>
      <c r="L3" s="69">
        <f t="shared" ref="L3:L33" si="3">K3*J3</f>
        <v>0.14414378919946685</v>
      </c>
      <c r="N3" s="64">
        <v>28</v>
      </c>
      <c r="O3" s="64">
        <v>0.8</v>
      </c>
      <c r="P3" s="64"/>
      <c r="Q3" s="64"/>
      <c r="R3" s="71">
        <v>19</v>
      </c>
      <c r="S3" s="72">
        <f t="shared" ref="S3:S33" si="4">1.416934-0.023392*R3</f>
        <v>0.97248599999999996</v>
      </c>
      <c r="T3" s="72">
        <f t="shared" ref="T3:T33" si="5">1-S3</f>
        <v>2.7514000000000038E-2</v>
      </c>
      <c r="U3" s="72">
        <f t="shared" ref="U3:U33" si="6">T3^(1/12)</f>
        <v>0.74124676513640864</v>
      </c>
      <c r="V3" s="94">
        <f t="shared" ref="V3:V33" si="7">1-U3</f>
        <v>0.25875323486359136</v>
      </c>
      <c r="W3" s="94">
        <f t="shared" ref="W3:W33" si="8">V3/6</f>
        <v>4.3125539143931892E-2</v>
      </c>
      <c r="X3" s="73">
        <v>0.89</v>
      </c>
      <c r="Y3" s="94">
        <f t="shared" ref="Y3:Y33" si="9">X3*V3</f>
        <v>0.23029037902859631</v>
      </c>
    </row>
    <row r="4" spans="1:25">
      <c r="A4" s="24">
        <v>19</v>
      </c>
      <c r="B4" s="24">
        <v>0.75</v>
      </c>
      <c r="C4" s="25">
        <v>0.89</v>
      </c>
      <c r="E4" s="74" t="s">
        <v>59</v>
      </c>
      <c r="F4" s="68">
        <v>20</v>
      </c>
      <c r="G4" s="69">
        <v>0.88</v>
      </c>
      <c r="H4" s="69">
        <f t="shared" si="0"/>
        <v>0.12</v>
      </c>
      <c r="I4" s="69">
        <f t="shared" si="1"/>
        <v>0.83804068629273387</v>
      </c>
      <c r="J4" s="69">
        <f t="shared" si="2"/>
        <v>0.16195931370726613</v>
      </c>
      <c r="K4" s="70">
        <v>0.89</v>
      </c>
      <c r="L4" s="69">
        <f t="shared" si="3"/>
        <v>0.14414378919946685</v>
      </c>
      <c r="N4" s="64">
        <v>33</v>
      </c>
      <c r="O4" s="64">
        <v>0.65</v>
      </c>
      <c r="P4" s="64"/>
      <c r="Q4" s="64"/>
      <c r="R4" s="71">
        <v>20</v>
      </c>
      <c r="S4" s="72">
        <f t="shared" si="4"/>
        <v>0.94909399999999988</v>
      </c>
      <c r="T4" s="72">
        <f t="shared" si="5"/>
        <v>5.0906000000000118E-2</v>
      </c>
      <c r="U4" s="72">
        <f t="shared" si="6"/>
        <v>0.78024455711168172</v>
      </c>
      <c r="V4" s="94">
        <f t="shared" si="7"/>
        <v>0.21975544288831828</v>
      </c>
      <c r="W4" s="94">
        <f t="shared" si="8"/>
        <v>3.6625907148053048E-2</v>
      </c>
      <c r="X4" s="73">
        <v>0.89</v>
      </c>
      <c r="Y4" s="94">
        <f t="shared" si="9"/>
        <v>0.19558234417060327</v>
      </c>
    </row>
    <row r="5" spans="1:25">
      <c r="A5" s="24">
        <v>20</v>
      </c>
      <c r="B5" s="24">
        <v>0.75</v>
      </c>
      <c r="C5" s="25">
        <v>0.89</v>
      </c>
      <c r="E5" s="74" t="s">
        <v>60</v>
      </c>
      <c r="F5" s="68">
        <v>21</v>
      </c>
      <c r="G5" s="69">
        <v>0.88</v>
      </c>
      <c r="H5" s="69">
        <f t="shared" si="0"/>
        <v>0.12</v>
      </c>
      <c r="I5" s="69">
        <f t="shared" si="1"/>
        <v>0.83804068629273387</v>
      </c>
      <c r="J5" s="69">
        <f t="shared" si="2"/>
        <v>0.16195931370726613</v>
      </c>
      <c r="K5" s="70">
        <v>0.89</v>
      </c>
      <c r="L5" s="69">
        <f t="shared" si="3"/>
        <v>0.14414378919946685</v>
      </c>
      <c r="N5" s="64">
        <v>38</v>
      </c>
      <c r="O5" s="64">
        <v>0.55000000000000004</v>
      </c>
      <c r="P5" s="64"/>
      <c r="Q5" s="64"/>
      <c r="R5" s="71">
        <v>21</v>
      </c>
      <c r="S5" s="72">
        <f t="shared" si="4"/>
        <v>0.92570199999999991</v>
      </c>
      <c r="T5" s="72">
        <f t="shared" si="5"/>
        <v>7.4298000000000086E-2</v>
      </c>
      <c r="U5" s="72">
        <f t="shared" si="6"/>
        <v>0.80522038369986237</v>
      </c>
      <c r="V5" s="94">
        <f t="shared" si="7"/>
        <v>0.19477961630013763</v>
      </c>
      <c r="W5" s="94">
        <f t="shared" si="8"/>
        <v>3.2463269383356273E-2</v>
      </c>
      <c r="X5" s="73">
        <v>0.89</v>
      </c>
      <c r="Y5" s="94">
        <f t="shared" si="9"/>
        <v>0.17335385850712248</v>
      </c>
    </row>
    <row r="6" spans="1:25">
      <c r="A6" s="24">
        <v>21</v>
      </c>
      <c r="B6" s="24">
        <v>0.75</v>
      </c>
      <c r="C6" s="25">
        <v>0.89</v>
      </c>
      <c r="F6" s="68">
        <v>22</v>
      </c>
      <c r="G6" s="69">
        <v>0.88</v>
      </c>
      <c r="H6" s="69">
        <f t="shared" si="0"/>
        <v>0.12</v>
      </c>
      <c r="I6" s="69">
        <f t="shared" si="1"/>
        <v>0.83804068629273387</v>
      </c>
      <c r="J6" s="69">
        <f t="shared" si="2"/>
        <v>0.16195931370726613</v>
      </c>
      <c r="K6" s="70">
        <v>0.89</v>
      </c>
      <c r="L6" s="69">
        <f t="shared" si="3"/>
        <v>0.14414378919946685</v>
      </c>
      <c r="N6" s="64">
        <v>43</v>
      </c>
      <c r="O6" s="64">
        <v>0.38</v>
      </c>
      <c r="P6" s="64"/>
      <c r="Q6" s="64"/>
      <c r="R6" s="71">
        <v>22</v>
      </c>
      <c r="S6" s="72">
        <f t="shared" si="4"/>
        <v>0.90230999999999995</v>
      </c>
      <c r="T6" s="72">
        <f t="shared" si="5"/>
        <v>9.7690000000000055E-2</v>
      </c>
      <c r="U6" s="72">
        <f t="shared" si="6"/>
        <v>0.82379820716907226</v>
      </c>
      <c r="V6" s="94">
        <f t="shared" si="7"/>
        <v>0.17620179283092774</v>
      </c>
      <c r="W6" s="94">
        <f t="shared" si="8"/>
        <v>2.9366965471821289E-2</v>
      </c>
      <c r="X6" s="73">
        <v>0.89</v>
      </c>
      <c r="Y6" s="94">
        <f t="shared" si="9"/>
        <v>0.15681959561952569</v>
      </c>
    </row>
    <row r="7" spans="1:25">
      <c r="A7" s="24">
        <v>22</v>
      </c>
      <c r="B7" s="24">
        <v>0.75</v>
      </c>
      <c r="C7" s="25">
        <v>0.89</v>
      </c>
      <c r="F7" s="68">
        <v>23</v>
      </c>
      <c r="G7" s="69">
        <v>0.88</v>
      </c>
      <c r="H7" s="69">
        <f t="shared" si="0"/>
        <v>0.12</v>
      </c>
      <c r="I7" s="69">
        <f t="shared" si="1"/>
        <v>0.83804068629273387</v>
      </c>
      <c r="J7" s="69">
        <f t="shared" si="2"/>
        <v>0.16195931370726613</v>
      </c>
      <c r="K7" s="70">
        <v>0.89</v>
      </c>
      <c r="L7" s="69">
        <f t="shared" si="3"/>
        <v>0.14414378919946685</v>
      </c>
      <c r="N7" s="64" t="s">
        <v>61</v>
      </c>
      <c r="O7" s="64"/>
      <c r="P7" s="64"/>
      <c r="Q7" s="64"/>
      <c r="R7" s="71">
        <v>23</v>
      </c>
      <c r="S7" s="72">
        <f t="shared" si="4"/>
        <v>0.87891799999999998</v>
      </c>
      <c r="T7" s="72">
        <f t="shared" si="5"/>
        <v>0.12108200000000002</v>
      </c>
      <c r="U7" s="72">
        <f t="shared" si="6"/>
        <v>0.83866779334610153</v>
      </c>
      <c r="V7" s="94">
        <f t="shared" si="7"/>
        <v>0.16133220665389847</v>
      </c>
      <c r="W7" s="94">
        <f t="shared" si="8"/>
        <v>2.6888701108983077E-2</v>
      </c>
      <c r="X7" s="73">
        <v>0.89</v>
      </c>
      <c r="Y7" s="94">
        <f t="shared" si="9"/>
        <v>0.14358566392196964</v>
      </c>
    </row>
    <row r="8" spans="1:25">
      <c r="A8" s="24">
        <v>23</v>
      </c>
      <c r="B8" s="24">
        <v>0.75</v>
      </c>
      <c r="C8" s="25">
        <v>0.89</v>
      </c>
      <c r="F8" s="68">
        <v>24</v>
      </c>
      <c r="G8" s="69">
        <v>0.88</v>
      </c>
      <c r="H8" s="69">
        <f t="shared" si="0"/>
        <v>0.12</v>
      </c>
      <c r="I8" s="69">
        <f t="shared" si="1"/>
        <v>0.83804068629273387</v>
      </c>
      <c r="J8" s="69">
        <f t="shared" si="2"/>
        <v>0.16195931370726613</v>
      </c>
      <c r="K8" s="70">
        <v>0.89</v>
      </c>
      <c r="L8" s="69">
        <f t="shared" si="3"/>
        <v>0.14414378919946685</v>
      </c>
      <c r="N8" s="64" t="s">
        <v>62</v>
      </c>
      <c r="O8" s="64"/>
      <c r="P8" s="64"/>
      <c r="Q8" s="64"/>
      <c r="R8" s="71">
        <v>24</v>
      </c>
      <c r="S8" s="72">
        <f t="shared" si="4"/>
        <v>0.8555259999999999</v>
      </c>
      <c r="T8" s="72">
        <f t="shared" si="5"/>
        <v>0.1444740000000001</v>
      </c>
      <c r="U8" s="72">
        <f t="shared" si="6"/>
        <v>0.85110369261711527</v>
      </c>
      <c r="V8" s="94">
        <f t="shared" si="7"/>
        <v>0.14889630738288473</v>
      </c>
      <c r="W8" s="94">
        <f t="shared" si="8"/>
        <v>2.4816051230480789E-2</v>
      </c>
      <c r="X8" s="73">
        <v>0.89</v>
      </c>
      <c r="Y8" s="94">
        <f t="shared" si="9"/>
        <v>0.13251771357076741</v>
      </c>
    </row>
    <row r="9" spans="1:25">
      <c r="A9" s="24">
        <v>24</v>
      </c>
      <c r="B9" s="24">
        <v>0.75</v>
      </c>
      <c r="C9" s="25">
        <v>0.89</v>
      </c>
      <c r="F9" s="68">
        <v>25</v>
      </c>
      <c r="G9" s="69">
        <v>0.88</v>
      </c>
      <c r="H9" s="69">
        <f t="shared" si="0"/>
        <v>0.12</v>
      </c>
      <c r="I9" s="69">
        <f t="shared" si="1"/>
        <v>0.83804068629273387</v>
      </c>
      <c r="J9" s="69">
        <f t="shared" si="2"/>
        <v>0.16195931370726613</v>
      </c>
      <c r="K9" s="70">
        <v>0.89</v>
      </c>
      <c r="L9" s="69">
        <f t="shared" si="3"/>
        <v>0.14414378919946685</v>
      </c>
      <c r="N9" s="64" t="s">
        <v>63</v>
      </c>
      <c r="O9" s="64"/>
      <c r="P9" s="64"/>
      <c r="Q9" s="64"/>
      <c r="R9" s="71">
        <v>25</v>
      </c>
      <c r="S9" s="72">
        <f t="shared" si="4"/>
        <v>0.83213399999999993</v>
      </c>
      <c r="T9" s="72">
        <f t="shared" si="5"/>
        <v>0.16786600000000007</v>
      </c>
      <c r="U9" s="72">
        <f t="shared" si="6"/>
        <v>0.86181403371652254</v>
      </c>
      <c r="V9" s="94">
        <f t="shared" si="7"/>
        <v>0.13818596628347746</v>
      </c>
      <c r="W9" s="94">
        <f t="shared" si="8"/>
        <v>2.3030994380579577E-2</v>
      </c>
      <c r="X9" s="73">
        <v>0.89</v>
      </c>
      <c r="Y9" s="94">
        <f t="shared" si="9"/>
        <v>0.12298550999229493</v>
      </c>
    </row>
    <row r="10" spans="1:25">
      <c r="A10" s="24">
        <v>25</v>
      </c>
      <c r="B10" s="24">
        <v>0.72</v>
      </c>
      <c r="C10" s="25">
        <v>0.89</v>
      </c>
      <c r="F10" s="68">
        <v>26</v>
      </c>
      <c r="G10" s="69">
        <v>0.8</v>
      </c>
      <c r="H10" s="69">
        <f t="shared" si="0"/>
        <v>0.19999999999999996</v>
      </c>
      <c r="I10" s="69">
        <f t="shared" si="1"/>
        <v>0.87448527222116779</v>
      </c>
      <c r="J10" s="69">
        <f t="shared" si="2"/>
        <v>0.12551472777883221</v>
      </c>
      <c r="K10" s="70">
        <v>0.89</v>
      </c>
      <c r="L10" s="69">
        <f t="shared" si="3"/>
        <v>0.11170810772316067</v>
      </c>
      <c r="N10" s="64" t="s">
        <v>64</v>
      </c>
      <c r="O10" s="64"/>
      <c r="P10" s="64"/>
      <c r="Q10" s="64"/>
      <c r="R10" s="71">
        <v>26</v>
      </c>
      <c r="S10" s="72">
        <f t="shared" si="4"/>
        <v>0.80874199999999996</v>
      </c>
      <c r="T10" s="72">
        <f t="shared" si="5"/>
        <v>0.19125800000000004</v>
      </c>
      <c r="U10" s="72">
        <f t="shared" si="6"/>
        <v>0.87123430499400356</v>
      </c>
      <c r="V10" s="94">
        <f t="shared" si="7"/>
        <v>0.12876569500599644</v>
      </c>
      <c r="W10" s="94">
        <f t="shared" si="8"/>
        <v>2.1460949167666072E-2</v>
      </c>
      <c r="X10" s="73">
        <v>0.89</v>
      </c>
      <c r="Y10" s="94">
        <f t="shared" si="9"/>
        <v>0.11460146855533683</v>
      </c>
    </row>
    <row r="11" spans="1:25">
      <c r="A11" s="24">
        <v>26</v>
      </c>
      <c r="B11" s="24">
        <v>0.72</v>
      </c>
      <c r="C11" s="25">
        <v>0.89</v>
      </c>
      <c r="F11" s="68">
        <v>27</v>
      </c>
      <c r="G11" s="69">
        <v>0.8</v>
      </c>
      <c r="H11" s="69">
        <f t="shared" si="0"/>
        <v>0.19999999999999996</v>
      </c>
      <c r="I11" s="69">
        <f t="shared" si="1"/>
        <v>0.87448527222116779</v>
      </c>
      <c r="J11" s="69">
        <f t="shared" si="2"/>
        <v>0.12551472777883221</v>
      </c>
      <c r="K11" s="70">
        <v>0.89</v>
      </c>
      <c r="L11" s="69">
        <f t="shared" si="3"/>
        <v>0.11170810772316067</v>
      </c>
      <c r="N11" s="64"/>
      <c r="O11" s="64"/>
      <c r="P11" s="64"/>
      <c r="Q11" s="64"/>
      <c r="R11" s="71">
        <v>27</v>
      </c>
      <c r="S11" s="72">
        <f t="shared" si="4"/>
        <v>0.78534999999999988</v>
      </c>
      <c r="T11" s="72">
        <f t="shared" si="5"/>
        <v>0.21465000000000012</v>
      </c>
      <c r="U11" s="72">
        <f t="shared" si="6"/>
        <v>0.87965202689578081</v>
      </c>
      <c r="V11" s="94">
        <f t="shared" si="7"/>
        <v>0.12034797310421919</v>
      </c>
      <c r="W11" s="94">
        <f t="shared" si="8"/>
        <v>2.0057995517369864E-2</v>
      </c>
      <c r="X11" s="73">
        <v>0.89</v>
      </c>
      <c r="Y11" s="94">
        <f t="shared" si="9"/>
        <v>0.10710969606275508</v>
      </c>
    </row>
    <row r="12" spans="1:25">
      <c r="A12" s="24">
        <v>27</v>
      </c>
      <c r="B12" s="24">
        <v>0.72</v>
      </c>
      <c r="C12" s="25">
        <v>0.89</v>
      </c>
      <c r="F12" s="68">
        <v>28</v>
      </c>
      <c r="G12" s="69">
        <v>0.8</v>
      </c>
      <c r="H12" s="69">
        <f t="shared" si="0"/>
        <v>0.19999999999999996</v>
      </c>
      <c r="I12" s="69">
        <f t="shared" si="1"/>
        <v>0.87448527222116779</v>
      </c>
      <c r="J12" s="69">
        <f t="shared" si="2"/>
        <v>0.12551472777883221</v>
      </c>
      <c r="K12" s="70">
        <v>0.89</v>
      </c>
      <c r="L12" s="69">
        <f t="shared" si="3"/>
        <v>0.11170810772316067</v>
      </c>
      <c r="N12" s="64" t="s">
        <v>65</v>
      </c>
      <c r="O12" s="64"/>
      <c r="P12" s="64"/>
      <c r="Q12" s="64"/>
      <c r="R12" s="71">
        <v>28</v>
      </c>
      <c r="S12" s="72">
        <f t="shared" si="4"/>
        <v>0.76195799999999991</v>
      </c>
      <c r="T12" s="72">
        <f t="shared" si="5"/>
        <v>0.23804200000000009</v>
      </c>
      <c r="U12" s="72">
        <f t="shared" si="6"/>
        <v>0.88726727930099614</v>
      </c>
      <c r="V12" s="94">
        <f t="shared" si="7"/>
        <v>0.11273272069900386</v>
      </c>
      <c r="W12" s="94">
        <f t="shared" si="8"/>
        <v>1.8788786783167311E-2</v>
      </c>
      <c r="X12" s="73">
        <v>0.89</v>
      </c>
      <c r="Y12" s="94">
        <f t="shared" si="9"/>
        <v>0.10033212142211344</v>
      </c>
    </row>
    <row r="13" spans="1:25">
      <c r="A13" s="24">
        <v>28</v>
      </c>
      <c r="B13" s="24">
        <v>0.72</v>
      </c>
      <c r="C13" s="25">
        <v>0.89</v>
      </c>
      <c r="F13" s="68">
        <v>29</v>
      </c>
      <c r="G13" s="69">
        <v>0.8</v>
      </c>
      <c r="H13" s="69">
        <f t="shared" si="0"/>
        <v>0.19999999999999996</v>
      </c>
      <c r="I13" s="69">
        <f t="shared" si="1"/>
        <v>0.87448527222116779</v>
      </c>
      <c r="J13" s="69">
        <f t="shared" si="2"/>
        <v>0.12551472777883221</v>
      </c>
      <c r="K13" s="70">
        <v>0.89</v>
      </c>
      <c r="L13" s="69">
        <f t="shared" si="3"/>
        <v>0.11170810772316067</v>
      </c>
      <c r="N13" s="64" t="s">
        <v>66</v>
      </c>
      <c r="O13" s="64"/>
      <c r="P13" s="64"/>
      <c r="Q13" s="64"/>
      <c r="R13" s="71">
        <v>29</v>
      </c>
      <c r="S13" s="72">
        <f t="shared" si="4"/>
        <v>0.73856599999999994</v>
      </c>
      <c r="T13" s="72">
        <f t="shared" si="5"/>
        <v>0.26143400000000006</v>
      </c>
      <c r="U13" s="72">
        <f t="shared" si="6"/>
        <v>0.89422506513473499</v>
      </c>
      <c r="V13" s="94">
        <f t="shared" si="7"/>
        <v>0.10577493486526501</v>
      </c>
      <c r="W13" s="94">
        <f t="shared" si="8"/>
        <v>1.7629155810877501E-2</v>
      </c>
      <c r="X13" s="73">
        <v>0.89</v>
      </c>
      <c r="Y13" s="94">
        <f t="shared" si="9"/>
        <v>9.4139692030085861E-2</v>
      </c>
    </row>
    <row r="14" spans="1:25">
      <c r="A14" s="24">
        <v>29</v>
      </c>
      <c r="B14" s="24">
        <v>0.72</v>
      </c>
      <c r="C14" s="25">
        <v>0.89</v>
      </c>
      <c r="F14" s="68">
        <v>30</v>
      </c>
      <c r="G14" s="69">
        <v>0.8</v>
      </c>
      <c r="H14" s="69">
        <f t="shared" si="0"/>
        <v>0.19999999999999996</v>
      </c>
      <c r="I14" s="69">
        <f t="shared" si="1"/>
        <v>0.87448527222116779</v>
      </c>
      <c r="J14" s="69">
        <f t="shared" si="2"/>
        <v>0.12551472777883221</v>
      </c>
      <c r="K14" s="70">
        <v>0.85499999999999998</v>
      </c>
      <c r="L14" s="69">
        <f t="shared" si="3"/>
        <v>0.10731509225090154</v>
      </c>
      <c r="N14" s="64"/>
      <c r="O14" s="64"/>
      <c r="P14" s="64"/>
      <c r="Q14" s="64"/>
      <c r="R14" s="71">
        <v>30</v>
      </c>
      <c r="S14" s="72">
        <f t="shared" si="4"/>
        <v>0.71517399999999998</v>
      </c>
      <c r="T14" s="72">
        <f t="shared" si="5"/>
        <v>0.28482600000000002</v>
      </c>
      <c r="U14" s="72">
        <f t="shared" si="6"/>
        <v>0.90063392638356943</v>
      </c>
      <c r="V14" s="94">
        <f t="shared" si="7"/>
        <v>9.9366073616430572E-2</v>
      </c>
      <c r="W14" s="94">
        <f t="shared" si="8"/>
        <v>1.6561012269405095E-2</v>
      </c>
      <c r="X14" s="73">
        <v>0.85499999999999998</v>
      </c>
      <c r="Y14" s="94">
        <f t="shared" si="9"/>
        <v>8.4957992942048144E-2</v>
      </c>
    </row>
    <row r="15" spans="1:25">
      <c r="A15" s="24">
        <v>30</v>
      </c>
      <c r="B15" s="24">
        <v>0.72</v>
      </c>
      <c r="C15" s="25">
        <v>0.85499999999999998</v>
      </c>
      <c r="F15" s="68">
        <v>31</v>
      </c>
      <c r="G15" s="69">
        <v>0.65</v>
      </c>
      <c r="H15" s="69">
        <f t="shared" si="0"/>
        <v>0.35</v>
      </c>
      <c r="I15" s="69">
        <f t="shared" si="1"/>
        <v>0.91623245282579358</v>
      </c>
      <c r="J15" s="69">
        <f t="shared" si="2"/>
        <v>8.3767547174206425E-2</v>
      </c>
      <c r="K15" s="70">
        <v>0.82</v>
      </c>
      <c r="L15" s="69">
        <f t="shared" si="3"/>
        <v>6.8689388682849267E-2</v>
      </c>
      <c r="N15" s="64" t="s">
        <v>67</v>
      </c>
      <c r="O15" s="64"/>
      <c r="P15" s="64"/>
      <c r="Q15" s="64"/>
      <c r="R15" s="71">
        <v>31</v>
      </c>
      <c r="S15" s="72">
        <f t="shared" si="4"/>
        <v>0.6917819999999999</v>
      </c>
      <c r="T15" s="72">
        <f t="shared" si="5"/>
        <v>0.3082180000000001</v>
      </c>
      <c r="U15" s="72">
        <f t="shared" si="6"/>
        <v>0.90657728478220312</v>
      </c>
      <c r="V15" s="94">
        <f t="shared" si="7"/>
        <v>9.3422715217796881E-2</v>
      </c>
      <c r="W15" s="94">
        <f t="shared" si="8"/>
        <v>1.5570452536299481E-2</v>
      </c>
      <c r="X15" s="73">
        <v>0.82</v>
      </c>
      <c r="Y15" s="94">
        <f t="shared" si="9"/>
        <v>7.660662647859344E-2</v>
      </c>
    </row>
    <row r="16" spans="1:25">
      <c r="A16" s="24">
        <v>31</v>
      </c>
      <c r="B16" s="24">
        <v>0.72</v>
      </c>
      <c r="C16" s="25">
        <v>0.82</v>
      </c>
      <c r="F16" s="68">
        <v>32</v>
      </c>
      <c r="G16" s="69">
        <v>0.65</v>
      </c>
      <c r="H16" s="69">
        <f t="shared" si="0"/>
        <v>0.35</v>
      </c>
      <c r="I16" s="69">
        <f t="shared" si="1"/>
        <v>0.91623245282579358</v>
      </c>
      <c r="J16" s="69">
        <f t="shared" si="2"/>
        <v>8.3767547174206425E-2</v>
      </c>
      <c r="K16" s="70">
        <v>0.78500000000000003</v>
      </c>
      <c r="L16" s="69">
        <f t="shared" si="3"/>
        <v>6.5757524531752043E-2</v>
      </c>
      <c r="N16" s="64" t="s">
        <v>68</v>
      </c>
      <c r="O16" s="64"/>
      <c r="P16" s="64"/>
      <c r="Q16" s="64"/>
      <c r="R16" s="71">
        <v>32</v>
      </c>
      <c r="S16" s="72">
        <f t="shared" si="4"/>
        <v>0.66838999999999993</v>
      </c>
      <c r="T16" s="72">
        <f t="shared" si="5"/>
        <v>0.33161000000000007</v>
      </c>
      <c r="U16" s="72">
        <f t="shared" si="6"/>
        <v>0.91212067831607568</v>
      </c>
      <c r="V16" s="94">
        <f t="shared" si="7"/>
        <v>8.7879321683924316E-2</v>
      </c>
      <c r="W16" s="94">
        <f t="shared" si="8"/>
        <v>1.4646553613987387E-2</v>
      </c>
      <c r="X16" s="73">
        <v>0.78500000000000003</v>
      </c>
      <c r="Y16" s="94">
        <f t="shared" si="9"/>
        <v>6.8985267521880597E-2</v>
      </c>
    </row>
    <row r="17" spans="1:25">
      <c r="A17" s="24">
        <v>32</v>
      </c>
      <c r="B17" s="24">
        <v>0.72</v>
      </c>
      <c r="C17" s="25">
        <v>0.78500000000000003</v>
      </c>
      <c r="F17" s="68">
        <v>33</v>
      </c>
      <c r="G17" s="69">
        <v>0.65</v>
      </c>
      <c r="H17" s="69">
        <f t="shared" si="0"/>
        <v>0.35</v>
      </c>
      <c r="I17" s="69">
        <f t="shared" si="1"/>
        <v>0.91623245282579358</v>
      </c>
      <c r="J17" s="69">
        <f t="shared" si="2"/>
        <v>8.3767547174206425E-2</v>
      </c>
      <c r="K17" s="70">
        <v>0.75</v>
      </c>
      <c r="L17" s="69">
        <f t="shared" si="3"/>
        <v>6.2825660380654819E-2</v>
      </c>
      <c r="N17" s="64" t="s">
        <v>69</v>
      </c>
      <c r="O17" s="64"/>
      <c r="P17" s="64"/>
      <c r="Q17" s="64"/>
      <c r="R17" s="71">
        <v>33</v>
      </c>
      <c r="S17" s="72">
        <f t="shared" si="4"/>
        <v>0.64499799999999996</v>
      </c>
      <c r="T17" s="72">
        <f t="shared" si="5"/>
        <v>0.35500200000000004</v>
      </c>
      <c r="U17" s="72">
        <f t="shared" si="6"/>
        <v>0.91731655908689336</v>
      </c>
      <c r="V17" s="94">
        <f t="shared" si="7"/>
        <v>8.2683440913106643E-2</v>
      </c>
      <c r="W17" s="94">
        <f t="shared" si="8"/>
        <v>1.3780573485517774E-2</v>
      </c>
      <c r="X17" s="73">
        <v>0.75</v>
      </c>
      <c r="Y17" s="94">
        <f t="shared" si="9"/>
        <v>6.2012580684829982E-2</v>
      </c>
    </row>
    <row r="18" spans="1:25">
      <c r="A18" s="24">
        <v>33</v>
      </c>
      <c r="B18" s="24">
        <v>0.72</v>
      </c>
      <c r="C18" s="25">
        <v>0.75</v>
      </c>
      <c r="F18" s="68">
        <v>34</v>
      </c>
      <c r="G18" s="69">
        <v>0.65</v>
      </c>
      <c r="H18" s="69">
        <f t="shared" si="0"/>
        <v>0.35</v>
      </c>
      <c r="I18" s="69">
        <f t="shared" si="1"/>
        <v>0.91623245282579358</v>
      </c>
      <c r="J18" s="69">
        <f t="shared" si="2"/>
        <v>8.3767547174206425E-2</v>
      </c>
      <c r="K18" s="70">
        <v>0.71499999999999997</v>
      </c>
      <c r="L18" s="69">
        <f t="shared" si="3"/>
        <v>5.9893796229557594E-2</v>
      </c>
      <c r="N18" s="64"/>
      <c r="O18" s="64"/>
      <c r="P18" s="64"/>
      <c r="Q18" s="64"/>
      <c r="R18" s="71">
        <v>34</v>
      </c>
      <c r="S18" s="72">
        <f t="shared" si="4"/>
        <v>0.62160599999999988</v>
      </c>
      <c r="T18" s="72">
        <f t="shared" si="5"/>
        <v>0.37839400000000012</v>
      </c>
      <c r="U18" s="72">
        <f t="shared" si="6"/>
        <v>0.92220757839004153</v>
      </c>
      <c r="V18" s="94">
        <f t="shared" si="7"/>
        <v>7.7792421609958473E-2</v>
      </c>
      <c r="W18" s="94">
        <f t="shared" si="8"/>
        <v>1.2965403601659745E-2</v>
      </c>
      <c r="X18" s="73">
        <v>0.71499999999999997</v>
      </c>
      <c r="Y18" s="94">
        <f t="shared" si="9"/>
        <v>5.5621581451120304E-2</v>
      </c>
    </row>
    <row r="19" spans="1:25">
      <c r="A19" s="24">
        <v>34</v>
      </c>
      <c r="B19" s="24">
        <v>0.72</v>
      </c>
      <c r="C19" s="25">
        <v>0.71499999999999997</v>
      </c>
      <c r="F19" s="68">
        <v>35</v>
      </c>
      <c r="G19" s="69">
        <v>0.65</v>
      </c>
      <c r="H19" s="69">
        <f t="shared" si="0"/>
        <v>0.35</v>
      </c>
      <c r="I19" s="69">
        <f t="shared" si="1"/>
        <v>0.91623245282579358</v>
      </c>
      <c r="J19" s="69">
        <f t="shared" si="2"/>
        <v>8.3767547174206425E-2</v>
      </c>
      <c r="K19" s="70">
        <v>0.68</v>
      </c>
      <c r="L19" s="69">
        <f t="shared" si="3"/>
        <v>5.696193207846037E-2</v>
      </c>
      <c r="N19" s="64" t="s">
        <v>70</v>
      </c>
      <c r="O19" s="64"/>
      <c r="P19" s="64"/>
      <c r="Q19" s="64"/>
      <c r="R19" s="71">
        <v>35</v>
      </c>
      <c r="S19" s="72">
        <f t="shared" si="4"/>
        <v>0.59821399999999991</v>
      </c>
      <c r="T19" s="72">
        <f t="shared" si="5"/>
        <v>0.40178600000000009</v>
      </c>
      <c r="U19" s="72">
        <f t="shared" si="6"/>
        <v>0.92682889858991846</v>
      </c>
      <c r="V19" s="94">
        <f t="shared" si="7"/>
        <v>7.317110141008154E-2</v>
      </c>
      <c r="W19" s="94">
        <f t="shared" si="8"/>
        <v>1.2195183568346923E-2</v>
      </c>
      <c r="X19" s="73">
        <v>0.68</v>
      </c>
      <c r="Y19" s="94">
        <f t="shared" si="9"/>
        <v>4.9756348958855452E-2</v>
      </c>
    </row>
    <row r="20" spans="1:25">
      <c r="A20" s="24">
        <v>35</v>
      </c>
      <c r="B20" s="24">
        <v>0.49</v>
      </c>
      <c r="C20" s="25">
        <v>0.68</v>
      </c>
      <c r="F20" s="68">
        <v>36</v>
      </c>
      <c r="G20" s="69">
        <v>0.55000000000000004</v>
      </c>
      <c r="H20" s="69">
        <f t="shared" si="0"/>
        <v>0.44999999999999996</v>
      </c>
      <c r="I20" s="69">
        <f t="shared" si="1"/>
        <v>0.93562333065009839</v>
      </c>
      <c r="J20" s="69">
        <f t="shared" si="2"/>
        <v>6.4376669349901605E-2</v>
      </c>
      <c r="K20" s="70">
        <v>0.64500000000000002</v>
      </c>
      <c r="L20" s="69">
        <f t="shared" si="3"/>
        <v>4.1522951730686534E-2</v>
      </c>
      <c r="N20" s="64" t="s">
        <v>71</v>
      </c>
      <c r="O20" s="64"/>
      <c r="P20" s="64"/>
      <c r="Q20" s="64"/>
      <c r="R20" s="71">
        <v>36</v>
      </c>
      <c r="S20" s="72">
        <f t="shared" si="4"/>
        <v>0.57482199999999994</v>
      </c>
      <c r="T20" s="72">
        <f t="shared" si="5"/>
        <v>0.42517800000000006</v>
      </c>
      <c r="U20" s="72">
        <f t="shared" si="6"/>
        <v>0.93120985912048659</v>
      </c>
      <c r="V20" s="94">
        <f t="shared" si="7"/>
        <v>6.8790140879513406E-2</v>
      </c>
      <c r="W20" s="94">
        <f t="shared" si="8"/>
        <v>1.1465023479918901E-2</v>
      </c>
      <c r="X20" s="73">
        <v>0.64500000000000002</v>
      </c>
      <c r="Y20" s="94">
        <f t="shared" si="9"/>
        <v>4.4369640867286148E-2</v>
      </c>
    </row>
    <row r="21" spans="1:25">
      <c r="A21" s="24">
        <v>36</v>
      </c>
      <c r="B21" s="24">
        <v>0.49</v>
      </c>
      <c r="C21" s="25">
        <v>0.64500000000000002</v>
      </c>
      <c r="F21" s="68">
        <v>37</v>
      </c>
      <c r="G21" s="69">
        <v>0.55000000000000004</v>
      </c>
      <c r="H21" s="69">
        <f t="shared" si="0"/>
        <v>0.44999999999999996</v>
      </c>
      <c r="I21" s="69">
        <f t="shared" si="1"/>
        <v>0.93562333065009839</v>
      </c>
      <c r="J21" s="69">
        <f t="shared" si="2"/>
        <v>6.4376669349901605E-2</v>
      </c>
      <c r="K21" s="70">
        <v>0.61</v>
      </c>
      <c r="L21" s="69">
        <f t="shared" si="3"/>
        <v>3.9269768303439978E-2</v>
      </c>
      <c r="N21" s="64" t="s">
        <v>72</v>
      </c>
      <c r="O21" s="64"/>
      <c r="P21" s="64"/>
      <c r="Q21" s="64"/>
      <c r="R21" s="71">
        <v>37</v>
      </c>
      <c r="S21" s="72">
        <f t="shared" si="4"/>
        <v>0.55142999999999998</v>
      </c>
      <c r="T21" s="72">
        <f t="shared" si="5"/>
        <v>0.44857000000000002</v>
      </c>
      <c r="U21" s="72">
        <f t="shared" si="6"/>
        <v>0.93537520212877368</v>
      </c>
      <c r="V21" s="94">
        <f t="shared" si="7"/>
        <v>6.4624797871226325E-2</v>
      </c>
      <c r="W21" s="94">
        <f t="shared" si="8"/>
        <v>1.0770799645204387E-2</v>
      </c>
      <c r="X21" s="73">
        <v>0.61</v>
      </c>
      <c r="Y21" s="94">
        <f t="shared" si="9"/>
        <v>3.942112670144806E-2</v>
      </c>
    </row>
    <row r="22" spans="1:25">
      <c r="A22" s="24">
        <v>37</v>
      </c>
      <c r="B22" s="24">
        <v>0.49</v>
      </c>
      <c r="C22" s="25">
        <v>0.61</v>
      </c>
      <c r="F22" s="68">
        <v>38</v>
      </c>
      <c r="G22" s="69">
        <v>0.55000000000000004</v>
      </c>
      <c r="H22" s="69">
        <f t="shared" si="0"/>
        <v>0.44999999999999996</v>
      </c>
      <c r="I22" s="69">
        <f t="shared" si="1"/>
        <v>0.93562333065009839</v>
      </c>
      <c r="J22" s="69">
        <f t="shared" si="2"/>
        <v>6.4376669349901605E-2</v>
      </c>
      <c r="K22" s="70">
        <v>0.57499999999999996</v>
      </c>
      <c r="L22" s="69">
        <f t="shared" si="3"/>
        <v>3.7016584876193422E-2</v>
      </c>
      <c r="N22" s="64" t="s">
        <v>73</v>
      </c>
      <c r="O22" s="64"/>
      <c r="P22" s="64"/>
      <c r="Q22" s="64"/>
      <c r="R22" s="71">
        <v>38</v>
      </c>
      <c r="S22" s="72">
        <f t="shared" si="4"/>
        <v>0.5280379999999999</v>
      </c>
      <c r="T22" s="72">
        <f t="shared" si="5"/>
        <v>0.4719620000000001</v>
      </c>
      <c r="U22" s="72">
        <f t="shared" si="6"/>
        <v>0.93934599071510672</v>
      </c>
      <c r="V22" s="94">
        <f t="shared" si="7"/>
        <v>6.0654009284893284E-2</v>
      </c>
      <c r="W22" s="94">
        <f t="shared" si="8"/>
        <v>1.0109001547482213E-2</v>
      </c>
      <c r="X22" s="73">
        <v>0.57499999999999996</v>
      </c>
      <c r="Y22" s="94">
        <f t="shared" si="9"/>
        <v>3.4876055338813633E-2</v>
      </c>
    </row>
    <row r="23" spans="1:25">
      <c r="A23" s="24">
        <v>38</v>
      </c>
      <c r="B23" s="24">
        <v>0.49</v>
      </c>
      <c r="C23" s="25">
        <v>0.57499999999999996</v>
      </c>
      <c r="F23" s="68">
        <v>39</v>
      </c>
      <c r="G23" s="69">
        <v>0.55000000000000004</v>
      </c>
      <c r="H23" s="69">
        <f t="shared" si="0"/>
        <v>0.44999999999999996</v>
      </c>
      <c r="I23" s="69">
        <f t="shared" si="1"/>
        <v>0.93562333065009839</v>
      </c>
      <c r="J23" s="69">
        <f t="shared" si="2"/>
        <v>6.4376669349901605E-2</v>
      </c>
      <c r="K23" s="70">
        <v>0.54</v>
      </c>
      <c r="L23" s="69">
        <f t="shared" si="3"/>
        <v>3.4763401448946872E-2</v>
      </c>
      <c r="N23" s="64" t="s">
        <v>74</v>
      </c>
      <c r="O23" s="64"/>
      <c r="P23" s="64"/>
      <c r="Q23" s="64"/>
      <c r="R23" s="71">
        <v>39</v>
      </c>
      <c r="S23" s="72">
        <f t="shared" si="4"/>
        <v>0.50464599999999993</v>
      </c>
      <c r="T23" s="72">
        <f t="shared" si="5"/>
        <v>0.49535400000000007</v>
      </c>
      <c r="U23" s="72">
        <f t="shared" si="6"/>
        <v>0.94314030806650928</v>
      </c>
      <c r="V23" s="94">
        <f t="shared" si="7"/>
        <v>5.6859691933490719E-2</v>
      </c>
      <c r="W23" s="94">
        <f t="shared" si="8"/>
        <v>9.4766153222484526E-3</v>
      </c>
      <c r="X23" s="73">
        <v>0.54</v>
      </c>
      <c r="Y23" s="94">
        <f t="shared" si="9"/>
        <v>3.0704233644084991E-2</v>
      </c>
    </row>
    <row r="24" spans="1:25">
      <c r="A24" s="24">
        <v>39</v>
      </c>
      <c r="B24" s="24">
        <v>0.49</v>
      </c>
      <c r="C24" s="25">
        <v>0.54</v>
      </c>
      <c r="F24" s="68">
        <v>40</v>
      </c>
      <c r="G24" s="69">
        <v>0.55000000000000004</v>
      </c>
      <c r="H24" s="69">
        <f t="shared" si="0"/>
        <v>0.44999999999999996</v>
      </c>
      <c r="I24" s="69">
        <f t="shared" si="1"/>
        <v>0.93562333065009839</v>
      </c>
      <c r="J24" s="69">
        <f t="shared" si="2"/>
        <v>6.4376669349901605E-2</v>
      </c>
      <c r="K24" s="70">
        <v>0.505</v>
      </c>
      <c r="L24" s="69">
        <f t="shared" si="3"/>
        <v>3.2510218021700309E-2</v>
      </c>
      <c r="N24" s="64" t="s">
        <v>75</v>
      </c>
      <c r="O24" s="64"/>
      <c r="P24" s="64"/>
      <c r="Q24" s="64"/>
      <c r="R24" s="71">
        <v>40</v>
      </c>
      <c r="S24" s="72">
        <f t="shared" si="4"/>
        <v>0.48125399999999996</v>
      </c>
      <c r="T24" s="72">
        <f t="shared" si="5"/>
        <v>0.51874600000000004</v>
      </c>
      <c r="U24" s="72">
        <f t="shared" si="6"/>
        <v>0.94677379749879342</v>
      </c>
      <c r="V24" s="94">
        <f t="shared" si="7"/>
        <v>5.3226202501206576E-2</v>
      </c>
      <c r="W24" s="94">
        <f t="shared" si="8"/>
        <v>8.8710337502010961E-3</v>
      </c>
      <c r="X24" s="73">
        <v>0.505</v>
      </c>
      <c r="Y24" s="94">
        <f t="shared" si="9"/>
        <v>2.6879232263109322E-2</v>
      </c>
    </row>
    <row r="25" spans="1:25">
      <c r="A25" s="24">
        <v>40</v>
      </c>
      <c r="B25" s="24">
        <v>0.49</v>
      </c>
      <c r="C25" s="25">
        <v>0.505</v>
      </c>
      <c r="F25" s="68">
        <v>41</v>
      </c>
      <c r="G25" s="69">
        <v>0.38</v>
      </c>
      <c r="H25" s="69">
        <f t="shared" si="0"/>
        <v>0.62</v>
      </c>
      <c r="I25" s="69">
        <f t="shared" si="1"/>
        <v>0.96094671716639057</v>
      </c>
      <c r="J25" s="69">
        <f t="shared" si="2"/>
        <v>3.9053282833609426E-2</v>
      </c>
      <c r="K25" s="70">
        <v>0.47</v>
      </c>
      <c r="L25" s="69">
        <f t="shared" si="3"/>
        <v>1.835504293179643E-2</v>
      </c>
      <c r="N25" s="64"/>
      <c r="O25" s="64"/>
      <c r="P25" s="64"/>
      <c r="Q25" s="64"/>
      <c r="R25" s="71">
        <v>41</v>
      </c>
      <c r="S25" s="72">
        <f t="shared" si="4"/>
        <v>0.45786199999999988</v>
      </c>
      <c r="T25" s="72">
        <f t="shared" si="5"/>
        <v>0.54213800000000012</v>
      </c>
      <c r="U25" s="72">
        <f t="shared" si="6"/>
        <v>0.95026008505270454</v>
      </c>
      <c r="V25" s="94">
        <f t="shared" si="7"/>
        <v>4.973991494729546E-2</v>
      </c>
      <c r="W25" s="94">
        <f t="shared" si="8"/>
        <v>8.2899858245492428E-3</v>
      </c>
      <c r="X25" s="73">
        <v>0.47</v>
      </c>
      <c r="Y25" s="94">
        <f t="shared" si="9"/>
        <v>2.3377760025228865E-2</v>
      </c>
    </row>
    <row r="26" spans="1:25">
      <c r="A26" s="24">
        <v>41</v>
      </c>
      <c r="B26" s="24">
        <v>0.49</v>
      </c>
      <c r="C26" s="25">
        <v>0.47</v>
      </c>
      <c r="F26" s="68">
        <v>42</v>
      </c>
      <c r="G26" s="69">
        <v>0.38</v>
      </c>
      <c r="H26" s="69">
        <f t="shared" si="0"/>
        <v>0.62</v>
      </c>
      <c r="I26" s="69">
        <f t="shared" si="1"/>
        <v>0.96094671716639057</v>
      </c>
      <c r="J26" s="69">
        <f t="shared" si="2"/>
        <v>3.9053282833609426E-2</v>
      </c>
      <c r="K26" s="70">
        <v>0.435</v>
      </c>
      <c r="L26" s="69">
        <f t="shared" si="3"/>
        <v>1.6988178032620101E-2</v>
      </c>
      <c r="N26" s="64" t="s">
        <v>76</v>
      </c>
      <c r="O26" s="64"/>
      <c r="P26" s="64"/>
      <c r="Q26" s="64"/>
      <c r="R26" s="71">
        <v>42</v>
      </c>
      <c r="S26" s="72">
        <f t="shared" si="4"/>
        <v>0.43446999999999991</v>
      </c>
      <c r="T26" s="72">
        <f t="shared" si="5"/>
        <v>0.56553000000000009</v>
      </c>
      <c r="U26" s="72">
        <f t="shared" si="6"/>
        <v>0.95361111408343002</v>
      </c>
      <c r="V26" s="94">
        <f t="shared" si="7"/>
        <v>4.6388885916569977E-2</v>
      </c>
      <c r="W26" s="94">
        <f t="shared" si="8"/>
        <v>7.7314809860949962E-3</v>
      </c>
      <c r="X26" s="73">
        <v>0.435</v>
      </c>
      <c r="Y26" s="94">
        <f t="shared" si="9"/>
        <v>2.0179165373707939E-2</v>
      </c>
    </row>
    <row r="27" spans="1:25">
      <c r="A27" s="24">
        <v>42</v>
      </c>
      <c r="B27" s="24">
        <v>0.49</v>
      </c>
      <c r="C27" s="25">
        <v>0.435</v>
      </c>
      <c r="F27" s="68">
        <v>43</v>
      </c>
      <c r="G27" s="69">
        <v>0.38</v>
      </c>
      <c r="H27" s="69">
        <f t="shared" si="0"/>
        <v>0.62</v>
      </c>
      <c r="I27" s="69">
        <f t="shared" si="1"/>
        <v>0.96094671716639057</v>
      </c>
      <c r="J27" s="69">
        <f t="shared" si="2"/>
        <v>3.9053282833609426E-2</v>
      </c>
      <c r="K27" s="70">
        <v>0.4</v>
      </c>
      <c r="L27" s="69">
        <f t="shared" si="3"/>
        <v>1.5621313133443771E-2</v>
      </c>
      <c r="N27" s="64" t="s">
        <v>77</v>
      </c>
      <c r="O27" s="64" t="s">
        <v>78</v>
      </c>
      <c r="P27" s="64"/>
      <c r="Q27" s="64"/>
      <c r="R27" s="71">
        <v>43</v>
      </c>
      <c r="S27" s="72">
        <f t="shared" si="4"/>
        <v>0.41107799999999983</v>
      </c>
      <c r="T27" s="72">
        <f t="shared" si="5"/>
        <v>0.58892200000000017</v>
      </c>
      <c r="U27" s="72">
        <f t="shared" si="6"/>
        <v>0.95683741300562741</v>
      </c>
      <c r="V27" s="94">
        <f t="shared" si="7"/>
        <v>4.3162586994372587E-2</v>
      </c>
      <c r="W27" s="94">
        <f t="shared" si="8"/>
        <v>7.1937644990620981E-3</v>
      </c>
      <c r="X27" s="73">
        <v>0.4</v>
      </c>
      <c r="Y27" s="94">
        <f t="shared" si="9"/>
        <v>1.7265034797749036E-2</v>
      </c>
    </row>
    <row r="28" spans="1:25">
      <c r="A28" s="24">
        <v>43</v>
      </c>
      <c r="B28" s="24">
        <v>0.49</v>
      </c>
      <c r="C28" s="25">
        <v>0.4</v>
      </c>
      <c r="F28" s="68">
        <v>44</v>
      </c>
      <c r="G28" s="69">
        <v>0.38</v>
      </c>
      <c r="H28" s="69">
        <f t="shared" si="0"/>
        <v>0.62</v>
      </c>
      <c r="I28" s="69">
        <f t="shared" si="1"/>
        <v>0.96094671716639057</v>
      </c>
      <c r="J28" s="69">
        <f t="shared" si="2"/>
        <v>3.9053282833609426E-2</v>
      </c>
      <c r="K28" s="70">
        <v>0.36499999999999999</v>
      </c>
      <c r="L28" s="69">
        <f t="shared" si="3"/>
        <v>1.425444823426744E-2</v>
      </c>
      <c r="N28" s="64" t="s">
        <v>79</v>
      </c>
      <c r="O28" s="64"/>
      <c r="P28" s="64"/>
      <c r="Q28" s="64"/>
      <c r="R28" s="71">
        <v>44</v>
      </c>
      <c r="S28" s="72">
        <f t="shared" si="4"/>
        <v>0.38768599999999998</v>
      </c>
      <c r="T28" s="72">
        <f t="shared" si="5"/>
        <v>0.61231400000000002</v>
      </c>
      <c r="U28" s="72">
        <f t="shared" si="6"/>
        <v>0.9599483116389369</v>
      </c>
      <c r="V28" s="94">
        <f t="shared" si="7"/>
        <v>4.0051688361063098E-2</v>
      </c>
      <c r="W28" s="94">
        <f t="shared" si="8"/>
        <v>6.6752813935105166E-3</v>
      </c>
      <c r="X28" s="73">
        <v>0.36499999999999999</v>
      </c>
      <c r="Y28" s="94">
        <f t="shared" si="9"/>
        <v>1.4618866251788031E-2</v>
      </c>
    </row>
    <row r="29" spans="1:25">
      <c r="A29" s="24">
        <v>44</v>
      </c>
      <c r="B29" s="24">
        <v>0.49</v>
      </c>
      <c r="C29" s="25">
        <v>0.36499999999999999</v>
      </c>
      <c r="F29" s="68">
        <v>45</v>
      </c>
      <c r="G29" s="69">
        <v>0.38</v>
      </c>
      <c r="H29" s="69">
        <f t="shared" si="0"/>
        <v>0.62</v>
      </c>
      <c r="I29" s="69">
        <f t="shared" si="1"/>
        <v>0.96094671716639057</v>
      </c>
      <c r="J29" s="69">
        <f t="shared" si="2"/>
        <v>3.9053282833609426E-2</v>
      </c>
      <c r="K29" s="70">
        <f>($C$29/$C$28)*K28</f>
        <v>0.33306249999999998</v>
      </c>
      <c r="L29" s="69">
        <f t="shared" si="3"/>
        <v>1.3007184013769039E-2</v>
      </c>
      <c r="R29" s="71">
        <v>45</v>
      </c>
      <c r="S29" s="72">
        <f t="shared" si="4"/>
        <v>0.3642939999999999</v>
      </c>
      <c r="T29" s="72">
        <f t="shared" si="5"/>
        <v>0.6357060000000001</v>
      </c>
      <c r="U29" s="72">
        <f t="shared" si="6"/>
        <v>0.9629521175833855</v>
      </c>
      <c r="V29" s="94">
        <f t="shared" si="7"/>
        <v>3.7047882416614497E-2</v>
      </c>
      <c r="W29" s="94">
        <f t="shared" si="8"/>
        <v>6.1746470694357498E-3</v>
      </c>
      <c r="X29" s="73">
        <f>($C$29/$C$28)*X28</f>
        <v>0.33306249999999998</v>
      </c>
      <c r="Y29" s="94">
        <f t="shared" si="9"/>
        <v>1.2339260337383666E-2</v>
      </c>
    </row>
    <row r="30" spans="1:25">
      <c r="A30" s="24">
        <v>45</v>
      </c>
      <c r="B30" s="24">
        <v>0.49</v>
      </c>
      <c r="C30" s="25">
        <f>($C$29/$C$28)*C29</f>
        <v>0.33306249999999998</v>
      </c>
      <c r="F30" s="68">
        <v>46</v>
      </c>
      <c r="G30" s="69">
        <v>0.38</v>
      </c>
      <c r="H30" s="69">
        <f t="shared" si="0"/>
        <v>0.62</v>
      </c>
      <c r="I30" s="69">
        <f t="shared" si="1"/>
        <v>0.96094671716639057</v>
      </c>
      <c r="J30" s="69">
        <f t="shared" si="2"/>
        <v>3.9053282833609426E-2</v>
      </c>
      <c r="K30" s="70">
        <f>($C$29/$C$28)*K29</f>
        <v>0.30391953124999999</v>
      </c>
      <c r="L30" s="69">
        <f t="shared" si="3"/>
        <v>1.1869055412564248E-2</v>
      </c>
      <c r="R30" s="71">
        <v>46</v>
      </c>
      <c r="S30" s="72">
        <f t="shared" si="4"/>
        <v>0.34090200000000004</v>
      </c>
      <c r="T30" s="72">
        <f t="shared" si="5"/>
        <v>0.65909799999999996</v>
      </c>
      <c r="U30" s="72">
        <f t="shared" si="6"/>
        <v>0.96585626119033019</v>
      </c>
      <c r="V30" s="94">
        <f t="shared" si="7"/>
        <v>3.414373880966981E-2</v>
      </c>
      <c r="W30" s="94">
        <f t="shared" si="8"/>
        <v>5.6906231349449681E-3</v>
      </c>
      <c r="X30" s="73">
        <f>($C$29/$C$28)*X29</f>
        <v>0.30391953124999999</v>
      </c>
      <c r="Y30" s="94">
        <f t="shared" si="9"/>
        <v>1.0376949094157281E-2</v>
      </c>
    </row>
    <row r="31" spans="1:25">
      <c r="A31" s="24">
        <v>46</v>
      </c>
      <c r="B31" s="24">
        <v>0.49</v>
      </c>
      <c r="C31" s="25">
        <f>($C$29/$C$28)*C30</f>
        <v>0.30391953124999999</v>
      </c>
      <c r="F31" s="68">
        <v>47</v>
      </c>
      <c r="G31" s="69">
        <v>0.38</v>
      </c>
      <c r="H31" s="69">
        <f t="shared" si="0"/>
        <v>0.62</v>
      </c>
      <c r="I31" s="69">
        <f t="shared" si="1"/>
        <v>0.96094671716639057</v>
      </c>
      <c r="J31" s="69">
        <f t="shared" si="2"/>
        <v>3.9053282833609426E-2</v>
      </c>
      <c r="K31" s="70">
        <f>($C$29/$C$28)*K30</f>
        <v>0.27732657226562496</v>
      </c>
      <c r="L31" s="69">
        <f t="shared" si="3"/>
        <v>1.0830513063964875E-2</v>
      </c>
      <c r="R31" s="71">
        <v>47</v>
      </c>
      <c r="S31" s="72">
        <f t="shared" si="4"/>
        <v>0.31750999999999996</v>
      </c>
      <c r="T31" s="72">
        <f t="shared" si="5"/>
        <v>0.68249000000000004</v>
      </c>
      <c r="U31" s="72">
        <f t="shared" si="6"/>
        <v>0.96866741562349146</v>
      </c>
      <c r="V31" s="94">
        <f t="shared" si="7"/>
        <v>3.1332584376508543E-2</v>
      </c>
      <c r="W31" s="94">
        <f t="shared" si="8"/>
        <v>5.2220973960847572E-3</v>
      </c>
      <c r="X31" s="73">
        <f>($C$29/$C$28)*X30</f>
        <v>0.27732657226562496</v>
      </c>
      <c r="Y31" s="94">
        <f t="shared" si="9"/>
        <v>8.6893582253605873E-3</v>
      </c>
    </row>
    <row r="32" spans="1:25">
      <c r="A32" s="24">
        <v>47</v>
      </c>
      <c r="B32" s="24">
        <v>0.49</v>
      </c>
      <c r="C32" s="25">
        <f>($C$29/$C$28)*C31</f>
        <v>0.27732657226562496</v>
      </c>
      <c r="F32" s="68">
        <v>48</v>
      </c>
      <c r="G32" s="69">
        <v>0.38</v>
      </c>
      <c r="H32" s="69">
        <f t="shared" si="0"/>
        <v>0.62</v>
      </c>
      <c r="I32" s="69">
        <f t="shared" si="1"/>
        <v>0.96094671716639057</v>
      </c>
      <c r="J32" s="69">
        <f t="shared" si="2"/>
        <v>3.9053282833609426E-2</v>
      </c>
      <c r="K32" s="70">
        <f>($C$29/$C$28)*K31</f>
        <v>0.25306049719238277</v>
      </c>
      <c r="L32" s="69">
        <f t="shared" si="3"/>
        <v>9.8828431708679488E-3</v>
      </c>
      <c r="R32" s="71">
        <v>48</v>
      </c>
      <c r="S32" s="72">
        <f t="shared" si="4"/>
        <v>0.29411799999999988</v>
      </c>
      <c r="T32" s="72">
        <f t="shared" si="5"/>
        <v>0.70588200000000012</v>
      </c>
      <c r="U32" s="72">
        <f t="shared" si="6"/>
        <v>0.9713915969873993</v>
      </c>
      <c r="V32" s="94">
        <f t="shared" si="7"/>
        <v>2.8608403012600703E-2</v>
      </c>
      <c r="W32" s="94">
        <f t="shared" si="8"/>
        <v>4.7680671687667835E-3</v>
      </c>
      <c r="X32" s="73">
        <f>($C$29/$C$28)*X31</f>
        <v>0.25306049719238277</v>
      </c>
      <c r="Y32" s="94">
        <f t="shared" si="9"/>
        <v>7.2396566902487953E-3</v>
      </c>
    </row>
    <row r="33" spans="1:25">
      <c r="A33" s="24">
        <v>48</v>
      </c>
      <c r="B33" s="24">
        <v>0.49</v>
      </c>
      <c r="C33" s="25">
        <f>($C$29/$C$28)*C32</f>
        <v>0.25306049719238277</v>
      </c>
      <c r="F33" s="68">
        <v>49</v>
      </c>
      <c r="G33" s="69">
        <v>0.38</v>
      </c>
      <c r="H33" s="69">
        <f t="shared" si="0"/>
        <v>0.62</v>
      </c>
      <c r="I33" s="69">
        <f t="shared" si="1"/>
        <v>0.96094671716639057</v>
      </c>
      <c r="J33" s="69">
        <f t="shared" si="2"/>
        <v>3.9053282833609426E-2</v>
      </c>
      <c r="K33" s="70">
        <f>($C$29/$C$28)*K32</f>
        <v>0.23091770368804929</v>
      </c>
      <c r="L33" s="69">
        <f t="shared" si="3"/>
        <v>9.0180943934170029E-3</v>
      </c>
      <c r="R33" s="71">
        <v>49</v>
      </c>
      <c r="S33" s="72">
        <f t="shared" si="4"/>
        <v>0.27072600000000002</v>
      </c>
      <c r="T33" s="72">
        <f t="shared" si="5"/>
        <v>0.72927399999999998</v>
      </c>
      <c r="U33" s="72">
        <f t="shared" si="6"/>
        <v>0.97403424837582264</v>
      </c>
      <c r="V33" s="94">
        <f t="shared" si="7"/>
        <v>2.5965751624177358E-2</v>
      </c>
      <c r="W33" s="94">
        <f t="shared" si="8"/>
        <v>4.3276252706962266E-3</v>
      </c>
      <c r="X33" s="73">
        <f>($C$29/$C$28)*X32</f>
        <v>0.23091770368804929</v>
      </c>
      <c r="Y33" s="94">
        <f t="shared" si="9"/>
        <v>5.995951739589272E-3</v>
      </c>
    </row>
    <row r="34" spans="1:25">
      <c r="A34" s="24">
        <v>49</v>
      </c>
      <c r="B34" s="24">
        <v>0.49</v>
      </c>
      <c r="C34" s="25">
        <f>($C$29/$C$28)*C33</f>
        <v>0.23091770368804929</v>
      </c>
      <c r="S34" s="69"/>
    </row>
    <row r="35" spans="1:25">
      <c r="S35" s="69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Interface</vt:lpstr>
      <vt:lpstr>Model</vt:lpstr>
      <vt:lpstr>Pregnancy</vt:lpstr>
      <vt:lpstr>Pregnancy.Calc</vt:lpstr>
    </vt:vector>
  </TitlesOfParts>
  <Company>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/>
  <dcterms:created xsi:type="dcterms:W3CDTF">2004-12-11T00:54:06Z</dcterms:created>
  <dcterms:modified xsi:type="dcterms:W3CDTF">2013-06-21T22:23:32Z</dcterms:modified>
</cp:coreProperties>
</file>