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  <Override PartName="/xl/charts/style10.xml" ContentType="application/vnd.ms-office.chartstyle+xml"/>
  <Override PartName="/xl/charts/colors10.xml" ContentType="application/vnd.ms-office.chartcolorstyle+xml"/>
  <Override PartName="/xl/charts/style11.xml" ContentType="application/vnd.ms-office.chartstyle+xml"/>
  <Override PartName="/xl/charts/colors11.xml" ContentType="application/vnd.ms-office.chartcolorstyle+xml"/>
  <Override PartName="/xl/charts/style13.xml" ContentType="application/vnd.ms-office.chartstyle+xml"/>
  <Override PartName="/xl/charts/colors13.xml" ContentType="application/vnd.ms-office.chartcolorstyle+xml"/>
  <Override PartName="/xl/charts/style14.xml" ContentType="application/vnd.ms-office.chartstyle+xml"/>
  <Override PartName="/xl/charts/colors14.xml" ContentType="application/vnd.ms-office.chartcolorstyle+xml"/>
  <Override PartName="/xl/charts/style16.xml" ContentType="application/vnd.ms-office.chartstyle+xml"/>
  <Override PartName="/xl/charts/colors16.xml" ContentType="application/vnd.ms-office.chartcolorstyle+xml"/>
  <Override PartName="/xl/charts/style17.xml" ContentType="application/vnd.ms-office.chartstyle+xml"/>
  <Override PartName="/xl/charts/colors17.xml" ContentType="application/vnd.ms-office.chartcolorstyle+xml"/>
  <Override PartName="/xl/charts/style19.xml" ContentType="application/vnd.ms-office.chartstyle+xml"/>
  <Override PartName="/xl/charts/colors19.xml" ContentType="application/vnd.ms-office.chartcolorstyle+xml"/>
  <Override PartName="/xl/charts/style20.xml" ContentType="application/vnd.ms-office.chartstyle+xml"/>
  <Override PartName="/xl/charts/colors20.xml" ContentType="application/vnd.ms-office.chartcolorstyle+xml"/>
  <Override PartName="/xl/charts/style22.xml" ContentType="application/vnd.ms-office.chartstyle+xml"/>
  <Override PartName="/xl/charts/colors22.xml" ContentType="application/vnd.ms-office.chartcolorstyle+xml"/>
  <Override PartName="/xl/charts/style23.xml" ContentType="application/vnd.ms-office.chartstyle+xml"/>
  <Override PartName="/xl/charts/colors23.xml" ContentType="application/vnd.ms-office.chartcolorstyle+xml"/>
  <Override PartName="/xl/charts/style25.xml" ContentType="application/vnd.ms-office.chartstyle+xml"/>
  <Override PartName="/xl/charts/colors25.xml" ContentType="application/vnd.ms-office.chartcolorstyle+xml"/>
  <Override PartName="/xl/charts/style26.xml" ContentType="application/vnd.ms-office.chartstyle+xml"/>
  <Override PartName="/xl/charts/colors26.xml" ContentType="application/vnd.ms-office.chartcolorstyle+xml"/>
  <Override PartName="/xl/charts/style28.xml" ContentType="application/vnd.ms-office.chartstyle+xml"/>
  <Override PartName="/xl/charts/colors28.xml" ContentType="application/vnd.ms-office.chartcolorstyle+xml"/>
  <Override PartName="/xl/charts/style29.xml" ContentType="application/vnd.ms-office.chartstyle+xml"/>
  <Override PartName="/xl/charts/colors29.xml" ContentType="application/vnd.ms-office.chartcolorstyle+xml"/>
  <Override PartName="/xl/charts/style31.xml" ContentType="application/vnd.ms-office.chartstyle+xml"/>
  <Override PartName="/xl/charts/colors31.xml" ContentType="application/vnd.ms-office.chartcolorstyle+xml"/>
  <Override PartName="/xl/charts/style32.xml" ContentType="application/vnd.ms-office.chartstyle+xml"/>
  <Override PartName="/xl/charts/colors32.xml" ContentType="application/vnd.ms-office.chartcolorstyle+xml"/>
  <Override PartName="/xl/charts/style34.xml" ContentType="application/vnd.ms-office.chartstyle+xml"/>
  <Override PartName="/xl/charts/colors34.xml" ContentType="application/vnd.ms-office.chartcolorstyle+xml"/>
  <Override PartName="/xl/charts/style35.xml" ContentType="application/vnd.ms-office.chartstyle+xml"/>
  <Override PartName="/xl/charts/colors35.xml" ContentType="application/vnd.ms-office.chartcolorstyle+xml"/>
  <Override PartName="/xl/charts/style37.xml" ContentType="application/vnd.ms-office.chartstyle+xml"/>
  <Override PartName="/xl/charts/colors37.xml" ContentType="application/vnd.ms-office.chartcolorstyle+xml"/>
  <Override PartName="/xl/charts/style38.xml" ContentType="application/vnd.ms-office.chartstyle+xml"/>
  <Override PartName="/xl/charts/colors38.xml" ContentType="application/vnd.ms-office.chartcolorstyle+xml"/>
  <Override PartName="/xl/charts/style40.xml" ContentType="application/vnd.ms-office.chartstyle+xml"/>
  <Override PartName="/xl/charts/colors40.xml" ContentType="application/vnd.ms-office.chartcolorstyle+xml"/>
  <Override PartName="/xl/charts/style41.xml" ContentType="application/vnd.ms-office.chartstyle+xml"/>
  <Override PartName="/xl/charts/colors41.xml" ContentType="application/vnd.ms-office.chartcolorstyle+xml"/>
  <Override PartName="/xl/charts/style43.xml" ContentType="application/vnd.ms-office.chartstyle+xml"/>
  <Override PartName="/xl/charts/colors43.xml" ContentType="application/vnd.ms-office.chartcolorstyle+xml"/>
  <Override PartName="/xl/charts/style44.xml" ContentType="application/vnd.ms-office.chartstyle+xml"/>
  <Override PartName="/xl/charts/colors44.xml" ContentType="application/vnd.ms-office.chartcolorstyle+xml"/>
  <Override PartName="/xl/charts/style46.xml" ContentType="application/vnd.ms-office.chartstyle+xml"/>
  <Override PartName="/xl/charts/colors46.xml" ContentType="application/vnd.ms-office.chartcolorstyle+xml"/>
  <Override PartName="/xl/charts/style47.xml" ContentType="application/vnd.ms-office.chartstyle+xml"/>
  <Override PartName="/xl/charts/colors47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0" yWindow="0" windowWidth="28800" windowHeight="12320" tabRatio="601"/>
  </bookViews>
  <sheets>
    <sheet name="2025" sheetId="1" r:id="rId1"/>
    <sheet name="2026" sheetId="3" r:id="rId2"/>
    <sheet name="2027" sheetId="5" r:id="rId3"/>
    <sheet name="2028" sheetId="16" r:id="rId4"/>
    <sheet name="2029" sheetId="39" r:id="rId5"/>
    <sheet name="2030" sheetId="40" r:id="rId6"/>
    <sheet name="2031" sheetId="41" r:id="rId7"/>
    <sheet name="2032" sheetId="42" r:id="rId8"/>
    <sheet name="2033" sheetId="43" r:id="rId9"/>
    <sheet name="2034" sheetId="44" r:id="rId10"/>
    <sheet name="2035" sheetId="45" r:id="rId11"/>
    <sheet name="2036" sheetId="46" r:id="rId12"/>
    <sheet name="2037" sheetId="47" r:id="rId13"/>
    <sheet name="2038" sheetId="48" r:id="rId14"/>
    <sheet name="2039" sheetId="49" r:id="rId15"/>
    <sheet name="2040" sheetId="50" r:id="rId16"/>
    <sheet name="Gesamt" sheetId="4" r:id="rId17"/>
  </sheets>
  <definedNames>
    <definedName name="Kapazität">'2026'!$C$5:$N$5</definedName>
    <definedName name="Überschuss">'2026'!$B$7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" l="1"/>
  <c r="M17" i="1"/>
  <c r="L17" i="1"/>
  <c r="K17" i="1"/>
  <c r="J17" i="1"/>
  <c r="I17" i="1"/>
  <c r="H17" i="1"/>
  <c r="G17" i="1"/>
  <c r="F17" i="1"/>
  <c r="E17" i="1"/>
  <c r="D17" i="1"/>
  <c r="C17" i="1"/>
  <c r="N8" i="1"/>
  <c r="M8" i="1"/>
  <c r="L8" i="1"/>
  <c r="K8" i="1"/>
  <c r="J8" i="1"/>
  <c r="I8" i="1"/>
  <c r="H8" i="1"/>
  <c r="G8" i="1"/>
  <c r="F8" i="1"/>
  <c r="E8" i="1"/>
  <c r="D8" i="1"/>
  <c r="C8" i="1"/>
  <c r="N6" i="1"/>
  <c r="M6" i="1"/>
  <c r="L6" i="1"/>
  <c r="K6" i="1"/>
  <c r="J6" i="1"/>
  <c r="I6" i="1"/>
  <c r="H6" i="1"/>
  <c r="G6" i="1"/>
  <c r="F6" i="1"/>
  <c r="E6" i="1"/>
  <c r="D6" i="1"/>
  <c r="C6" i="1"/>
  <c r="U45" i="1"/>
  <c r="U44" i="1"/>
  <c r="U43" i="1"/>
  <c r="U42" i="1"/>
  <c r="N16" i="1"/>
  <c r="M16" i="1"/>
  <c r="L16" i="1"/>
  <c r="K16" i="1"/>
  <c r="J16" i="1"/>
  <c r="I16" i="1"/>
  <c r="H16" i="1"/>
  <c r="G16" i="1"/>
  <c r="F16" i="1"/>
  <c r="E16" i="1"/>
  <c r="D16" i="1"/>
  <c r="C16" i="1"/>
  <c r="N36" i="1"/>
  <c r="N42" i="1"/>
  <c r="M36" i="1"/>
  <c r="M42" i="1"/>
  <c r="L36" i="1"/>
  <c r="L42" i="1"/>
  <c r="K36" i="1"/>
  <c r="K42" i="1"/>
  <c r="J36" i="1"/>
  <c r="J42" i="1"/>
  <c r="I36" i="1"/>
  <c r="I42" i="1"/>
  <c r="H36" i="1"/>
  <c r="H42" i="1"/>
  <c r="G36" i="1"/>
  <c r="G42" i="1"/>
  <c r="F36" i="1"/>
  <c r="F42" i="1"/>
  <c r="E36" i="1"/>
  <c r="E42" i="1"/>
  <c r="D36" i="1"/>
  <c r="D42" i="1"/>
  <c r="C36" i="1"/>
  <c r="C42" i="1"/>
  <c r="O40" i="1"/>
  <c r="N41" i="1"/>
  <c r="M41" i="1"/>
  <c r="L41" i="1"/>
  <c r="K41" i="1"/>
  <c r="J41" i="1"/>
  <c r="I41" i="1"/>
  <c r="H41" i="1"/>
  <c r="G41" i="1"/>
  <c r="F41" i="1"/>
  <c r="E41" i="1"/>
  <c r="D41" i="1"/>
  <c r="C41" i="1"/>
  <c r="O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O31" i="1"/>
  <c r="O30" i="1"/>
  <c r="O29" i="1"/>
  <c r="C21" i="1"/>
  <c r="C22" i="1"/>
  <c r="D21" i="1"/>
  <c r="D22" i="1"/>
  <c r="E21" i="1"/>
  <c r="E22" i="1"/>
  <c r="F21" i="1"/>
  <c r="F22" i="1"/>
  <c r="G21" i="1"/>
  <c r="G22" i="1"/>
  <c r="H21" i="1"/>
  <c r="H22" i="1"/>
  <c r="I21" i="1"/>
  <c r="I22" i="1"/>
  <c r="J21" i="1"/>
  <c r="J22" i="1"/>
  <c r="K21" i="1"/>
  <c r="K22" i="1"/>
  <c r="L21" i="1"/>
  <c r="L22" i="1"/>
  <c r="M21" i="1"/>
  <c r="M22" i="1"/>
  <c r="N21" i="1"/>
  <c r="N22" i="1"/>
  <c r="O22" i="1"/>
  <c r="O37" i="1"/>
  <c r="O20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O42" i="1"/>
  <c r="O36" i="1"/>
  <c r="O43" i="1"/>
  <c r="O46" i="1"/>
  <c r="N43" i="1"/>
  <c r="N46" i="1"/>
  <c r="M43" i="1"/>
  <c r="M46" i="1"/>
  <c r="L43" i="1"/>
  <c r="L46" i="1"/>
  <c r="K43" i="1"/>
  <c r="K46" i="1"/>
  <c r="J43" i="1"/>
  <c r="J46" i="1"/>
  <c r="I43" i="1"/>
  <c r="I46" i="1"/>
  <c r="H43" i="1"/>
  <c r="H46" i="1"/>
  <c r="G43" i="1"/>
  <c r="G46" i="1"/>
  <c r="F43" i="1"/>
  <c r="F46" i="1"/>
  <c r="E43" i="1"/>
  <c r="E46" i="1"/>
  <c r="D43" i="1"/>
  <c r="D46" i="1"/>
  <c r="C43" i="1"/>
  <c r="C46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O6" i="1"/>
  <c r="S32" i="1"/>
  <c r="S33" i="1"/>
  <c r="T22" i="1"/>
  <c r="U7" i="1"/>
  <c r="S7" i="3"/>
  <c r="O5" i="3"/>
  <c r="S22" i="3"/>
  <c r="O27" i="3"/>
  <c r="S27" i="3"/>
  <c r="O16" i="3"/>
  <c r="S28" i="3"/>
  <c r="S29" i="3"/>
  <c r="T22" i="3"/>
  <c r="T7" i="3"/>
  <c r="O17" i="1"/>
  <c r="U8" i="1"/>
  <c r="S8" i="3"/>
  <c r="S4" i="3"/>
  <c r="O6" i="3"/>
  <c r="T8" i="3"/>
  <c r="N17" i="3"/>
  <c r="M17" i="3"/>
  <c r="L17" i="3"/>
  <c r="K17" i="3"/>
  <c r="J17" i="3"/>
  <c r="I17" i="3"/>
  <c r="H17" i="3"/>
  <c r="G17" i="3"/>
  <c r="F17" i="3"/>
  <c r="E17" i="3"/>
  <c r="D17" i="3"/>
  <c r="C7" i="3"/>
  <c r="C16" i="3"/>
  <c r="C17" i="3"/>
  <c r="N7" i="3"/>
  <c r="N16" i="3"/>
  <c r="M7" i="3"/>
  <c r="M16" i="3"/>
  <c r="L7" i="3"/>
  <c r="L16" i="3"/>
  <c r="K7" i="3"/>
  <c r="K16" i="3"/>
  <c r="J7" i="3"/>
  <c r="J16" i="3"/>
  <c r="I7" i="3"/>
  <c r="I16" i="3"/>
  <c r="H7" i="3"/>
  <c r="H16" i="3"/>
  <c r="G7" i="3"/>
  <c r="G16" i="3"/>
  <c r="F7" i="3"/>
  <c r="F16" i="3"/>
  <c r="E7" i="3"/>
  <c r="E16" i="3"/>
  <c r="D7" i="3"/>
  <c r="D16" i="3"/>
  <c r="O15" i="3"/>
  <c r="P5" i="3"/>
  <c r="O17" i="3"/>
  <c r="O18" i="3"/>
  <c r="S12" i="3"/>
  <c r="S33" i="3"/>
  <c r="O33" i="3"/>
  <c r="N18" i="3"/>
  <c r="N33" i="3"/>
  <c r="M18" i="3"/>
  <c r="M33" i="3"/>
  <c r="L18" i="3"/>
  <c r="L33" i="3"/>
  <c r="K18" i="3"/>
  <c r="K33" i="3"/>
  <c r="J18" i="3"/>
  <c r="J33" i="3"/>
  <c r="I18" i="3"/>
  <c r="I33" i="3"/>
  <c r="H18" i="3"/>
  <c r="H33" i="3"/>
  <c r="G18" i="3"/>
  <c r="G33" i="3"/>
  <c r="F18" i="3"/>
  <c r="F33" i="3"/>
  <c r="E18" i="3"/>
  <c r="E33" i="3"/>
  <c r="D18" i="3"/>
  <c r="D33" i="3"/>
  <c r="C18" i="3"/>
  <c r="C33" i="3"/>
  <c r="O28" i="3"/>
  <c r="O26" i="3"/>
  <c r="O29" i="3"/>
  <c r="O32" i="3"/>
  <c r="N29" i="3"/>
  <c r="N32" i="3"/>
  <c r="M29" i="3"/>
  <c r="M32" i="3"/>
  <c r="L29" i="3"/>
  <c r="L32" i="3"/>
  <c r="K29" i="3"/>
  <c r="K32" i="3"/>
  <c r="J29" i="3"/>
  <c r="J32" i="3"/>
  <c r="I29" i="3"/>
  <c r="I32" i="3"/>
  <c r="H29" i="3"/>
  <c r="H32" i="3"/>
  <c r="G29" i="3"/>
  <c r="G32" i="3"/>
  <c r="F29" i="3"/>
  <c r="F32" i="3"/>
  <c r="E29" i="3"/>
  <c r="E32" i="3"/>
  <c r="D29" i="3"/>
  <c r="D32" i="3"/>
  <c r="C29" i="3"/>
  <c r="C32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S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N8" i="3"/>
  <c r="M8" i="3"/>
  <c r="L8" i="3"/>
  <c r="K8" i="3"/>
  <c r="J8" i="3"/>
  <c r="I8" i="3"/>
  <c r="H8" i="3"/>
  <c r="G8" i="3"/>
  <c r="F8" i="3"/>
  <c r="E8" i="3"/>
  <c r="O48" i="4"/>
  <c r="O49" i="4"/>
  <c r="O50" i="4"/>
  <c r="O51" i="4"/>
  <c r="O52" i="4"/>
  <c r="O53" i="4"/>
  <c r="O54" i="4"/>
  <c r="O55" i="4"/>
  <c r="C9" i="1"/>
  <c r="C12" i="1"/>
  <c r="D9" i="1"/>
  <c r="D12" i="1"/>
  <c r="E9" i="1"/>
  <c r="E12" i="1"/>
  <c r="F9" i="1"/>
  <c r="F12" i="1"/>
  <c r="G9" i="1"/>
  <c r="G12" i="1"/>
  <c r="H9" i="1"/>
  <c r="H12" i="1"/>
  <c r="I9" i="1"/>
  <c r="I12" i="1"/>
  <c r="J9" i="1"/>
  <c r="J12" i="1"/>
  <c r="K9" i="1"/>
  <c r="K12" i="1"/>
  <c r="L9" i="1"/>
  <c r="L12" i="1"/>
  <c r="M9" i="1"/>
  <c r="M12" i="1"/>
  <c r="N9" i="1"/>
  <c r="N12" i="1"/>
  <c r="O12" i="1"/>
  <c r="C11" i="4"/>
  <c r="C46" i="4"/>
  <c r="C56" i="4"/>
  <c r="C8" i="3"/>
  <c r="C11" i="3"/>
  <c r="D8" i="3"/>
  <c r="D11" i="3"/>
  <c r="E11" i="3"/>
  <c r="F11" i="3"/>
  <c r="G11" i="3"/>
  <c r="H11" i="3"/>
  <c r="I11" i="3"/>
  <c r="J11" i="3"/>
  <c r="K11" i="3"/>
  <c r="L11" i="3"/>
  <c r="M11" i="3"/>
  <c r="N11" i="3"/>
  <c r="O11" i="3"/>
  <c r="D11" i="4"/>
  <c r="D46" i="4"/>
  <c r="D56" i="4"/>
  <c r="S4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E11" i="4"/>
  <c r="E46" i="4"/>
  <c r="E56" i="4"/>
  <c r="S4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F11" i="4"/>
  <c r="F46" i="4"/>
  <c r="F56" i="4"/>
  <c r="S4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G11" i="4"/>
  <c r="G46" i="4"/>
  <c r="G56" i="4"/>
  <c r="S4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H11" i="4"/>
  <c r="H46" i="4"/>
  <c r="H56" i="4"/>
  <c r="S4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I11" i="4"/>
  <c r="I46" i="4"/>
  <c r="I56" i="4"/>
  <c r="S4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J11" i="4"/>
  <c r="J46" i="4"/>
  <c r="J56" i="4"/>
  <c r="S4" i="43"/>
  <c r="C11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K11" i="4"/>
  <c r="K46" i="4"/>
  <c r="K56" i="4"/>
  <c r="S4" i="44"/>
  <c r="C11" i="44"/>
  <c r="D11" i="44"/>
  <c r="E11" i="44"/>
  <c r="F11" i="44"/>
  <c r="G11" i="44"/>
  <c r="H11" i="44"/>
  <c r="I11" i="44"/>
  <c r="J11" i="44"/>
  <c r="K11" i="44"/>
  <c r="L11" i="44"/>
  <c r="M11" i="44"/>
  <c r="N11" i="44"/>
  <c r="O11" i="44"/>
  <c r="L11" i="4"/>
  <c r="L46" i="4"/>
  <c r="L56" i="4"/>
  <c r="S4" i="45"/>
  <c r="C11" i="45"/>
  <c r="D11" i="45"/>
  <c r="E11" i="45"/>
  <c r="F11" i="45"/>
  <c r="G11" i="45"/>
  <c r="H11" i="45"/>
  <c r="I11" i="45"/>
  <c r="J11" i="45"/>
  <c r="K11" i="45"/>
  <c r="L11" i="45"/>
  <c r="M11" i="45"/>
  <c r="N11" i="45"/>
  <c r="O11" i="45"/>
  <c r="M11" i="4"/>
  <c r="M46" i="4"/>
  <c r="M56" i="4"/>
  <c r="S4" i="46"/>
  <c r="C11" i="46"/>
  <c r="D11" i="46"/>
  <c r="E11" i="46"/>
  <c r="F11" i="46"/>
  <c r="G11" i="46"/>
  <c r="H11" i="46"/>
  <c r="I11" i="46"/>
  <c r="J11" i="46"/>
  <c r="K11" i="46"/>
  <c r="L11" i="46"/>
  <c r="M11" i="46"/>
  <c r="N11" i="46"/>
  <c r="O11" i="46"/>
  <c r="N11" i="4"/>
  <c r="N46" i="4"/>
  <c r="N56" i="4"/>
  <c r="O56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S4" i="47"/>
  <c r="C11" i="47"/>
  <c r="D11" i="47"/>
  <c r="E11" i="47"/>
  <c r="F11" i="47"/>
  <c r="G11" i="47"/>
  <c r="H11" i="47"/>
  <c r="I11" i="47"/>
  <c r="J11" i="47"/>
  <c r="K11" i="47"/>
  <c r="L11" i="47"/>
  <c r="M11" i="47"/>
  <c r="N11" i="47"/>
  <c r="O11" i="47"/>
  <c r="O11" i="4"/>
  <c r="O46" i="4"/>
  <c r="O45" i="39"/>
  <c r="O46" i="39"/>
  <c r="O47" i="39"/>
  <c r="O48" i="39"/>
  <c r="O49" i="39"/>
  <c r="O50" i="39"/>
  <c r="O51" i="39"/>
  <c r="O52" i="39"/>
  <c r="C43" i="39"/>
  <c r="C53" i="39"/>
  <c r="D43" i="39"/>
  <c r="D53" i="39"/>
  <c r="E43" i="39"/>
  <c r="E53" i="39"/>
  <c r="F43" i="39"/>
  <c r="F53" i="39"/>
  <c r="G43" i="39"/>
  <c r="G53" i="39"/>
  <c r="H43" i="39"/>
  <c r="H53" i="39"/>
  <c r="I43" i="39"/>
  <c r="I53" i="39"/>
  <c r="J43" i="39"/>
  <c r="J53" i="39"/>
  <c r="K43" i="39"/>
  <c r="K53" i="39"/>
  <c r="L43" i="39"/>
  <c r="L53" i="39"/>
  <c r="M43" i="39"/>
  <c r="M53" i="39"/>
  <c r="N43" i="39"/>
  <c r="N53" i="39"/>
  <c r="O53" i="39"/>
  <c r="O54" i="39"/>
  <c r="N54" i="39"/>
  <c r="M54" i="39"/>
  <c r="L54" i="39"/>
  <c r="K54" i="39"/>
  <c r="J54" i="39"/>
  <c r="I54" i="39"/>
  <c r="H54" i="39"/>
  <c r="G54" i="39"/>
  <c r="F54" i="39"/>
  <c r="E54" i="39"/>
  <c r="D54" i="39"/>
  <c r="C54" i="39"/>
  <c r="O43" i="39"/>
  <c r="O45" i="16"/>
  <c r="O46" i="16"/>
  <c r="O47" i="16"/>
  <c r="O48" i="16"/>
  <c r="O49" i="16"/>
  <c r="O50" i="16"/>
  <c r="O51" i="16"/>
  <c r="O52" i="16"/>
  <c r="C43" i="16"/>
  <c r="C53" i="16"/>
  <c r="D43" i="16"/>
  <c r="D53" i="16"/>
  <c r="E43" i="16"/>
  <c r="E53" i="16"/>
  <c r="F43" i="16"/>
  <c r="F53" i="16"/>
  <c r="G43" i="16"/>
  <c r="G53" i="16"/>
  <c r="H43" i="16"/>
  <c r="H53" i="16"/>
  <c r="I43" i="16"/>
  <c r="I53" i="16"/>
  <c r="J43" i="16"/>
  <c r="J53" i="16"/>
  <c r="K43" i="16"/>
  <c r="K53" i="16"/>
  <c r="L43" i="16"/>
  <c r="L53" i="16"/>
  <c r="M43" i="16"/>
  <c r="M53" i="16"/>
  <c r="N43" i="16"/>
  <c r="N53" i="16"/>
  <c r="O53" i="16"/>
  <c r="O54" i="16"/>
  <c r="N54" i="16"/>
  <c r="M54" i="16"/>
  <c r="L54" i="16"/>
  <c r="K54" i="16"/>
  <c r="J54" i="16"/>
  <c r="I54" i="16"/>
  <c r="H54" i="16"/>
  <c r="G54" i="16"/>
  <c r="F54" i="16"/>
  <c r="E54" i="16"/>
  <c r="D54" i="16"/>
  <c r="C54" i="16"/>
  <c r="O43" i="16"/>
  <c r="O45" i="5"/>
  <c r="O46" i="5"/>
  <c r="O47" i="5"/>
  <c r="O48" i="5"/>
  <c r="O49" i="5"/>
  <c r="O50" i="5"/>
  <c r="O51" i="5"/>
  <c r="O52" i="5"/>
  <c r="C43" i="5"/>
  <c r="C53" i="5"/>
  <c r="D43" i="5"/>
  <c r="D53" i="5"/>
  <c r="E43" i="5"/>
  <c r="E53" i="5"/>
  <c r="F43" i="5"/>
  <c r="F53" i="5"/>
  <c r="G43" i="5"/>
  <c r="G53" i="5"/>
  <c r="H43" i="5"/>
  <c r="H53" i="5"/>
  <c r="I43" i="5"/>
  <c r="I53" i="5"/>
  <c r="J43" i="5"/>
  <c r="J53" i="5"/>
  <c r="K43" i="5"/>
  <c r="K53" i="5"/>
  <c r="L43" i="5"/>
  <c r="L53" i="5"/>
  <c r="M43" i="5"/>
  <c r="M53" i="5"/>
  <c r="N43" i="5"/>
  <c r="N53" i="5"/>
  <c r="O53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O43" i="5"/>
  <c r="O56" i="3"/>
  <c r="O57" i="3"/>
  <c r="O58" i="3"/>
  <c r="O59" i="3"/>
  <c r="O60" i="3"/>
  <c r="O61" i="3"/>
  <c r="O62" i="3"/>
  <c r="O63" i="3"/>
  <c r="C9" i="3"/>
  <c r="C54" i="3"/>
  <c r="C64" i="3"/>
  <c r="D9" i="3"/>
  <c r="D54" i="3"/>
  <c r="D64" i="3"/>
  <c r="E9" i="3"/>
  <c r="E54" i="3"/>
  <c r="E64" i="3"/>
  <c r="F9" i="3"/>
  <c r="F54" i="3"/>
  <c r="F64" i="3"/>
  <c r="G9" i="3"/>
  <c r="G54" i="3"/>
  <c r="G64" i="3"/>
  <c r="H9" i="3"/>
  <c r="H54" i="3"/>
  <c r="H64" i="3"/>
  <c r="I9" i="3"/>
  <c r="I54" i="3"/>
  <c r="I64" i="3"/>
  <c r="J9" i="3"/>
  <c r="J54" i="3"/>
  <c r="J64" i="3"/>
  <c r="K9" i="3"/>
  <c r="K54" i="3"/>
  <c r="K64" i="3"/>
  <c r="L9" i="3"/>
  <c r="L54" i="3"/>
  <c r="L64" i="3"/>
  <c r="M9" i="3"/>
  <c r="M54" i="3"/>
  <c r="M64" i="3"/>
  <c r="N9" i="3"/>
  <c r="N54" i="3"/>
  <c r="N64" i="3"/>
  <c r="O64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O7" i="3"/>
  <c r="O8" i="3"/>
  <c r="O9" i="3"/>
  <c r="O54" i="3"/>
  <c r="U66" i="1"/>
  <c r="U76" i="1"/>
  <c r="AE68" i="1"/>
  <c r="AE69" i="1"/>
  <c r="AE70" i="1"/>
  <c r="AE71" i="1"/>
  <c r="AE72" i="1"/>
  <c r="AE73" i="1"/>
  <c r="AE74" i="1"/>
  <c r="AE75" i="1"/>
  <c r="S66" i="1"/>
  <c r="S76" i="1"/>
  <c r="T66" i="1"/>
  <c r="T76" i="1"/>
  <c r="V66" i="1"/>
  <c r="V76" i="1"/>
  <c r="W66" i="1"/>
  <c r="W76" i="1"/>
  <c r="X66" i="1"/>
  <c r="X76" i="1"/>
  <c r="Y66" i="1"/>
  <c r="Y76" i="1"/>
  <c r="Z66" i="1"/>
  <c r="Z76" i="1"/>
  <c r="AA66" i="1"/>
  <c r="AA76" i="1"/>
  <c r="AB66" i="1"/>
  <c r="AB76" i="1"/>
  <c r="AC66" i="1"/>
  <c r="AC76" i="1"/>
  <c r="AD66" i="1"/>
  <c r="AD76" i="1"/>
  <c r="AE76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O8" i="1"/>
  <c r="O9" i="1"/>
  <c r="AE66" i="1"/>
  <c r="S17" i="1"/>
  <c r="S8" i="5"/>
  <c r="O6" i="5"/>
  <c r="O16" i="5"/>
  <c r="U8" i="5"/>
  <c r="S8" i="16"/>
  <c r="O6" i="16"/>
  <c r="O16" i="16"/>
  <c r="U8" i="16"/>
  <c r="S8" i="39"/>
  <c r="O6" i="39"/>
  <c r="O16" i="39"/>
  <c r="U8" i="39"/>
  <c r="S8" i="40"/>
  <c r="O6" i="40"/>
  <c r="O16" i="40"/>
  <c r="U8" i="40"/>
  <c r="S8" i="41"/>
  <c r="O6" i="41"/>
  <c r="O16" i="41"/>
  <c r="U8" i="41"/>
  <c r="S8" i="42"/>
  <c r="O6" i="42"/>
  <c r="O16" i="42"/>
  <c r="U8" i="42"/>
  <c r="S8" i="43"/>
  <c r="O6" i="43"/>
  <c r="O16" i="43"/>
  <c r="U8" i="43"/>
  <c r="S8" i="44"/>
  <c r="O6" i="44"/>
  <c r="O16" i="44"/>
  <c r="U8" i="44"/>
  <c r="S8" i="45"/>
  <c r="O6" i="45"/>
  <c r="O16" i="45"/>
  <c r="U8" i="45"/>
  <c r="S8" i="46"/>
  <c r="O6" i="46"/>
  <c r="O16" i="46"/>
  <c r="U8" i="46"/>
  <c r="S8" i="47"/>
  <c r="O6" i="47"/>
  <c r="O16" i="47"/>
  <c r="U8" i="47"/>
  <c r="S8" i="48"/>
  <c r="O6" i="48"/>
  <c r="O16" i="48"/>
  <c r="S4" i="48"/>
  <c r="U8" i="48"/>
  <c r="S8" i="49"/>
  <c r="O6" i="49"/>
  <c r="O16" i="49"/>
  <c r="S4" i="49"/>
  <c r="U8" i="49"/>
  <c r="S8" i="50"/>
  <c r="O6" i="50"/>
  <c r="O16" i="50"/>
  <c r="S4" i="50"/>
  <c r="U8" i="50"/>
  <c r="Y8" i="4"/>
  <c r="Y9" i="4"/>
  <c r="O16" i="1"/>
  <c r="O21" i="1"/>
  <c r="C18" i="4"/>
  <c r="C19" i="4"/>
  <c r="D15" i="4"/>
  <c r="D16" i="4"/>
  <c r="D17" i="4"/>
  <c r="D18" i="4"/>
  <c r="D19" i="4"/>
  <c r="O15" i="5"/>
  <c r="E15" i="4"/>
  <c r="E16" i="4"/>
  <c r="O17" i="5"/>
  <c r="E17" i="4"/>
  <c r="E18" i="4"/>
  <c r="E19" i="4"/>
  <c r="O15" i="16"/>
  <c r="F15" i="4"/>
  <c r="F16" i="4"/>
  <c r="O17" i="16"/>
  <c r="F17" i="4"/>
  <c r="F18" i="4"/>
  <c r="F19" i="4"/>
  <c r="O15" i="39"/>
  <c r="G15" i="4"/>
  <c r="G16" i="4"/>
  <c r="O17" i="39"/>
  <c r="G17" i="4"/>
  <c r="G18" i="4"/>
  <c r="G19" i="4"/>
  <c r="O15" i="40"/>
  <c r="H15" i="4"/>
  <c r="H16" i="4"/>
  <c r="O17" i="40"/>
  <c r="H17" i="4"/>
  <c r="H18" i="4"/>
  <c r="H19" i="4"/>
  <c r="O15" i="41"/>
  <c r="I15" i="4"/>
  <c r="I16" i="4"/>
  <c r="O17" i="41"/>
  <c r="I17" i="4"/>
  <c r="I18" i="4"/>
  <c r="I19" i="4"/>
  <c r="O15" i="42"/>
  <c r="J15" i="4"/>
  <c r="J16" i="4"/>
  <c r="O17" i="42"/>
  <c r="J17" i="4"/>
  <c r="J18" i="4"/>
  <c r="J19" i="4"/>
  <c r="O15" i="43"/>
  <c r="K15" i="4"/>
  <c r="K16" i="4"/>
  <c r="O17" i="43"/>
  <c r="K17" i="4"/>
  <c r="K18" i="4"/>
  <c r="K19" i="4"/>
  <c r="O15" i="44"/>
  <c r="L15" i="4"/>
  <c r="L16" i="4"/>
  <c r="O17" i="44"/>
  <c r="L17" i="4"/>
  <c r="L18" i="4"/>
  <c r="L19" i="4"/>
  <c r="O15" i="45"/>
  <c r="M15" i="4"/>
  <c r="M16" i="4"/>
  <c r="O17" i="45"/>
  <c r="M17" i="4"/>
  <c r="M18" i="4"/>
  <c r="M19" i="4"/>
  <c r="O15" i="46"/>
  <c r="N15" i="4"/>
  <c r="N16" i="4"/>
  <c r="O17" i="46"/>
  <c r="N17" i="4"/>
  <c r="N18" i="4"/>
  <c r="N19" i="4"/>
  <c r="O15" i="47"/>
  <c r="O15" i="4"/>
  <c r="O16" i="4"/>
  <c r="O17" i="47"/>
  <c r="O17" i="4"/>
  <c r="O18" i="4"/>
  <c r="O19" i="4"/>
  <c r="O15" i="48"/>
  <c r="P15" i="4"/>
  <c r="P16" i="4"/>
  <c r="O17" i="48"/>
  <c r="P17" i="4"/>
  <c r="P18" i="4"/>
  <c r="P19" i="4"/>
  <c r="O15" i="49"/>
  <c r="Q15" i="4"/>
  <c r="Q16" i="4"/>
  <c r="O17" i="49"/>
  <c r="Q17" i="4"/>
  <c r="Q18" i="4"/>
  <c r="Q19" i="4"/>
  <c r="O15" i="50"/>
  <c r="R15" i="4"/>
  <c r="R16" i="4"/>
  <c r="O17" i="50"/>
  <c r="R17" i="4"/>
  <c r="R18" i="4"/>
  <c r="R19" i="4"/>
  <c r="Z8" i="4"/>
  <c r="O5" i="5"/>
  <c r="S22" i="5"/>
  <c r="O5" i="16"/>
  <c r="S22" i="16"/>
  <c r="O5" i="39"/>
  <c r="S22" i="39"/>
  <c r="O5" i="40"/>
  <c r="S22" i="40"/>
  <c r="O5" i="41"/>
  <c r="S22" i="41"/>
  <c r="O5" i="42"/>
  <c r="S22" i="42"/>
  <c r="O5" i="43"/>
  <c r="S22" i="43"/>
  <c r="O5" i="44"/>
  <c r="S22" i="44"/>
  <c r="O5" i="45"/>
  <c r="S22" i="45"/>
  <c r="O5" i="46"/>
  <c r="S22" i="46"/>
  <c r="O5" i="47"/>
  <c r="S22" i="47"/>
  <c r="O5" i="48"/>
  <c r="S22" i="48"/>
  <c r="O5" i="49"/>
  <c r="S22" i="49"/>
  <c r="O5" i="50"/>
  <c r="S22" i="50"/>
  <c r="W22" i="4"/>
  <c r="S23" i="5"/>
  <c r="S23" i="16"/>
  <c r="S23" i="39"/>
  <c r="S23" i="40"/>
  <c r="S23" i="41"/>
  <c r="S23" i="42"/>
  <c r="S23" i="43"/>
  <c r="S23" i="44"/>
  <c r="S23" i="45"/>
  <c r="S23" i="46"/>
  <c r="S23" i="47"/>
  <c r="S23" i="48"/>
  <c r="S23" i="49"/>
  <c r="S23" i="50"/>
  <c r="W23" i="4"/>
  <c r="S24" i="5"/>
  <c r="S24" i="16"/>
  <c r="S24" i="39"/>
  <c r="S24" i="40"/>
  <c r="S24" i="41"/>
  <c r="S24" i="42"/>
  <c r="S24" i="43"/>
  <c r="S24" i="44"/>
  <c r="S24" i="45"/>
  <c r="S24" i="46"/>
  <c r="S24" i="47"/>
  <c r="S24" i="48"/>
  <c r="S24" i="49"/>
  <c r="S24" i="50"/>
  <c r="W24" i="4"/>
  <c r="X22" i="4"/>
  <c r="Z7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W2" i="4"/>
  <c r="S3" i="5"/>
  <c r="S3" i="16"/>
  <c r="S3" i="39"/>
  <c r="S3" i="40"/>
  <c r="S3" i="41"/>
  <c r="S3" i="42"/>
  <c r="S3" i="43"/>
  <c r="S3" i="44"/>
  <c r="S3" i="45"/>
  <c r="S3" i="46"/>
  <c r="S3" i="47"/>
  <c r="O52" i="50"/>
  <c r="O51" i="50"/>
  <c r="O50" i="50"/>
  <c r="O49" i="50"/>
  <c r="O48" i="50"/>
  <c r="O47" i="50"/>
  <c r="O46" i="50"/>
  <c r="O45" i="50"/>
  <c r="J8" i="50"/>
  <c r="J22" i="50"/>
  <c r="N18" i="50"/>
  <c r="N21" i="50"/>
  <c r="M18" i="50"/>
  <c r="M21" i="50"/>
  <c r="L18" i="50"/>
  <c r="K18" i="50"/>
  <c r="J18" i="50"/>
  <c r="J21" i="50"/>
  <c r="I18" i="50"/>
  <c r="I21" i="50"/>
  <c r="H18" i="50"/>
  <c r="H21" i="50"/>
  <c r="G18" i="50"/>
  <c r="G21" i="50"/>
  <c r="F18" i="50"/>
  <c r="F21" i="50"/>
  <c r="E18" i="50"/>
  <c r="E21" i="50"/>
  <c r="D18" i="50"/>
  <c r="D21" i="50"/>
  <c r="C18" i="50"/>
  <c r="C21" i="50"/>
  <c r="M8" i="50"/>
  <c r="M11" i="50"/>
  <c r="G8" i="50"/>
  <c r="G11" i="50"/>
  <c r="M9" i="50"/>
  <c r="N8" i="50"/>
  <c r="N22" i="50"/>
  <c r="M22" i="50"/>
  <c r="L8" i="50"/>
  <c r="L43" i="50"/>
  <c r="L53" i="50"/>
  <c r="L54" i="50"/>
  <c r="K8" i="50"/>
  <c r="K9" i="50"/>
  <c r="J10" i="50"/>
  <c r="I8" i="50"/>
  <c r="I20" i="50"/>
  <c r="H8" i="50"/>
  <c r="H22" i="50"/>
  <c r="G22" i="50"/>
  <c r="F8" i="50"/>
  <c r="F20" i="50"/>
  <c r="E8" i="50"/>
  <c r="E20" i="50"/>
  <c r="D8" i="50"/>
  <c r="D22" i="50"/>
  <c r="C8" i="50"/>
  <c r="C22" i="50"/>
  <c r="O7" i="50"/>
  <c r="S27" i="50"/>
  <c r="R6" i="4"/>
  <c r="O52" i="49"/>
  <c r="O51" i="49"/>
  <c r="O50" i="49"/>
  <c r="O49" i="49"/>
  <c r="O48" i="49"/>
  <c r="O47" i="49"/>
  <c r="O46" i="49"/>
  <c r="O45" i="49"/>
  <c r="H18" i="49"/>
  <c r="H21" i="49"/>
  <c r="N18" i="49"/>
  <c r="N21" i="49"/>
  <c r="M18" i="49"/>
  <c r="M21" i="49"/>
  <c r="L18" i="49"/>
  <c r="K18" i="49"/>
  <c r="J18" i="49"/>
  <c r="I18" i="49"/>
  <c r="G18" i="49"/>
  <c r="G21" i="49"/>
  <c r="F18" i="49"/>
  <c r="E18" i="49"/>
  <c r="E21" i="49"/>
  <c r="D18" i="49"/>
  <c r="D21" i="49"/>
  <c r="C18" i="49"/>
  <c r="C21" i="49"/>
  <c r="S16" i="49"/>
  <c r="N8" i="49"/>
  <c r="N11" i="49"/>
  <c r="M8" i="49"/>
  <c r="M43" i="49"/>
  <c r="M53" i="49"/>
  <c r="M54" i="49"/>
  <c r="L8" i="49"/>
  <c r="L20" i="49"/>
  <c r="K8" i="49"/>
  <c r="K43" i="49"/>
  <c r="K53" i="49"/>
  <c r="K54" i="49"/>
  <c r="J8" i="49"/>
  <c r="J22" i="49"/>
  <c r="I8" i="49"/>
  <c r="I43" i="49"/>
  <c r="I53" i="49"/>
  <c r="I54" i="49"/>
  <c r="H8" i="49"/>
  <c r="H22" i="49"/>
  <c r="G8" i="49"/>
  <c r="G43" i="49"/>
  <c r="G53" i="49"/>
  <c r="G54" i="49"/>
  <c r="F8" i="49"/>
  <c r="F11" i="49"/>
  <c r="E8" i="49"/>
  <c r="E20" i="49"/>
  <c r="D8" i="49"/>
  <c r="D22" i="49"/>
  <c r="C8" i="49"/>
  <c r="C22" i="49"/>
  <c r="O7" i="49"/>
  <c r="Q7" i="4"/>
  <c r="O52" i="48"/>
  <c r="O51" i="48"/>
  <c r="O50" i="48"/>
  <c r="O49" i="48"/>
  <c r="O48" i="48"/>
  <c r="O47" i="48"/>
  <c r="O46" i="48"/>
  <c r="O45" i="48"/>
  <c r="N18" i="48"/>
  <c r="N21" i="48"/>
  <c r="M18" i="48"/>
  <c r="M21" i="48"/>
  <c r="L18" i="48"/>
  <c r="L21" i="48"/>
  <c r="K18" i="48"/>
  <c r="J18" i="48"/>
  <c r="I18" i="48"/>
  <c r="I21" i="48"/>
  <c r="H18" i="48"/>
  <c r="H21" i="48"/>
  <c r="G18" i="48"/>
  <c r="G21" i="48"/>
  <c r="F18" i="48"/>
  <c r="F21" i="48"/>
  <c r="E18" i="48"/>
  <c r="E21" i="48"/>
  <c r="D18" i="48"/>
  <c r="D21" i="48"/>
  <c r="C18" i="48"/>
  <c r="C21" i="48"/>
  <c r="S16" i="48"/>
  <c r="N8" i="48"/>
  <c r="N22" i="48"/>
  <c r="M8" i="48"/>
  <c r="M43" i="48"/>
  <c r="M53" i="48"/>
  <c r="M54" i="48"/>
  <c r="L8" i="48"/>
  <c r="L43" i="48"/>
  <c r="L53" i="48"/>
  <c r="L54" i="48"/>
  <c r="K8" i="48"/>
  <c r="K43" i="48"/>
  <c r="K53" i="48"/>
  <c r="K54" i="48"/>
  <c r="J8" i="48"/>
  <c r="J9" i="48"/>
  <c r="I8" i="48"/>
  <c r="I20" i="48"/>
  <c r="H8" i="48"/>
  <c r="H20" i="48"/>
  <c r="G8" i="48"/>
  <c r="G22" i="48"/>
  <c r="F8" i="48"/>
  <c r="F22" i="48"/>
  <c r="E8" i="48"/>
  <c r="E22" i="48"/>
  <c r="D8" i="48"/>
  <c r="D22" i="48"/>
  <c r="C8" i="48"/>
  <c r="C22" i="48"/>
  <c r="O7" i="48"/>
  <c r="S27" i="48"/>
  <c r="O52" i="47"/>
  <c r="O51" i="47"/>
  <c r="O50" i="47"/>
  <c r="O49" i="47"/>
  <c r="O48" i="47"/>
  <c r="O47" i="47"/>
  <c r="O46" i="47"/>
  <c r="O45" i="47"/>
  <c r="E8" i="47"/>
  <c r="E22" i="47"/>
  <c r="G18" i="47"/>
  <c r="G21" i="47"/>
  <c r="N18" i="47"/>
  <c r="N21" i="47"/>
  <c r="M18" i="47"/>
  <c r="M21" i="47"/>
  <c r="L18" i="47"/>
  <c r="K18" i="47"/>
  <c r="J18" i="47"/>
  <c r="I18" i="47"/>
  <c r="I21" i="47"/>
  <c r="H18" i="47"/>
  <c r="H21" i="47"/>
  <c r="F18" i="47"/>
  <c r="F21" i="47"/>
  <c r="E18" i="47"/>
  <c r="E21" i="47"/>
  <c r="D18" i="47"/>
  <c r="D21" i="47"/>
  <c r="C18" i="47"/>
  <c r="C21" i="47"/>
  <c r="S16" i="47"/>
  <c r="E9" i="47"/>
  <c r="N8" i="47"/>
  <c r="N22" i="47"/>
  <c r="M8" i="47"/>
  <c r="M43" i="47"/>
  <c r="M53" i="47"/>
  <c r="M54" i="47"/>
  <c r="L8" i="47"/>
  <c r="L43" i="47"/>
  <c r="L53" i="47"/>
  <c r="L54" i="47"/>
  <c r="K8" i="47"/>
  <c r="K20" i="47"/>
  <c r="J8" i="47"/>
  <c r="J22" i="47"/>
  <c r="I8" i="47"/>
  <c r="I20" i="47"/>
  <c r="H8" i="47"/>
  <c r="H22" i="47"/>
  <c r="G8" i="47"/>
  <c r="G43" i="47"/>
  <c r="G53" i="47"/>
  <c r="G54" i="47"/>
  <c r="F8" i="47"/>
  <c r="F22" i="47"/>
  <c r="E10" i="47"/>
  <c r="D8" i="47"/>
  <c r="D22" i="47"/>
  <c r="C8" i="47"/>
  <c r="C22" i="47"/>
  <c r="O7" i="47"/>
  <c r="S27" i="47"/>
  <c r="O52" i="46"/>
  <c r="O51" i="46"/>
  <c r="O50" i="46"/>
  <c r="O49" i="46"/>
  <c r="O48" i="46"/>
  <c r="O47" i="46"/>
  <c r="O46" i="46"/>
  <c r="O45" i="46"/>
  <c r="N18" i="46"/>
  <c r="N21" i="46"/>
  <c r="M18" i="46"/>
  <c r="M21" i="46"/>
  <c r="L18" i="46"/>
  <c r="L21" i="46"/>
  <c r="K18" i="46"/>
  <c r="J18" i="46"/>
  <c r="J21" i="46"/>
  <c r="I18" i="46"/>
  <c r="I21" i="46"/>
  <c r="H18" i="46"/>
  <c r="H21" i="46"/>
  <c r="G18" i="46"/>
  <c r="G21" i="46"/>
  <c r="F18" i="46"/>
  <c r="E18" i="46"/>
  <c r="E21" i="46"/>
  <c r="D18" i="46"/>
  <c r="D21" i="46"/>
  <c r="C18" i="46"/>
  <c r="C21" i="46"/>
  <c r="S16" i="46"/>
  <c r="N8" i="46"/>
  <c r="N22" i="46"/>
  <c r="M8" i="46"/>
  <c r="M43" i="46"/>
  <c r="M53" i="46"/>
  <c r="M54" i="46"/>
  <c r="L8" i="46"/>
  <c r="L20" i="46"/>
  <c r="K8" i="46"/>
  <c r="K43" i="46"/>
  <c r="K53" i="46"/>
  <c r="K54" i="46"/>
  <c r="J8" i="46"/>
  <c r="J20" i="46"/>
  <c r="I8" i="46"/>
  <c r="I20" i="46"/>
  <c r="H8" i="46"/>
  <c r="H43" i="46"/>
  <c r="H53" i="46"/>
  <c r="H54" i="46"/>
  <c r="G8" i="46"/>
  <c r="G20" i="46"/>
  <c r="F8" i="46"/>
  <c r="F22" i="46"/>
  <c r="E8" i="46"/>
  <c r="E20" i="46"/>
  <c r="D8" i="46"/>
  <c r="D22" i="46"/>
  <c r="C8" i="46"/>
  <c r="C22" i="46"/>
  <c r="O7" i="46"/>
  <c r="N7" i="4"/>
  <c r="O52" i="45"/>
  <c r="O51" i="45"/>
  <c r="O50" i="45"/>
  <c r="O49" i="45"/>
  <c r="O48" i="45"/>
  <c r="O47" i="45"/>
  <c r="O46" i="45"/>
  <c r="O45" i="45"/>
  <c r="K8" i="45"/>
  <c r="K43" i="45"/>
  <c r="K53" i="45"/>
  <c r="K54" i="45"/>
  <c r="N18" i="45"/>
  <c r="N21" i="45"/>
  <c r="M18" i="45"/>
  <c r="M21" i="45"/>
  <c r="L18" i="45"/>
  <c r="L21" i="45"/>
  <c r="K18" i="45"/>
  <c r="K19" i="45"/>
  <c r="J18" i="45"/>
  <c r="J19" i="45"/>
  <c r="I18" i="45"/>
  <c r="I19" i="45"/>
  <c r="H18" i="45"/>
  <c r="H21" i="45"/>
  <c r="G18" i="45"/>
  <c r="G21" i="45"/>
  <c r="F18" i="45"/>
  <c r="F21" i="45"/>
  <c r="E18" i="45"/>
  <c r="E19" i="45"/>
  <c r="D18" i="45"/>
  <c r="D21" i="45"/>
  <c r="C18" i="45"/>
  <c r="C21" i="45"/>
  <c r="S16" i="45"/>
  <c r="N8" i="45"/>
  <c r="N22" i="45"/>
  <c r="M8" i="45"/>
  <c r="M43" i="45"/>
  <c r="M53" i="45"/>
  <c r="M54" i="45"/>
  <c r="L8" i="45"/>
  <c r="L43" i="45"/>
  <c r="L53" i="45"/>
  <c r="L54" i="45"/>
  <c r="K22" i="45"/>
  <c r="J8" i="45"/>
  <c r="J10" i="45"/>
  <c r="I8" i="45"/>
  <c r="I20" i="45"/>
  <c r="H8" i="45"/>
  <c r="G8" i="45"/>
  <c r="G22" i="45"/>
  <c r="F8" i="45"/>
  <c r="F22" i="45"/>
  <c r="E8" i="45"/>
  <c r="E43" i="45"/>
  <c r="E53" i="45"/>
  <c r="E54" i="45"/>
  <c r="D8" i="45"/>
  <c r="D20" i="45"/>
  <c r="C8" i="45"/>
  <c r="C22" i="45"/>
  <c r="O7" i="45"/>
  <c r="S27" i="45"/>
  <c r="O52" i="44"/>
  <c r="O51" i="44"/>
  <c r="O50" i="44"/>
  <c r="O49" i="44"/>
  <c r="O48" i="44"/>
  <c r="O47" i="44"/>
  <c r="O46" i="44"/>
  <c r="O45" i="44"/>
  <c r="N18" i="44"/>
  <c r="N21" i="44"/>
  <c r="M18" i="44"/>
  <c r="M21" i="44"/>
  <c r="L18" i="44"/>
  <c r="L21" i="44"/>
  <c r="K18" i="44"/>
  <c r="K21" i="44"/>
  <c r="J18" i="44"/>
  <c r="J21" i="44"/>
  <c r="I18" i="44"/>
  <c r="I21" i="44"/>
  <c r="H18" i="44"/>
  <c r="H19" i="44"/>
  <c r="G18" i="44"/>
  <c r="G21" i="44"/>
  <c r="F18" i="44"/>
  <c r="F19" i="44"/>
  <c r="E18" i="44"/>
  <c r="E21" i="44"/>
  <c r="D18" i="44"/>
  <c r="D21" i="44"/>
  <c r="C18" i="44"/>
  <c r="C21" i="44"/>
  <c r="S16" i="44"/>
  <c r="M8" i="44"/>
  <c r="N8" i="44"/>
  <c r="N22" i="44"/>
  <c r="M22" i="44"/>
  <c r="L8" i="44"/>
  <c r="L22" i="44"/>
  <c r="K8" i="44"/>
  <c r="K20" i="44"/>
  <c r="J8" i="44"/>
  <c r="J22" i="44"/>
  <c r="I8" i="44"/>
  <c r="I43" i="44"/>
  <c r="I53" i="44"/>
  <c r="I54" i="44"/>
  <c r="H8" i="44"/>
  <c r="H22" i="44"/>
  <c r="G8" i="44"/>
  <c r="F8" i="44"/>
  <c r="F43" i="44"/>
  <c r="F53" i="44"/>
  <c r="F54" i="44"/>
  <c r="E8" i="44"/>
  <c r="D8" i="44"/>
  <c r="D22" i="44"/>
  <c r="C8" i="44"/>
  <c r="C22" i="44"/>
  <c r="O7" i="44"/>
  <c r="S27" i="44"/>
  <c r="L6" i="4"/>
  <c r="O52" i="43"/>
  <c r="O51" i="43"/>
  <c r="O50" i="43"/>
  <c r="O49" i="43"/>
  <c r="O48" i="43"/>
  <c r="O47" i="43"/>
  <c r="O46" i="43"/>
  <c r="O45" i="43"/>
  <c r="E8" i="43"/>
  <c r="E43" i="43"/>
  <c r="E53" i="43"/>
  <c r="E54" i="43"/>
  <c r="N18" i="43"/>
  <c r="N21" i="43"/>
  <c r="M18" i="43"/>
  <c r="M19" i="43"/>
  <c r="L18" i="43"/>
  <c r="L19" i="43"/>
  <c r="K18" i="43"/>
  <c r="K19" i="43"/>
  <c r="J18" i="43"/>
  <c r="J19" i="43"/>
  <c r="I18" i="43"/>
  <c r="I21" i="43"/>
  <c r="H18" i="43"/>
  <c r="H21" i="43"/>
  <c r="G18" i="43"/>
  <c r="G21" i="43"/>
  <c r="F18" i="43"/>
  <c r="F21" i="43"/>
  <c r="E18" i="43"/>
  <c r="E21" i="43"/>
  <c r="D18" i="43"/>
  <c r="D21" i="43"/>
  <c r="C18" i="43"/>
  <c r="C21" i="43"/>
  <c r="N8" i="43"/>
  <c r="N20" i="43"/>
  <c r="M8" i="43"/>
  <c r="M43" i="43"/>
  <c r="M53" i="43"/>
  <c r="M54" i="43"/>
  <c r="L8" i="43"/>
  <c r="L43" i="43"/>
  <c r="L53" i="43"/>
  <c r="L54" i="43"/>
  <c r="K8" i="43"/>
  <c r="K10" i="43"/>
  <c r="J8" i="43"/>
  <c r="J20" i="43"/>
  <c r="I8" i="43"/>
  <c r="I20" i="43"/>
  <c r="H8" i="43"/>
  <c r="H22" i="43"/>
  <c r="G8" i="43"/>
  <c r="G9" i="43"/>
  <c r="F8" i="43"/>
  <c r="F22" i="43"/>
  <c r="E22" i="43"/>
  <c r="D8" i="43"/>
  <c r="D22" i="43"/>
  <c r="C8" i="43"/>
  <c r="C20" i="43"/>
  <c r="O7" i="43"/>
  <c r="S27" i="43"/>
  <c r="S17" i="43"/>
  <c r="O8" i="43"/>
  <c r="O52" i="42"/>
  <c r="O51" i="42"/>
  <c r="O50" i="42"/>
  <c r="O49" i="42"/>
  <c r="O48" i="42"/>
  <c r="O47" i="42"/>
  <c r="O46" i="42"/>
  <c r="O45" i="42"/>
  <c r="H8" i="42"/>
  <c r="H22" i="42"/>
  <c r="K8" i="42"/>
  <c r="K20" i="42"/>
  <c r="K18" i="42"/>
  <c r="K19" i="42"/>
  <c r="N18" i="42"/>
  <c r="N21" i="42"/>
  <c r="M18" i="42"/>
  <c r="M21" i="42"/>
  <c r="L18" i="42"/>
  <c r="L21" i="42"/>
  <c r="K21" i="42"/>
  <c r="J18" i="42"/>
  <c r="J19" i="42"/>
  <c r="I18" i="42"/>
  <c r="I19" i="42"/>
  <c r="H18" i="42"/>
  <c r="H19" i="42"/>
  <c r="G18" i="42"/>
  <c r="G21" i="42"/>
  <c r="F18" i="42"/>
  <c r="F21" i="42"/>
  <c r="E18" i="42"/>
  <c r="E19" i="42"/>
  <c r="D18" i="42"/>
  <c r="D21" i="42"/>
  <c r="C18" i="42"/>
  <c r="C21" i="42"/>
  <c r="S16" i="42"/>
  <c r="N8" i="42"/>
  <c r="N20" i="42"/>
  <c r="M8" i="42"/>
  <c r="M20" i="42"/>
  <c r="L8" i="42"/>
  <c r="L22" i="42"/>
  <c r="K43" i="42"/>
  <c r="K53" i="42"/>
  <c r="K54" i="42"/>
  <c r="J8" i="42"/>
  <c r="J43" i="42"/>
  <c r="J53" i="42"/>
  <c r="J54" i="42"/>
  <c r="I8" i="42"/>
  <c r="I10" i="42"/>
  <c r="H20" i="42"/>
  <c r="G8" i="42"/>
  <c r="G10" i="42"/>
  <c r="F8" i="42"/>
  <c r="F22" i="42"/>
  <c r="E8" i="42"/>
  <c r="E22" i="42"/>
  <c r="D8" i="42"/>
  <c r="D20" i="42"/>
  <c r="C8" i="42"/>
  <c r="C22" i="42"/>
  <c r="O7" i="42"/>
  <c r="S27" i="42"/>
  <c r="O8" i="42"/>
  <c r="O52" i="41"/>
  <c r="O51" i="41"/>
  <c r="O50" i="41"/>
  <c r="O49" i="41"/>
  <c r="O48" i="41"/>
  <c r="O47" i="41"/>
  <c r="O46" i="41"/>
  <c r="O45" i="41"/>
  <c r="J8" i="41"/>
  <c r="J20" i="41"/>
  <c r="N18" i="41"/>
  <c r="N19" i="41"/>
  <c r="M18" i="41"/>
  <c r="M19" i="41"/>
  <c r="L18" i="41"/>
  <c r="L19" i="41"/>
  <c r="K18" i="41"/>
  <c r="K19" i="41"/>
  <c r="J18" i="41"/>
  <c r="J19" i="41"/>
  <c r="I18" i="41"/>
  <c r="I19" i="41"/>
  <c r="H18" i="41"/>
  <c r="H21" i="41"/>
  <c r="G18" i="41"/>
  <c r="G21" i="41"/>
  <c r="F18" i="41"/>
  <c r="F21" i="41"/>
  <c r="E18" i="41"/>
  <c r="E21" i="41"/>
  <c r="D18" i="41"/>
  <c r="D21" i="41"/>
  <c r="C18" i="41"/>
  <c r="C21" i="41"/>
  <c r="S16" i="41"/>
  <c r="M8" i="41"/>
  <c r="M9" i="41"/>
  <c r="N8" i="41"/>
  <c r="N10" i="41"/>
  <c r="M43" i="41"/>
  <c r="M53" i="41"/>
  <c r="M54" i="41"/>
  <c r="L8" i="41"/>
  <c r="L43" i="41"/>
  <c r="L53" i="41"/>
  <c r="L54" i="41"/>
  <c r="K8" i="41"/>
  <c r="K43" i="41"/>
  <c r="K53" i="41"/>
  <c r="K54" i="41"/>
  <c r="J22" i="41"/>
  <c r="I8" i="41"/>
  <c r="I20" i="41"/>
  <c r="H8" i="41"/>
  <c r="H20" i="41"/>
  <c r="G8" i="41"/>
  <c r="G22" i="41"/>
  <c r="F8" i="41"/>
  <c r="F22" i="41"/>
  <c r="E8" i="41"/>
  <c r="E22" i="41"/>
  <c r="D8" i="41"/>
  <c r="D22" i="41"/>
  <c r="C8" i="41"/>
  <c r="C22" i="41"/>
  <c r="O7" i="41"/>
  <c r="S27" i="41"/>
  <c r="O52" i="40"/>
  <c r="O51" i="40"/>
  <c r="O50" i="40"/>
  <c r="O49" i="40"/>
  <c r="O48" i="40"/>
  <c r="O47" i="40"/>
  <c r="O46" i="40"/>
  <c r="O45" i="40"/>
  <c r="N18" i="40"/>
  <c r="N21" i="40"/>
  <c r="M18" i="40"/>
  <c r="M21" i="40"/>
  <c r="L18" i="40"/>
  <c r="L21" i="40"/>
  <c r="K18" i="40"/>
  <c r="K19" i="40"/>
  <c r="J18" i="40"/>
  <c r="J19" i="40"/>
  <c r="I18" i="40"/>
  <c r="I19" i="40"/>
  <c r="H18" i="40"/>
  <c r="H21" i="40"/>
  <c r="G18" i="40"/>
  <c r="G19" i="40"/>
  <c r="F18" i="40"/>
  <c r="F21" i="40"/>
  <c r="E18" i="40"/>
  <c r="E19" i="40"/>
  <c r="D18" i="40"/>
  <c r="D19" i="40"/>
  <c r="C18" i="40"/>
  <c r="C19" i="40"/>
  <c r="S16" i="40"/>
  <c r="N8" i="40"/>
  <c r="M8" i="40"/>
  <c r="M22" i="40"/>
  <c r="L8" i="40"/>
  <c r="L43" i="40"/>
  <c r="L53" i="40"/>
  <c r="L54" i="40"/>
  <c r="K8" i="40"/>
  <c r="K43" i="40"/>
  <c r="K53" i="40"/>
  <c r="K54" i="40"/>
  <c r="J8" i="40"/>
  <c r="J10" i="40"/>
  <c r="I8" i="40"/>
  <c r="I20" i="40"/>
  <c r="H8" i="40"/>
  <c r="G8" i="40"/>
  <c r="G22" i="40"/>
  <c r="F8" i="40"/>
  <c r="F22" i="40"/>
  <c r="E8" i="40"/>
  <c r="D8" i="40"/>
  <c r="D10" i="40"/>
  <c r="C8" i="40"/>
  <c r="C20" i="40"/>
  <c r="O7" i="40"/>
  <c r="H7" i="4"/>
  <c r="S17" i="46"/>
  <c r="D43" i="50"/>
  <c r="D53" i="50"/>
  <c r="D54" i="50"/>
  <c r="D9" i="50"/>
  <c r="G20" i="50"/>
  <c r="H10" i="49"/>
  <c r="O8" i="49"/>
  <c r="O22" i="49"/>
  <c r="I10" i="49"/>
  <c r="I9" i="49"/>
  <c r="S27" i="49"/>
  <c r="D43" i="48"/>
  <c r="D53" i="48"/>
  <c r="D54" i="48"/>
  <c r="E43" i="47"/>
  <c r="E53" i="47"/>
  <c r="E54" i="47"/>
  <c r="G10" i="47"/>
  <c r="H9" i="47"/>
  <c r="D19" i="46"/>
  <c r="E21" i="45"/>
  <c r="K9" i="45"/>
  <c r="J43" i="44"/>
  <c r="J53" i="44"/>
  <c r="J54" i="44"/>
  <c r="M21" i="43"/>
  <c r="C22" i="43"/>
  <c r="J21" i="42"/>
  <c r="I9" i="42"/>
  <c r="I22" i="42"/>
  <c r="J7" i="4"/>
  <c r="N43" i="42"/>
  <c r="N53" i="42"/>
  <c r="N54" i="42"/>
  <c r="I21" i="41"/>
  <c r="I7" i="4"/>
  <c r="N9" i="41"/>
  <c r="I21" i="49"/>
  <c r="O18" i="50"/>
  <c r="O21" i="50"/>
  <c r="J10" i="48"/>
  <c r="G10" i="44"/>
  <c r="G19" i="44"/>
  <c r="F19" i="42"/>
  <c r="H11" i="50"/>
  <c r="H9" i="50"/>
  <c r="H20" i="50"/>
  <c r="H10" i="50"/>
  <c r="H43" i="50"/>
  <c r="H53" i="50"/>
  <c r="H54" i="50"/>
  <c r="L22" i="48"/>
  <c r="J43" i="48"/>
  <c r="J53" i="48"/>
  <c r="J54" i="48"/>
  <c r="C11" i="48"/>
  <c r="D11" i="48"/>
  <c r="P7" i="4"/>
  <c r="J20" i="48"/>
  <c r="J22" i="48"/>
  <c r="E22" i="46"/>
  <c r="G22" i="46"/>
  <c r="I22" i="46"/>
  <c r="I9" i="46"/>
  <c r="L9" i="46"/>
  <c r="S17" i="44"/>
  <c r="L7" i="4"/>
  <c r="F20" i="44"/>
  <c r="G20" i="44"/>
  <c r="J9" i="44"/>
  <c r="I20" i="44"/>
  <c r="F10" i="44"/>
  <c r="J20" i="44"/>
  <c r="C20" i="42"/>
  <c r="C43" i="42"/>
  <c r="C53" i="42"/>
  <c r="M9" i="40"/>
  <c r="H6" i="4"/>
  <c r="O18" i="49"/>
  <c r="L19" i="45"/>
  <c r="I21" i="45"/>
  <c r="J21" i="45"/>
  <c r="N19" i="43"/>
  <c r="K21" i="43"/>
  <c r="G19" i="43"/>
  <c r="J21" i="43"/>
  <c r="O18" i="41"/>
  <c r="O21" i="41"/>
  <c r="F19" i="41"/>
  <c r="M21" i="41"/>
  <c r="L43" i="49"/>
  <c r="L53" i="49"/>
  <c r="L54" i="49"/>
  <c r="G11" i="49"/>
  <c r="I11" i="49"/>
  <c r="G20" i="49"/>
  <c r="E9" i="49"/>
  <c r="G9" i="49"/>
  <c r="J9" i="47"/>
  <c r="J43" i="47"/>
  <c r="J53" i="47"/>
  <c r="J54" i="47"/>
  <c r="K10" i="47"/>
  <c r="J10" i="47"/>
  <c r="K43" i="47"/>
  <c r="K53" i="47"/>
  <c r="K54" i="47"/>
  <c r="O6" i="4"/>
  <c r="J20" i="47"/>
  <c r="O7" i="4"/>
  <c r="O8" i="47"/>
  <c r="O22" i="47"/>
  <c r="D10" i="45"/>
  <c r="O8" i="45"/>
  <c r="O9" i="45"/>
  <c r="J20" i="45"/>
  <c r="L20" i="45"/>
  <c r="M9" i="45"/>
  <c r="C10" i="45"/>
  <c r="D22" i="45"/>
  <c r="N10" i="43"/>
  <c r="D43" i="43"/>
  <c r="D53" i="43"/>
  <c r="D54" i="43"/>
  <c r="K7" i="4"/>
  <c r="C9" i="41"/>
  <c r="N22" i="41"/>
  <c r="I22" i="41"/>
  <c r="N43" i="41"/>
  <c r="N53" i="41"/>
  <c r="N54" i="41"/>
  <c r="D20" i="41"/>
  <c r="I10" i="41"/>
  <c r="L20" i="41"/>
  <c r="I19" i="47"/>
  <c r="G19" i="47"/>
  <c r="S3" i="48"/>
  <c r="J19" i="48"/>
  <c r="F19" i="47"/>
  <c r="E19" i="46"/>
  <c r="I19" i="46"/>
  <c r="F19" i="46"/>
  <c r="L19" i="46"/>
  <c r="K19" i="47"/>
  <c r="M19" i="46"/>
  <c r="L19" i="47"/>
  <c r="H19" i="47"/>
  <c r="J19" i="46"/>
  <c r="K19" i="46"/>
  <c r="K19" i="48"/>
  <c r="K10" i="50"/>
  <c r="E10" i="50"/>
  <c r="E9" i="50"/>
  <c r="J9" i="50"/>
  <c r="J11" i="50"/>
  <c r="D20" i="50"/>
  <c r="F22" i="50"/>
  <c r="J20" i="50"/>
  <c r="S17" i="50"/>
  <c r="M20" i="50"/>
  <c r="P5" i="50"/>
  <c r="I10" i="50"/>
  <c r="J43" i="50"/>
  <c r="J53" i="50"/>
  <c r="J54" i="50"/>
  <c r="O8" i="50"/>
  <c r="O22" i="50"/>
  <c r="M10" i="50"/>
  <c r="K43" i="50"/>
  <c r="K53" i="50"/>
  <c r="K54" i="50"/>
  <c r="F10" i="50"/>
  <c r="E43" i="50"/>
  <c r="E53" i="50"/>
  <c r="E54" i="50"/>
  <c r="C9" i="50"/>
  <c r="D11" i="50"/>
  <c r="M43" i="50"/>
  <c r="M53" i="50"/>
  <c r="M54" i="50"/>
  <c r="R7" i="4"/>
  <c r="R8" i="4"/>
  <c r="R20" i="4"/>
  <c r="E11" i="50"/>
  <c r="E22" i="50"/>
  <c r="F10" i="49"/>
  <c r="G10" i="49"/>
  <c r="L10" i="49"/>
  <c r="F21" i="49"/>
  <c r="E22" i="49"/>
  <c r="H11" i="49"/>
  <c r="F22" i="49"/>
  <c r="J9" i="49"/>
  <c r="F20" i="49"/>
  <c r="G22" i="49"/>
  <c r="K9" i="49"/>
  <c r="J11" i="49"/>
  <c r="K22" i="49"/>
  <c r="Q6" i="4"/>
  <c r="Q8" i="4"/>
  <c r="L9" i="49"/>
  <c r="K11" i="49"/>
  <c r="I20" i="49"/>
  <c r="L22" i="49"/>
  <c r="K20" i="49"/>
  <c r="J10" i="49"/>
  <c r="K10" i="49"/>
  <c r="J20" i="49"/>
  <c r="S17" i="49"/>
  <c r="S18" i="49"/>
  <c r="S19" i="49"/>
  <c r="J43" i="49"/>
  <c r="J53" i="49"/>
  <c r="J54" i="49"/>
  <c r="J21" i="48"/>
  <c r="K21" i="48"/>
  <c r="O18" i="48"/>
  <c r="O21" i="48"/>
  <c r="K11" i="48"/>
  <c r="C20" i="48"/>
  <c r="H22" i="48"/>
  <c r="M9" i="48"/>
  <c r="L11" i="48"/>
  <c r="D20" i="48"/>
  <c r="I22" i="48"/>
  <c r="M10" i="48"/>
  <c r="M11" i="48"/>
  <c r="D10" i="48"/>
  <c r="L20" i="48"/>
  <c r="M22" i="48"/>
  <c r="N9" i="48"/>
  <c r="C10" i="48"/>
  <c r="K20" i="48"/>
  <c r="H10" i="48"/>
  <c r="M20" i="48"/>
  <c r="K10" i="48"/>
  <c r="S17" i="48"/>
  <c r="S18" i="48"/>
  <c r="S19" i="48"/>
  <c r="O8" i="48"/>
  <c r="O22" i="48"/>
  <c r="L10" i="48"/>
  <c r="C43" i="48"/>
  <c r="C53" i="48"/>
  <c r="C54" i="48"/>
  <c r="P6" i="4"/>
  <c r="P8" i="4"/>
  <c r="P22" i="4"/>
  <c r="C9" i="48"/>
  <c r="D9" i="48"/>
  <c r="J11" i="48"/>
  <c r="N43" i="48"/>
  <c r="N53" i="48"/>
  <c r="N54" i="48"/>
  <c r="J21" i="47"/>
  <c r="D19" i="47"/>
  <c r="J19" i="47"/>
  <c r="M19" i="47"/>
  <c r="I10" i="47"/>
  <c r="S17" i="47"/>
  <c r="S18" i="47"/>
  <c r="S19" i="47"/>
  <c r="D9" i="47"/>
  <c r="G22" i="47"/>
  <c r="G9" i="47"/>
  <c r="E20" i="47"/>
  <c r="I22" i="47"/>
  <c r="G20" i="47"/>
  <c r="K22" i="47"/>
  <c r="K9" i="47"/>
  <c r="M20" i="47"/>
  <c r="H10" i="47"/>
  <c r="H19" i="46"/>
  <c r="H10" i="46"/>
  <c r="F21" i="46"/>
  <c r="G10" i="46"/>
  <c r="O18" i="46"/>
  <c r="O21" i="46"/>
  <c r="J10" i="46"/>
  <c r="P5" i="46"/>
  <c r="K10" i="46"/>
  <c r="L10" i="46"/>
  <c r="H22" i="46"/>
  <c r="O8" i="46"/>
  <c r="O22" i="46"/>
  <c r="L22" i="46"/>
  <c r="G9" i="46"/>
  <c r="H20" i="46"/>
  <c r="S27" i="46"/>
  <c r="J9" i="46"/>
  <c r="G43" i="46"/>
  <c r="G53" i="46"/>
  <c r="G54" i="46"/>
  <c r="K20" i="46"/>
  <c r="K9" i="46"/>
  <c r="I43" i="46"/>
  <c r="I53" i="46"/>
  <c r="I54" i="46"/>
  <c r="N6" i="4"/>
  <c r="J43" i="46"/>
  <c r="J53" i="46"/>
  <c r="J54" i="46"/>
  <c r="L43" i="46"/>
  <c r="L53" i="46"/>
  <c r="L54" i="46"/>
  <c r="M19" i="45"/>
  <c r="H10" i="45"/>
  <c r="K21" i="45"/>
  <c r="O18" i="45"/>
  <c r="O21" i="45"/>
  <c r="D19" i="45"/>
  <c r="H19" i="45"/>
  <c r="L10" i="45"/>
  <c r="O22" i="45"/>
  <c r="H22" i="45"/>
  <c r="M6" i="4"/>
  <c r="H20" i="45"/>
  <c r="L22" i="45"/>
  <c r="M7" i="4"/>
  <c r="N9" i="45"/>
  <c r="K20" i="45"/>
  <c r="N43" i="45"/>
  <c r="N53" i="45"/>
  <c r="N54" i="45"/>
  <c r="K10" i="45"/>
  <c r="S17" i="45"/>
  <c r="S18" i="45"/>
  <c r="S19" i="45"/>
  <c r="P5" i="45"/>
  <c r="S11" i="45"/>
  <c r="N20" i="45"/>
  <c r="O18" i="44"/>
  <c r="N19" i="44"/>
  <c r="O21" i="44"/>
  <c r="F21" i="44"/>
  <c r="C19" i="44"/>
  <c r="H21" i="44"/>
  <c r="I19" i="44"/>
  <c r="E10" i="44"/>
  <c r="J10" i="44"/>
  <c r="J19" i="44"/>
  <c r="I9" i="44"/>
  <c r="E22" i="44"/>
  <c r="F22" i="44"/>
  <c r="K9" i="44"/>
  <c r="E20" i="44"/>
  <c r="K22" i="44"/>
  <c r="H10" i="44"/>
  <c r="I10" i="44"/>
  <c r="S18" i="44"/>
  <c r="S19" i="44"/>
  <c r="H20" i="44"/>
  <c r="H43" i="44"/>
  <c r="H53" i="44"/>
  <c r="H54" i="44"/>
  <c r="K43" i="44"/>
  <c r="K53" i="44"/>
  <c r="K54" i="44"/>
  <c r="M10" i="44"/>
  <c r="M20" i="44"/>
  <c r="O8" i="44"/>
  <c r="O22" i="44"/>
  <c r="K10" i="44"/>
  <c r="H9" i="44"/>
  <c r="S16" i="43"/>
  <c r="S18" i="43"/>
  <c r="S19" i="43"/>
  <c r="O18" i="43"/>
  <c r="O21" i="43"/>
  <c r="F19" i="43"/>
  <c r="L21" i="43"/>
  <c r="C9" i="43"/>
  <c r="D9" i="43"/>
  <c r="E9" i="43"/>
  <c r="D20" i="43"/>
  <c r="I22" i="43"/>
  <c r="N9" i="43"/>
  <c r="E20" i="43"/>
  <c r="J22" i="43"/>
  <c r="C10" i="43"/>
  <c r="K20" i="43"/>
  <c r="K22" i="43"/>
  <c r="K6" i="4"/>
  <c r="D10" i="43"/>
  <c r="L20" i="43"/>
  <c r="M22" i="43"/>
  <c r="N43" i="43"/>
  <c r="N53" i="43"/>
  <c r="N54" i="43"/>
  <c r="E10" i="43"/>
  <c r="M20" i="43"/>
  <c r="N22" i="43"/>
  <c r="L10" i="43"/>
  <c r="M10" i="43"/>
  <c r="C43" i="43"/>
  <c r="C53" i="43"/>
  <c r="C54" i="43"/>
  <c r="E21" i="42"/>
  <c r="H21" i="42"/>
  <c r="I21" i="42"/>
  <c r="L19" i="42"/>
  <c r="L9" i="42"/>
  <c r="L20" i="42"/>
  <c r="N9" i="42"/>
  <c r="I43" i="42"/>
  <c r="I53" i="42"/>
  <c r="I54" i="42"/>
  <c r="M9" i="42"/>
  <c r="J10" i="42"/>
  <c r="S17" i="42"/>
  <c r="S18" i="42"/>
  <c r="S19" i="42"/>
  <c r="L43" i="42"/>
  <c r="L53" i="42"/>
  <c r="L54" i="42"/>
  <c r="K10" i="42"/>
  <c r="M43" i="42"/>
  <c r="M53" i="42"/>
  <c r="M54" i="42"/>
  <c r="L10" i="42"/>
  <c r="M10" i="42"/>
  <c r="G22" i="42"/>
  <c r="J6" i="4"/>
  <c r="I20" i="42"/>
  <c r="M22" i="42"/>
  <c r="C9" i="42"/>
  <c r="J20" i="42"/>
  <c r="N22" i="42"/>
  <c r="J10" i="41"/>
  <c r="J21" i="41"/>
  <c r="L21" i="41"/>
  <c r="K21" i="41"/>
  <c r="D9" i="41"/>
  <c r="H22" i="41"/>
  <c r="I6" i="4"/>
  <c r="D10" i="41"/>
  <c r="K20" i="41"/>
  <c r="M22" i="41"/>
  <c r="K10" i="41"/>
  <c r="M20" i="41"/>
  <c r="L10" i="41"/>
  <c r="N20" i="41"/>
  <c r="C43" i="41"/>
  <c r="C53" i="41"/>
  <c r="C54" i="41"/>
  <c r="M10" i="41"/>
  <c r="S17" i="41"/>
  <c r="S18" i="41"/>
  <c r="S19" i="41"/>
  <c r="D43" i="41"/>
  <c r="D53" i="41"/>
  <c r="D54" i="41"/>
  <c r="O8" i="41"/>
  <c r="O9" i="41"/>
  <c r="N10" i="40"/>
  <c r="J21" i="40"/>
  <c r="H10" i="40"/>
  <c r="S17" i="40"/>
  <c r="S18" i="40"/>
  <c r="S19" i="40"/>
  <c r="H20" i="40"/>
  <c r="G43" i="40"/>
  <c r="G53" i="40"/>
  <c r="G54" i="40"/>
  <c r="D9" i="40"/>
  <c r="H9" i="40"/>
  <c r="G9" i="40"/>
  <c r="I9" i="40"/>
  <c r="S16" i="50"/>
  <c r="S18" i="50"/>
  <c r="S19" i="50"/>
  <c r="N9" i="50"/>
  <c r="L10" i="50"/>
  <c r="K11" i="50"/>
  <c r="K20" i="50"/>
  <c r="I22" i="50"/>
  <c r="N43" i="50"/>
  <c r="N53" i="50"/>
  <c r="N54" i="50"/>
  <c r="L11" i="50"/>
  <c r="L20" i="50"/>
  <c r="K21" i="50"/>
  <c r="C43" i="50"/>
  <c r="C53" i="50"/>
  <c r="O43" i="50"/>
  <c r="N10" i="50"/>
  <c r="L21" i="50"/>
  <c r="K22" i="50"/>
  <c r="C10" i="50"/>
  <c r="N11" i="50"/>
  <c r="N20" i="50"/>
  <c r="L22" i="50"/>
  <c r="F9" i="50"/>
  <c r="D10" i="50"/>
  <c r="C11" i="50"/>
  <c r="C20" i="50"/>
  <c r="F43" i="50"/>
  <c r="F53" i="50"/>
  <c r="F54" i="50"/>
  <c r="G9" i="50"/>
  <c r="G43" i="50"/>
  <c r="G53" i="50"/>
  <c r="G54" i="50"/>
  <c r="I9" i="50"/>
  <c r="G10" i="50"/>
  <c r="F11" i="50"/>
  <c r="I43" i="50"/>
  <c r="I53" i="50"/>
  <c r="I54" i="50"/>
  <c r="L9" i="50"/>
  <c r="I11" i="50"/>
  <c r="T22" i="49"/>
  <c r="U23" i="49"/>
  <c r="N9" i="49"/>
  <c r="J21" i="49"/>
  <c r="I22" i="49"/>
  <c r="N43" i="49"/>
  <c r="N53" i="49"/>
  <c r="N54" i="49"/>
  <c r="C9" i="49"/>
  <c r="O9" i="49"/>
  <c r="M10" i="49"/>
  <c r="L11" i="49"/>
  <c r="K21" i="49"/>
  <c r="C43" i="49"/>
  <c r="C53" i="49"/>
  <c r="O43" i="49"/>
  <c r="D43" i="49"/>
  <c r="D53" i="49"/>
  <c r="D54" i="49"/>
  <c r="N20" i="49"/>
  <c r="D9" i="49"/>
  <c r="N10" i="49"/>
  <c r="M11" i="49"/>
  <c r="L21" i="49"/>
  <c r="C10" i="49"/>
  <c r="O10" i="49"/>
  <c r="E43" i="49"/>
  <c r="E53" i="49"/>
  <c r="E54" i="49"/>
  <c r="F9" i="49"/>
  <c r="D10" i="49"/>
  <c r="C11" i="49"/>
  <c r="C20" i="49"/>
  <c r="M22" i="49"/>
  <c r="F43" i="49"/>
  <c r="F53" i="49"/>
  <c r="F54" i="49"/>
  <c r="P5" i="49"/>
  <c r="E10" i="49"/>
  <c r="D11" i="49"/>
  <c r="D20" i="49"/>
  <c r="O21" i="49"/>
  <c r="N22" i="49"/>
  <c r="M20" i="49"/>
  <c r="H9" i="49"/>
  <c r="E11" i="49"/>
  <c r="H43" i="49"/>
  <c r="H53" i="49"/>
  <c r="H54" i="49"/>
  <c r="H20" i="49"/>
  <c r="M9" i="49"/>
  <c r="P5" i="48"/>
  <c r="E9" i="48"/>
  <c r="N11" i="48"/>
  <c r="N20" i="48"/>
  <c r="E43" i="48"/>
  <c r="E53" i="48"/>
  <c r="E54" i="48"/>
  <c r="N10" i="48"/>
  <c r="K22" i="48"/>
  <c r="F9" i="48"/>
  <c r="F43" i="48"/>
  <c r="F53" i="48"/>
  <c r="F54" i="48"/>
  <c r="H9" i="48"/>
  <c r="F10" i="48"/>
  <c r="E11" i="48"/>
  <c r="E20" i="48"/>
  <c r="H43" i="48"/>
  <c r="H53" i="48"/>
  <c r="H54" i="48"/>
  <c r="G9" i="48"/>
  <c r="E10" i="48"/>
  <c r="G43" i="48"/>
  <c r="G53" i="48"/>
  <c r="G54" i="48"/>
  <c r="I9" i="48"/>
  <c r="G10" i="48"/>
  <c r="F11" i="48"/>
  <c r="F20" i="48"/>
  <c r="T22" i="48"/>
  <c r="U23" i="48"/>
  <c r="I43" i="48"/>
  <c r="I53" i="48"/>
  <c r="I54" i="48"/>
  <c r="G20" i="48"/>
  <c r="K9" i="48"/>
  <c r="I10" i="48"/>
  <c r="H11" i="48"/>
  <c r="G11" i="48"/>
  <c r="L9" i="48"/>
  <c r="I11" i="48"/>
  <c r="O18" i="47"/>
  <c r="O21" i="47"/>
  <c r="N43" i="47"/>
  <c r="N53" i="47"/>
  <c r="N54" i="47"/>
  <c r="C9" i="47"/>
  <c r="O9" i="47"/>
  <c r="M10" i="47"/>
  <c r="N19" i="47"/>
  <c r="L20" i="47"/>
  <c r="K21" i="47"/>
  <c r="C43" i="47"/>
  <c r="C53" i="47"/>
  <c r="N10" i="47"/>
  <c r="C19" i="47"/>
  <c r="L21" i="47"/>
  <c r="D43" i="47"/>
  <c r="D53" i="47"/>
  <c r="D54" i="47"/>
  <c r="L10" i="47"/>
  <c r="C10" i="47"/>
  <c r="N20" i="47"/>
  <c r="L22" i="47"/>
  <c r="N9" i="47"/>
  <c r="F9" i="47"/>
  <c r="D10" i="47"/>
  <c r="E19" i="47"/>
  <c r="C20" i="47"/>
  <c r="M22" i="47"/>
  <c r="F43" i="47"/>
  <c r="F53" i="47"/>
  <c r="F54" i="47"/>
  <c r="P5" i="47"/>
  <c r="D20" i="47"/>
  <c r="H43" i="47"/>
  <c r="H53" i="47"/>
  <c r="H54" i="47"/>
  <c r="F10" i="47"/>
  <c r="I9" i="47"/>
  <c r="F20" i="47"/>
  <c r="T22" i="47"/>
  <c r="U23" i="47"/>
  <c r="I43" i="47"/>
  <c r="I53" i="47"/>
  <c r="I54" i="47"/>
  <c r="H20" i="47"/>
  <c r="L9" i="47"/>
  <c r="M9" i="47"/>
  <c r="S18" i="46"/>
  <c r="S19" i="46"/>
  <c r="N43" i="46"/>
  <c r="N53" i="46"/>
  <c r="N54" i="46"/>
  <c r="C9" i="46"/>
  <c r="M10" i="46"/>
  <c r="N19" i="46"/>
  <c r="K21" i="46"/>
  <c r="J22" i="46"/>
  <c r="C43" i="46"/>
  <c r="C53" i="46"/>
  <c r="D9" i="46"/>
  <c r="N10" i="46"/>
  <c r="C19" i="46"/>
  <c r="M20" i="46"/>
  <c r="K22" i="46"/>
  <c r="D43" i="46"/>
  <c r="D53" i="46"/>
  <c r="D54" i="46"/>
  <c r="E9" i="46"/>
  <c r="C10" i="46"/>
  <c r="N20" i="46"/>
  <c r="E43" i="46"/>
  <c r="E53" i="46"/>
  <c r="E54" i="46"/>
  <c r="N9" i="46"/>
  <c r="F9" i="46"/>
  <c r="D10" i="46"/>
  <c r="C20" i="46"/>
  <c r="M22" i="46"/>
  <c r="F43" i="46"/>
  <c r="F53" i="46"/>
  <c r="F54" i="46"/>
  <c r="E10" i="46"/>
  <c r="D20" i="46"/>
  <c r="H9" i="46"/>
  <c r="F10" i="46"/>
  <c r="G19" i="46"/>
  <c r="F20" i="46"/>
  <c r="I10" i="46"/>
  <c r="T22" i="46"/>
  <c r="M9" i="46"/>
  <c r="T22" i="45"/>
  <c r="U23" i="45"/>
  <c r="I22" i="45"/>
  <c r="M10" i="45"/>
  <c r="N19" i="45"/>
  <c r="C9" i="45"/>
  <c r="J22" i="45"/>
  <c r="C43" i="45"/>
  <c r="C53" i="45"/>
  <c r="D9" i="45"/>
  <c r="N10" i="45"/>
  <c r="C19" i="45"/>
  <c r="M20" i="45"/>
  <c r="D43" i="45"/>
  <c r="D53" i="45"/>
  <c r="D54" i="45"/>
  <c r="F9" i="45"/>
  <c r="M22" i="45"/>
  <c r="F43" i="45"/>
  <c r="F53" i="45"/>
  <c r="F54" i="45"/>
  <c r="G9" i="45"/>
  <c r="E10" i="45"/>
  <c r="F19" i="45"/>
  <c r="G43" i="45"/>
  <c r="G53" i="45"/>
  <c r="G54" i="45"/>
  <c r="C20" i="45"/>
  <c r="H9" i="45"/>
  <c r="F10" i="45"/>
  <c r="G19" i="45"/>
  <c r="E20" i="45"/>
  <c r="H43" i="45"/>
  <c r="H53" i="45"/>
  <c r="H54" i="45"/>
  <c r="I9" i="45"/>
  <c r="G10" i="45"/>
  <c r="F20" i="45"/>
  <c r="I43" i="45"/>
  <c r="I53" i="45"/>
  <c r="I54" i="45"/>
  <c r="J9" i="45"/>
  <c r="G20" i="45"/>
  <c r="E22" i="45"/>
  <c r="J43" i="45"/>
  <c r="J53" i="45"/>
  <c r="J54" i="45"/>
  <c r="I10" i="45"/>
  <c r="E9" i="45"/>
  <c r="L9" i="45"/>
  <c r="L9" i="44"/>
  <c r="K19" i="44"/>
  <c r="G22" i="44"/>
  <c r="L43" i="44"/>
  <c r="L53" i="44"/>
  <c r="L54" i="44"/>
  <c r="M9" i="44"/>
  <c r="L19" i="44"/>
  <c r="M43" i="44"/>
  <c r="M53" i="44"/>
  <c r="M54" i="44"/>
  <c r="N9" i="44"/>
  <c r="L10" i="44"/>
  <c r="M19" i="44"/>
  <c r="I22" i="44"/>
  <c r="N43" i="44"/>
  <c r="N53" i="44"/>
  <c r="N54" i="44"/>
  <c r="L20" i="44"/>
  <c r="D9" i="44"/>
  <c r="N10" i="44"/>
  <c r="C10" i="44"/>
  <c r="D19" i="44"/>
  <c r="F9" i="44"/>
  <c r="D10" i="44"/>
  <c r="E19" i="44"/>
  <c r="C20" i="44"/>
  <c r="C9" i="44"/>
  <c r="C43" i="44"/>
  <c r="C53" i="44"/>
  <c r="D43" i="44"/>
  <c r="D53" i="44"/>
  <c r="D54" i="44"/>
  <c r="P5" i="44"/>
  <c r="E9" i="44"/>
  <c r="O10" i="44"/>
  <c r="N20" i="44"/>
  <c r="E43" i="44"/>
  <c r="E53" i="44"/>
  <c r="E54" i="44"/>
  <c r="G9" i="44"/>
  <c r="D20" i="44"/>
  <c r="G43" i="44"/>
  <c r="G53" i="44"/>
  <c r="G54" i="44"/>
  <c r="O43" i="43"/>
  <c r="O22" i="43"/>
  <c r="O9" i="43"/>
  <c r="P5" i="43"/>
  <c r="D19" i="43"/>
  <c r="L22" i="43"/>
  <c r="F9" i="43"/>
  <c r="E19" i="43"/>
  <c r="F43" i="43"/>
  <c r="F53" i="43"/>
  <c r="F54" i="43"/>
  <c r="G43" i="43"/>
  <c r="G53" i="43"/>
  <c r="G54" i="43"/>
  <c r="I9" i="43"/>
  <c r="G10" i="43"/>
  <c r="H19" i="43"/>
  <c r="F20" i="43"/>
  <c r="I43" i="43"/>
  <c r="I53" i="43"/>
  <c r="I54" i="43"/>
  <c r="J9" i="43"/>
  <c r="H10" i="43"/>
  <c r="I19" i="43"/>
  <c r="G20" i="43"/>
  <c r="J43" i="43"/>
  <c r="J53" i="43"/>
  <c r="J54" i="43"/>
  <c r="F10" i="43"/>
  <c r="K9" i="43"/>
  <c r="I10" i="43"/>
  <c r="H20" i="43"/>
  <c r="K43" i="43"/>
  <c r="K53" i="43"/>
  <c r="K54" i="43"/>
  <c r="C19" i="43"/>
  <c r="H43" i="43"/>
  <c r="H53" i="43"/>
  <c r="H54" i="43"/>
  <c r="L9" i="43"/>
  <c r="J10" i="43"/>
  <c r="G22" i="43"/>
  <c r="H9" i="43"/>
  <c r="M9" i="43"/>
  <c r="O22" i="42"/>
  <c r="O43" i="42"/>
  <c r="C54" i="42"/>
  <c r="O18" i="42"/>
  <c r="O21" i="42"/>
  <c r="N19" i="42"/>
  <c r="J22" i="42"/>
  <c r="D9" i="42"/>
  <c r="N10" i="42"/>
  <c r="C19" i="42"/>
  <c r="K22" i="42"/>
  <c r="D43" i="42"/>
  <c r="D53" i="42"/>
  <c r="D54" i="42"/>
  <c r="M19" i="42"/>
  <c r="O9" i="42"/>
  <c r="P5" i="42"/>
  <c r="E9" i="42"/>
  <c r="C10" i="42"/>
  <c r="D19" i="42"/>
  <c r="E43" i="42"/>
  <c r="E53" i="42"/>
  <c r="E54" i="42"/>
  <c r="F9" i="42"/>
  <c r="G9" i="42"/>
  <c r="E10" i="42"/>
  <c r="G43" i="42"/>
  <c r="G53" i="42"/>
  <c r="G54" i="42"/>
  <c r="H9" i="42"/>
  <c r="F10" i="42"/>
  <c r="G19" i="42"/>
  <c r="E20" i="42"/>
  <c r="H43" i="42"/>
  <c r="H53" i="42"/>
  <c r="H54" i="42"/>
  <c r="D22" i="42"/>
  <c r="F43" i="42"/>
  <c r="F53" i="42"/>
  <c r="F54" i="42"/>
  <c r="F20" i="42"/>
  <c r="J9" i="42"/>
  <c r="H10" i="42"/>
  <c r="G20" i="42"/>
  <c r="D10" i="42"/>
  <c r="K9" i="42"/>
  <c r="O43" i="41"/>
  <c r="O22" i="41"/>
  <c r="C19" i="41"/>
  <c r="K22" i="41"/>
  <c r="P5" i="41"/>
  <c r="E9" i="41"/>
  <c r="C10" i="41"/>
  <c r="D19" i="41"/>
  <c r="L22" i="41"/>
  <c r="E43" i="41"/>
  <c r="F9" i="41"/>
  <c r="E19" i="41"/>
  <c r="C20" i="41"/>
  <c r="N21" i="41"/>
  <c r="F43" i="41"/>
  <c r="G43" i="41"/>
  <c r="H9" i="41"/>
  <c r="E20" i="41"/>
  <c r="H43" i="41"/>
  <c r="I9" i="41"/>
  <c r="G10" i="41"/>
  <c r="H19" i="41"/>
  <c r="F20" i="41"/>
  <c r="I43" i="41"/>
  <c r="G9" i="41"/>
  <c r="E10" i="41"/>
  <c r="F10" i="41"/>
  <c r="G19" i="41"/>
  <c r="J9" i="41"/>
  <c r="H10" i="41"/>
  <c r="G20" i="41"/>
  <c r="J43" i="41"/>
  <c r="K9" i="41"/>
  <c r="L9" i="41"/>
  <c r="L19" i="40"/>
  <c r="M19" i="40"/>
  <c r="K21" i="40"/>
  <c r="I10" i="40"/>
  <c r="H43" i="40"/>
  <c r="H53" i="40"/>
  <c r="H54" i="40"/>
  <c r="O8" i="40"/>
  <c r="O22" i="40"/>
  <c r="M43" i="40"/>
  <c r="M53" i="40"/>
  <c r="M54" i="40"/>
  <c r="G21" i="40"/>
  <c r="I21" i="40"/>
  <c r="E21" i="40"/>
  <c r="O18" i="40"/>
  <c r="O21" i="40"/>
  <c r="F19" i="40"/>
  <c r="C21" i="40"/>
  <c r="D21" i="40"/>
  <c r="C22" i="40"/>
  <c r="J20" i="40"/>
  <c r="D22" i="40"/>
  <c r="N20" i="40"/>
  <c r="H22" i="40"/>
  <c r="E10" i="40"/>
  <c r="I22" i="40"/>
  <c r="D20" i="40"/>
  <c r="N43" i="40"/>
  <c r="N53" i="40"/>
  <c r="N54" i="40"/>
  <c r="N9" i="40"/>
  <c r="F10" i="40"/>
  <c r="J22" i="40"/>
  <c r="N22" i="40"/>
  <c r="P5" i="40"/>
  <c r="T22" i="40"/>
  <c r="U23" i="40"/>
  <c r="K10" i="40"/>
  <c r="K20" i="40"/>
  <c r="S27" i="40"/>
  <c r="C43" i="40"/>
  <c r="C53" i="40"/>
  <c r="M20" i="40"/>
  <c r="K22" i="40"/>
  <c r="D43" i="40"/>
  <c r="D53" i="40"/>
  <c r="D54" i="40"/>
  <c r="E9" i="40"/>
  <c r="C10" i="40"/>
  <c r="L22" i="40"/>
  <c r="E43" i="40"/>
  <c r="E53" i="40"/>
  <c r="E54" i="40"/>
  <c r="L10" i="40"/>
  <c r="C9" i="40"/>
  <c r="M10" i="40"/>
  <c r="N19" i="40"/>
  <c r="L20" i="40"/>
  <c r="F9" i="40"/>
  <c r="F43" i="40"/>
  <c r="F53" i="40"/>
  <c r="F54" i="40"/>
  <c r="E20" i="40"/>
  <c r="G10" i="40"/>
  <c r="H19" i="40"/>
  <c r="F20" i="40"/>
  <c r="I43" i="40"/>
  <c r="I53" i="40"/>
  <c r="I54" i="40"/>
  <c r="J9" i="40"/>
  <c r="G20" i="40"/>
  <c r="E22" i="40"/>
  <c r="J43" i="40"/>
  <c r="J53" i="40"/>
  <c r="J54" i="40"/>
  <c r="K9" i="40"/>
  <c r="L9" i="40"/>
  <c r="T22" i="50"/>
  <c r="U23" i="50"/>
  <c r="S11" i="50"/>
  <c r="O43" i="45"/>
  <c r="T22" i="41"/>
  <c r="U23" i="41"/>
  <c r="O43" i="40"/>
  <c r="M19" i="48"/>
  <c r="N19" i="48"/>
  <c r="O10" i="50"/>
  <c r="R21" i="4"/>
  <c r="P20" i="4"/>
  <c r="P21" i="4"/>
  <c r="P9" i="4"/>
  <c r="S12" i="46"/>
  <c r="O10" i="40"/>
  <c r="R22" i="4"/>
  <c r="R10" i="4"/>
  <c r="O9" i="50"/>
  <c r="R9" i="4"/>
  <c r="O9" i="48"/>
  <c r="O43" i="48"/>
  <c r="P10" i="4"/>
  <c r="O9" i="44"/>
  <c r="O10" i="45"/>
  <c r="O10" i="41"/>
  <c r="Q22" i="4"/>
  <c r="Q20" i="4"/>
  <c r="Q9" i="4"/>
  <c r="O8" i="4"/>
  <c r="O43" i="47"/>
  <c r="O10" i="47"/>
  <c r="H19" i="48"/>
  <c r="D19" i="48"/>
  <c r="C19" i="48"/>
  <c r="F19" i="48"/>
  <c r="G19" i="48"/>
  <c r="E19" i="48"/>
  <c r="L19" i="48"/>
  <c r="S3" i="49"/>
  <c r="I19" i="48"/>
  <c r="T22" i="42"/>
  <c r="U23" i="42"/>
  <c r="T22" i="44"/>
  <c r="U23" i="44"/>
  <c r="S12" i="50"/>
  <c r="O20" i="48"/>
  <c r="O10" i="48"/>
  <c r="O9" i="46"/>
  <c r="O43" i="46"/>
  <c r="S11" i="46"/>
  <c r="O10" i="46"/>
  <c r="S12" i="45"/>
  <c r="O19" i="44"/>
  <c r="O43" i="44"/>
  <c r="O20" i="43"/>
  <c r="O10" i="43"/>
  <c r="O10" i="42"/>
  <c r="O20" i="42"/>
  <c r="E53" i="41"/>
  <c r="E54" i="41"/>
  <c r="H53" i="41"/>
  <c r="H54" i="41"/>
  <c r="G53" i="41"/>
  <c r="G54" i="41"/>
  <c r="I53" i="41"/>
  <c r="I54" i="41"/>
  <c r="F53" i="41"/>
  <c r="J53" i="41"/>
  <c r="J54" i="41"/>
  <c r="O19" i="40"/>
  <c r="O9" i="40"/>
  <c r="O20" i="50"/>
  <c r="O11" i="50"/>
  <c r="R11" i="4"/>
  <c r="C54" i="50"/>
  <c r="O53" i="50"/>
  <c r="O54" i="50"/>
  <c r="C54" i="49"/>
  <c r="O53" i="49"/>
  <c r="O54" i="49"/>
  <c r="S12" i="49"/>
  <c r="S11" i="49"/>
  <c r="O20" i="49"/>
  <c r="O11" i="49"/>
  <c r="Q11" i="4"/>
  <c r="O11" i="48"/>
  <c r="P11" i="4"/>
  <c r="S11" i="48"/>
  <c r="S12" i="48"/>
  <c r="O53" i="48"/>
  <c r="O54" i="48"/>
  <c r="S12" i="47"/>
  <c r="S11" i="47"/>
  <c r="O20" i="47"/>
  <c r="O19" i="47"/>
  <c r="C54" i="47"/>
  <c r="O53" i="47"/>
  <c r="O54" i="47"/>
  <c r="U23" i="46"/>
  <c r="C54" i="46"/>
  <c r="O53" i="46"/>
  <c r="O54" i="46"/>
  <c r="O20" i="46"/>
  <c r="O19" i="46"/>
  <c r="C54" i="45"/>
  <c r="O53" i="45"/>
  <c r="O54" i="45"/>
  <c r="O20" i="45"/>
  <c r="O19" i="45"/>
  <c r="C54" i="44"/>
  <c r="O53" i="44"/>
  <c r="O54" i="44"/>
  <c r="O20" i="44"/>
  <c r="S12" i="44"/>
  <c r="S11" i="44"/>
  <c r="S12" i="43"/>
  <c r="S11" i="43"/>
  <c r="O53" i="43"/>
  <c r="O54" i="43"/>
  <c r="T22" i="43"/>
  <c r="O19" i="43"/>
  <c r="S12" i="42"/>
  <c r="S11" i="42"/>
  <c r="O19" i="42"/>
  <c r="O53" i="42"/>
  <c r="O54" i="42"/>
  <c r="O19" i="41"/>
  <c r="O20" i="41"/>
  <c r="S12" i="41"/>
  <c r="S11" i="41"/>
  <c r="S12" i="40"/>
  <c r="O20" i="40"/>
  <c r="S11" i="40"/>
  <c r="O53" i="40"/>
  <c r="O54" i="40"/>
  <c r="C54" i="40"/>
  <c r="Q21" i="4"/>
  <c r="Q10" i="4"/>
  <c r="O21" i="4"/>
  <c r="O20" i="4"/>
  <c r="O22" i="4"/>
  <c r="O10" i="4"/>
  <c r="O9" i="4"/>
  <c r="O53" i="41"/>
  <c r="O54" i="41"/>
  <c r="O19" i="48"/>
  <c r="H19" i="49"/>
  <c r="S3" i="50"/>
  <c r="I19" i="49"/>
  <c r="J19" i="49"/>
  <c r="N19" i="49"/>
  <c r="F19" i="49"/>
  <c r="K19" i="49"/>
  <c r="M19" i="49"/>
  <c r="E19" i="49"/>
  <c r="C19" i="49"/>
  <c r="L19" i="49"/>
  <c r="D19" i="49"/>
  <c r="G19" i="49"/>
  <c r="F54" i="41"/>
  <c r="U23" i="43"/>
  <c r="N19" i="50"/>
  <c r="C19" i="50"/>
  <c r="G19" i="50"/>
  <c r="F19" i="50"/>
  <c r="M19" i="50"/>
  <c r="E19" i="50"/>
  <c r="K19" i="50"/>
  <c r="D19" i="50"/>
  <c r="I19" i="50"/>
  <c r="L19" i="50"/>
  <c r="H19" i="50"/>
  <c r="J19" i="50"/>
  <c r="O19" i="49"/>
  <c r="H8" i="39"/>
  <c r="H22" i="39"/>
  <c r="L18" i="39"/>
  <c r="L21" i="39"/>
  <c r="N18" i="39"/>
  <c r="N19" i="39"/>
  <c r="M18" i="39"/>
  <c r="M19" i="39"/>
  <c r="L19" i="39"/>
  <c r="K18" i="39"/>
  <c r="K19" i="39"/>
  <c r="J18" i="39"/>
  <c r="J19" i="39"/>
  <c r="I18" i="39"/>
  <c r="I21" i="39"/>
  <c r="H18" i="39"/>
  <c r="H21" i="39"/>
  <c r="G18" i="39"/>
  <c r="G21" i="39"/>
  <c r="F18" i="39"/>
  <c r="F21" i="39"/>
  <c r="E18" i="39"/>
  <c r="E21" i="39"/>
  <c r="D18" i="39"/>
  <c r="D21" i="39"/>
  <c r="C18" i="39"/>
  <c r="C21" i="39"/>
  <c r="N8" i="39"/>
  <c r="N22" i="39"/>
  <c r="M8" i="39"/>
  <c r="M22" i="39"/>
  <c r="L8" i="39"/>
  <c r="K8" i="39"/>
  <c r="J8" i="39"/>
  <c r="J22" i="39"/>
  <c r="I8" i="39"/>
  <c r="I20" i="39"/>
  <c r="H20" i="39"/>
  <c r="G8" i="39"/>
  <c r="G22" i="39"/>
  <c r="F8" i="39"/>
  <c r="F22" i="39"/>
  <c r="E8" i="39"/>
  <c r="E22" i="39"/>
  <c r="D8" i="39"/>
  <c r="D22" i="39"/>
  <c r="C8" i="39"/>
  <c r="C22" i="39"/>
  <c r="O7" i="39"/>
  <c r="M9" i="39"/>
  <c r="K10" i="39"/>
  <c r="L10" i="39"/>
  <c r="M10" i="39"/>
  <c r="O19" i="50"/>
  <c r="M21" i="39"/>
  <c r="I19" i="39"/>
  <c r="K21" i="39"/>
  <c r="N9" i="39"/>
  <c r="J20" i="39"/>
  <c r="N10" i="39"/>
  <c r="K20" i="39"/>
  <c r="L20" i="39"/>
  <c r="M20" i="39"/>
  <c r="K22" i="39"/>
  <c r="S16" i="39"/>
  <c r="O18" i="39"/>
  <c r="O21" i="39"/>
  <c r="S27" i="39"/>
  <c r="G7" i="4"/>
  <c r="C20" i="39"/>
  <c r="G6" i="4"/>
  <c r="C9" i="39"/>
  <c r="D9" i="39"/>
  <c r="S17" i="39"/>
  <c r="O8" i="39"/>
  <c r="J10" i="39"/>
  <c r="C19" i="39"/>
  <c r="H19" i="39"/>
  <c r="J21" i="39"/>
  <c r="I22" i="39"/>
  <c r="P5" i="39"/>
  <c r="E9" i="39"/>
  <c r="C10" i="39"/>
  <c r="D19" i="39"/>
  <c r="N20" i="39"/>
  <c r="L22" i="39"/>
  <c r="F9" i="39"/>
  <c r="N21" i="39"/>
  <c r="G9" i="39"/>
  <c r="E10" i="39"/>
  <c r="F19" i="39"/>
  <c r="D20" i="39"/>
  <c r="D10" i="39"/>
  <c r="E19" i="39"/>
  <c r="H9" i="39"/>
  <c r="F10" i="39"/>
  <c r="G19" i="39"/>
  <c r="E20" i="39"/>
  <c r="F20" i="39"/>
  <c r="G10" i="39"/>
  <c r="H10" i="39"/>
  <c r="K9" i="39"/>
  <c r="I10" i="39"/>
  <c r="I9" i="39"/>
  <c r="J9" i="39"/>
  <c r="G20" i="39"/>
  <c r="L9" i="39"/>
  <c r="O10" i="39"/>
  <c r="S18" i="39"/>
  <c r="S19" i="39"/>
  <c r="T22" i="39"/>
  <c r="U23" i="39"/>
  <c r="O22" i="39"/>
  <c r="O9" i="39"/>
  <c r="O20" i="39"/>
  <c r="O19" i="39"/>
  <c r="S12" i="39"/>
  <c r="S11" i="39"/>
  <c r="L8" i="16"/>
  <c r="M8" i="16"/>
  <c r="N8" i="16"/>
  <c r="L18" i="5"/>
  <c r="L21" i="5"/>
  <c r="L19" i="5"/>
  <c r="N18" i="16"/>
  <c r="M18" i="16"/>
  <c r="L18" i="16"/>
  <c r="K18" i="16"/>
  <c r="J18" i="16"/>
  <c r="I18" i="16"/>
  <c r="H18" i="16"/>
  <c r="G18" i="16"/>
  <c r="F18" i="16"/>
  <c r="E18" i="16"/>
  <c r="D18" i="16"/>
  <c r="C18" i="16"/>
  <c r="K8" i="16"/>
  <c r="J8" i="16"/>
  <c r="I8" i="16"/>
  <c r="H8" i="16"/>
  <c r="G8" i="16"/>
  <c r="F8" i="16"/>
  <c r="E8" i="16"/>
  <c r="D8" i="16"/>
  <c r="C8" i="16"/>
  <c r="O7" i="16"/>
  <c r="F7" i="4"/>
  <c r="F6" i="4"/>
  <c r="G21" i="16"/>
  <c r="G19" i="16"/>
  <c r="H21" i="16"/>
  <c r="H19" i="16"/>
  <c r="I21" i="16"/>
  <c r="I19" i="16"/>
  <c r="N10" i="16"/>
  <c r="N22" i="16"/>
  <c r="N20" i="16"/>
  <c r="J9" i="16"/>
  <c r="J22" i="16"/>
  <c r="J20" i="16"/>
  <c r="J21" i="16"/>
  <c r="J19" i="16"/>
  <c r="N21" i="16"/>
  <c r="N19" i="16"/>
  <c r="F21" i="16"/>
  <c r="F19" i="16"/>
  <c r="K9" i="16"/>
  <c r="K22" i="16"/>
  <c r="K20" i="16"/>
  <c r="K21" i="16"/>
  <c r="K19" i="16"/>
  <c r="F9" i="16"/>
  <c r="F20" i="16"/>
  <c r="F22" i="16"/>
  <c r="I9" i="16"/>
  <c r="I22" i="16"/>
  <c r="I20" i="16"/>
  <c r="L9" i="16"/>
  <c r="L22" i="16"/>
  <c r="L20" i="16"/>
  <c r="L19" i="16"/>
  <c r="L21" i="16"/>
  <c r="G22" i="16"/>
  <c r="G20" i="16"/>
  <c r="H22" i="16"/>
  <c r="H20" i="16"/>
  <c r="M10" i="16"/>
  <c r="M22" i="16"/>
  <c r="M20" i="16"/>
  <c r="M19" i="16"/>
  <c r="M21" i="16"/>
  <c r="E21" i="16"/>
  <c r="E19" i="16"/>
  <c r="E9" i="16"/>
  <c r="E20" i="16"/>
  <c r="E22" i="16"/>
  <c r="D19" i="16"/>
  <c r="D21" i="16"/>
  <c r="D20" i="16"/>
  <c r="D22" i="16"/>
  <c r="C21" i="16"/>
  <c r="C19" i="16"/>
  <c r="S16" i="16"/>
  <c r="S27" i="16"/>
  <c r="C9" i="16"/>
  <c r="C22" i="16"/>
  <c r="C20" i="16"/>
  <c r="G9" i="16"/>
  <c r="L10" i="16"/>
  <c r="G10" i="16"/>
  <c r="I10" i="16"/>
  <c r="D10" i="16"/>
  <c r="J10" i="16"/>
  <c r="K10" i="16"/>
  <c r="H10" i="16"/>
  <c r="P5" i="16"/>
  <c r="D9" i="16"/>
  <c r="H9" i="16"/>
  <c r="C10" i="16"/>
  <c r="S17" i="16"/>
  <c r="M9" i="16"/>
  <c r="O18" i="16"/>
  <c r="O21" i="16"/>
  <c r="N9" i="16"/>
  <c r="O8" i="16"/>
  <c r="E10" i="16"/>
  <c r="F10" i="16"/>
  <c r="O20" i="16"/>
  <c r="O19" i="16"/>
  <c r="S18" i="16"/>
  <c r="S19" i="16"/>
  <c r="T22" i="16"/>
  <c r="O9" i="16"/>
  <c r="O22" i="16"/>
  <c r="S11" i="16"/>
  <c r="O10" i="16"/>
  <c r="U23" i="16"/>
  <c r="S12" i="16"/>
  <c r="C18" i="5"/>
  <c r="D18" i="5"/>
  <c r="E18" i="5"/>
  <c r="F18" i="5"/>
  <c r="G18" i="5"/>
  <c r="H18" i="5"/>
  <c r="I18" i="5"/>
  <c r="J18" i="5"/>
  <c r="K18" i="5"/>
  <c r="M18" i="5"/>
  <c r="N18" i="5"/>
  <c r="J21" i="5"/>
  <c r="J19" i="5"/>
  <c r="M19" i="5"/>
  <c r="M21" i="5"/>
  <c r="I21" i="5"/>
  <c r="I19" i="5"/>
  <c r="G21" i="5"/>
  <c r="G19" i="5"/>
  <c r="D21" i="5"/>
  <c r="D19" i="5"/>
  <c r="N21" i="5"/>
  <c r="N19" i="5"/>
  <c r="K21" i="5"/>
  <c r="K19" i="5"/>
  <c r="H21" i="5"/>
  <c r="H19" i="5"/>
  <c r="F19" i="5"/>
  <c r="F21" i="5"/>
  <c r="E19" i="5"/>
  <c r="E21" i="5"/>
  <c r="C21" i="5"/>
  <c r="C19" i="5"/>
  <c r="N8" i="5"/>
  <c r="M8" i="5"/>
  <c r="L8" i="5"/>
  <c r="K8" i="5"/>
  <c r="J8" i="5"/>
  <c r="I8" i="5"/>
  <c r="H8" i="5"/>
  <c r="G8" i="5"/>
  <c r="F8" i="5"/>
  <c r="E8" i="5"/>
  <c r="D8" i="5"/>
  <c r="C8" i="5"/>
  <c r="O7" i="5"/>
  <c r="E6" i="4"/>
  <c r="C16" i="4"/>
  <c r="N8" i="4"/>
  <c r="M8" i="4"/>
  <c r="L8" i="4"/>
  <c r="K8" i="4"/>
  <c r="J8" i="4"/>
  <c r="I8" i="4"/>
  <c r="H8" i="4"/>
  <c r="G8" i="4"/>
  <c r="F8" i="4"/>
  <c r="O19" i="5"/>
  <c r="H20" i="5"/>
  <c r="H22" i="5"/>
  <c r="M22" i="5"/>
  <c r="M20" i="5"/>
  <c r="F20" i="5"/>
  <c r="F22" i="5"/>
  <c r="N20" i="5"/>
  <c r="N22" i="5"/>
  <c r="G22" i="5"/>
  <c r="G20" i="5"/>
  <c r="I22" i="5"/>
  <c r="I20" i="5"/>
  <c r="L20" i="5"/>
  <c r="L22" i="5"/>
  <c r="C22" i="5"/>
  <c r="C20" i="5"/>
  <c r="J20" i="5"/>
  <c r="J22" i="5"/>
  <c r="K20" i="5"/>
  <c r="K22" i="5"/>
  <c r="D22" i="5"/>
  <c r="D20" i="5"/>
  <c r="E22" i="5"/>
  <c r="E20" i="5"/>
  <c r="G21" i="3"/>
  <c r="G19" i="3"/>
  <c r="I21" i="3"/>
  <c r="I19" i="3"/>
  <c r="E19" i="3"/>
  <c r="E21" i="3"/>
  <c r="H19" i="3"/>
  <c r="H21" i="3"/>
  <c r="K19" i="3"/>
  <c r="K21" i="3"/>
  <c r="L21" i="3"/>
  <c r="L19" i="3"/>
  <c r="F21" i="3"/>
  <c r="F19" i="3"/>
  <c r="J21" i="3"/>
  <c r="J19" i="3"/>
  <c r="D19" i="3"/>
  <c r="D21" i="3"/>
  <c r="M19" i="3"/>
  <c r="M21" i="3"/>
  <c r="N19" i="3"/>
  <c r="N21" i="3"/>
  <c r="S16" i="3"/>
  <c r="S16" i="4"/>
  <c r="C19" i="3"/>
  <c r="C21" i="3"/>
  <c r="J22" i="3"/>
  <c r="J20" i="3"/>
  <c r="F22" i="3"/>
  <c r="F20" i="3"/>
  <c r="S17" i="3"/>
  <c r="D6" i="4"/>
  <c r="G20" i="3"/>
  <c r="G22" i="3"/>
  <c r="D20" i="3"/>
  <c r="D22" i="3"/>
  <c r="H22" i="3"/>
  <c r="H20" i="3"/>
  <c r="I22" i="3"/>
  <c r="I20" i="3"/>
  <c r="K22" i="3"/>
  <c r="K20" i="3"/>
  <c r="L22" i="3"/>
  <c r="L20" i="3"/>
  <c r="M22" i="3"/>
  <c r="M20" i="3"/>
  <c r="N22" i="3"/>
  <c r="N20" i="3"/>
  <c r="C22" i="3"/>
  <c r="C20" i="3"/>
  <c r="E20" i="3"/>
  <c r="E22" i="3"/>
  <c r="L21" i="4"/>
  <c r="N21" i="4"/>
  <c r="M21" i="4"/>
  <c r="H21" i="4"/>
  <c r="I21" i="4"/>
  <c r="K21" i="4"/>
  <c r="J21" i="4"/>
  <c r="G21" i="4"/>
  <c r="H22" i="4"/>
  <c r="H20" i="4"/>
  <c r="I22" i="4"/>
  <c r="I20" i="4"/>
  <c r="L22" i="4"/>
  <c r="L20" i="4"/>
  <c r="J22" i="4"/>
  <c r="J20" i="4"/>
  <c r="N20" i="4"/>
  <c r="N22" i="4"/>
  <c r="K20" i="4"/>
  <c r="K22" i="4"/>
  <c r="M20" i="4"/>
  <c r="M22" i="4"/>
  <c r="G22" i="4"/>
  <c r="G20" i="4"/>
  <c r="F21" i="4"/>
  <c r="F20" i="4"/>
  <c r="F22" i="4"/>
  <c r="J10" i="4"/>
  <c r="J9" i="4"/>
  <c r="K9" i="4"/>
  <c r="K10" i="4"/>
  <c r="N10" i="4"/>
  <c r="N9" i="4"/>
  <c r="M9" i="4"/>
  <c r="M10" i="4"/>
  <c r="F10" i="4"/>
  <c r="F9" i="4"/>
  <c r="L10" i="4"/>
  <c r="L9" i="4"/>
  <c r="G10" i="4"/>
  <c r="G9" i="4"/>
  <c r="H10" i="4"/>
  <c r="H9" i="4"/>
  <c r="I9" i="4"/>
  <c r="I10" i="4"/>
  <c r="L10" i="3"/>
  <c r="K10" i="3"/>
  <c r="E10" i="3"/>
  <c r="D10" i="3"/>
  <c r="F10" i="3"/>
  <c r="J10" i="3"/>
  <c r="N10" i="3"/>
  <c r="G10" i="3"/>
  <c r="I10" i="3"/>
  <c r="M10" i="3"/>
  <c r="C10" i="3"/>
  <c r="H10" i="3"/>
  <c r="H9" i="5"/>
  <c r="H10" i="5"/>
  <c r="I9" i="5"/>
  <c r="I10" i="5"/>
  <c r="G9" i="5"/>
  <c r="G10" i="5"/>
  <c r="J10" i="5"/>
  <c r="J9" i="5"/>
  <c r="L9" i="5"/>
  <c r="L10" i="5"/>
  <c r="M9" i="5"/>
  <c r="M10" i="5"/>
  <c r="K9" i="5"/>
  <c r="K10" i="5"/>
  <c r="N9" i="5"/>
  <c r="N10" i="5"/>
  <c r="C10" i="5"/>
  <c r="C9" i="5"/>
  <c r="D10" i="5"/>
  <c r="D9" i="5"/>
  <c r="E9" i="5"/>
  <c r="E10" i="5"/>
  <c r="F9" i="5"/>
  <c r="F10" i="5"/>
  <c r="S16" i="5"/>
  <c r="S27" i="5"/>
  <c r="E7" i="4"/>
  <c r="S17" i="5"/>
  <c r="D7" i="4"/>
  <c r="O8" i="5"/>
  <c r="O22" i="5"/>
  <c r="O18" i="5"/>
  <c r="O21" i="5"/>
  <c r="P5" i="5"/>
  <c r="S18" i="3"/>
  <c r="S19" i="3"/>
  <c r="O21" i="3"/>
  <c r="S16" i="1"/>
  <c r="C6" i="4"/>
  <c r="S6" i="4"/>
  <c r="O20" i="5"/>
  <c r="O19" i="3"/>
  <c r="O20" i="3"/>
  <c r="O22" i="3"/>
  <c r="S5" i="4"/>
  <c r="M24" i="1"/>
  <c r="L24" i="1"/>
  <c r="J24" i="1"/>
  <c r="K24" i="1"/>
  <c r="N24" i="1"/>
  <c r="L23" i="1"/>
  <c r="L25" i="1"/>
  <c r="J23" i="1"/>
  <c r="J25" i="1"/>
  <c r="M25" i="1"/>
  <c r="M23" i="1"/>
  <c r="K23" i="1"/>
  <c r="K25" i="1"/>
  <c r="N23" i="1"/>
  <c r="N25" i="1"/>
  <c r="F24" i="1"/>
  <c r="C24" i="1"/>
  <c r="H24" i="1"/>
  <c r="D24" i="1"/>
  <c r="E24" i="1"/>
  <c r="I24" i="1"/>
  <c r="C15" i="4"/>
  <c r="S15" i="4"/>
  <c r="G24" i="1"/>
  <c r="I25" i="1"/>
  <c r="I23" i="1"/>
  <c r="G25" i="1"/>
  <c r="G23" i="1"/>
  <c r="F25" i="1"/>
  <c r="F23" i="1"/>
  <c r="E23" i="1"/>
  <c r="E25" i="1"/>
  <c r="D23" i="1"/>
  <c r="D25" i="1"/>
  <c r="W17" i="4"/>
  <c r="C23" i="1"/>
  <c r="C25" i="1"/>
  <c r="H25" i="1"/>
  <c r="H23" i="1"/>
  <c r="E11" i="1"/>
  <c r="E10" i="1"/>
  <c r="C11" i="1"/>
  <c r="C10" i="1"/>
  <c r="F11" i="1"/>
  <c r="F10" i="1"/>
  <c r="K10" i="1"/>
  <c r="K11" i="1"/>
  <c r="D10" i="1"/>
  <c r="D11" i="1"/>
  <c r="L11" i="1"/>
  <c r="L10" i="1"/>
  <c r="J11" i="1"/>
  <c r="J10" i="1"/>
  <c r="G11" i="1"/>
  <c r="G10" i="1"/>
  <c r="I11" i="1"/>
  <c r="I10" i="1"/>
  <c r="N11" i="1"/>
  <c r="N10" i="1"/>
  <c r="M11" i="1"/>
  <c r="M10" i="1"/>
  <c r="H11" i="1"/>
  <c r="H10" i="1"/>
  <c r="D8" i="4"/>
  <c r="D9" i="4"/>
  <c r="O10" i="3"/>
  <c r="W16" i="4"/>
  <c r="O9" i="5"/>
  <c r="O10" i="5"/>
  <c r="S18" i="5"/>
  <c r="S19" i="5"/>
  <c r="E8" i="4"/>
  <c r="C17" i="4"/>
  <c r="S17" i="4"/>
  <c r="S11" i="3"/>
  <c r="S36" i="1"/>
  <c r="W27" i="4"/>
  <c r="C7" i="4"/>
  <c r="S7" i="4"/>
  <c r="T22" i="5"/>
  <c r="U23" i="5"/>
  <c r="S12" i="5"/>
  <c r="S11" i="5"/>
  <c r="D22" i="4"/>
  <c r="D20" i="4"/>
  <c r="W18" i="4"/>
  <c r="W19" i="4"/>
  <c r="D21" i="4"/>
  <c r="E21" i="4"/>
  <c r="E22" i="4"/>
  <c r="E20" i="4"/>
  <c r="O24" i="1"/>
  <c r="U9" i="1"/>
  <c r="V8" i="1"/>
  <c r="O10" i="1"/>
  <c r="O25" i="1"/>
  <c r="O23" i="1"/>
  <c r="E9" i="4"/>
  <c r="C8" i="4"/>
  <c r="C20" i="4"/>
  <c r="O11" i="1"/>
  <c r="D10" i="4"/>
  <c r="E10" i="4"/>
  <c r="S18" i="4"/>
  <c r="S21" i="4"/>
  <c r="S18" i="1"/>
  <c r="S19" i="1"/>
  <c r="S11" i="1"/>
  <c r="S12" i="1"/>
  <c r="C10" i="4"/>
  <c r="C21" i="4"/>
  <c r="C22" i="4"/>
  <c r="S20" i="4"/>
  <c r="C9" i="4"/>
  <c r="S11" i="4"/>
  <c r="T5" i="4"/>
  <c r="U32" i="1"/>
  <c r="S8" i="4"/>
  <c r="S22" i="4"/>
  <c r="U9" i="3"/>
  <c r="U8" i="3"/>
  <c r="S19" i="4"/>
  <c r="Y23" i="4"/>
  <c r="W8" i="3"/>
  <c r="W11" i="4"/>
  <c r="W12" i="4"/>
  <c r="U7" i="3"/>
  <c r="V7" i="1"/>
  <c r="S10" i="4"/>
  <c r="S9" i="4"/>
  <c r="Y7" i="4"/>
  <c r="U9" i="5"/>
  <c r="V8" i="5"/>
  <c r="S7" i="5"/>
  <c r="U7" i="5"/>
  <c r="S7" i="16"/>
  <c r="U7" i="16"/>
  <c r="W7" i="3"/>
  <c r="V7" i="5"/>
  <c r="V7" i="16"/>
  <c r="S7" i="39"/>
  <c r="U7" i="39"/>
  <c r="U9" i="16"/>
  <c r="V8" i="16"/>
  <c r="V7" i="39"/>
  <c r="S7" i="40"/>
  <c r="U7" i="40"/>
  <c r="U9" i="39"/>
  <c r="V8" i="39"/>
  <c r="V7" i="40"/>
  <c r="S7" i="41"/>
  <c r="U7" i="41"/>
  <c r="U9" i="40"/>
  <c r="V8" i="40"/>
  <c r="V7" i="41"/>
  <c r="S7" i="42"/>
  <c r="U7" i="42"/>
  <c r="U9" i="42"/>
  <c r="V8" i="42"/>
  <c r="U9" i="41"/>
  <c r="V8" i="41"/>
  <c r="U9" i="43"/>
  <c r="V8" i="43"/>
  <c r="V7" i="42"/>
  <c r="S7" i="43"/>
  <c r="U7" i="43"/>
  <c r="U9" i="44"/>
  <c r="V8" i="44"/>
  <c r="V7" i="43"/>
  <c r="S7" i="44"/>
  <c r="U7" i="44"/>
  <c r="U9" i="45"/>
  <c r="V8" i="45"/>
  <c r="V7" i="44"/>
  <c r="S7" i="45"/>
  <c r="U7" i="45"/>
  <c r="U9" i="46"/>
  <c r="V8" i="46"/>
  <c r="V7" i="45"/>
  <c r="S7" i="46"/>
  <c r="U7" i="46"/>
  <c r="U9" i="47"/>
  <c r="V8" i="47"/>
  <c r="V7" i="46"/>
  <c r="S7" i="47"/>
  <c r="U7" i="47"/>
  <c r="U9" i="48"/>
  <c r="V8" i="48"/>
  <c r="U9" i="49"/>
  <c r="V7" i="47"/>
  <c r="S7" i="48"/>
  <c r="U7" i="48"/>
  <c r="V8" i="49"/>
  <c r="V7" i="48"/>
  <c r="S7" i="49"/>
  <c r="U7" i="49"/>
  <c r="U9" i="50"/>
  <c r="V8" i="50"/>
  <c r="V7" i="49"/>
  <c r="S7" i="50"/>
  <c r="U7" i="50"/>
  <c r="V7" i="50"/>
</calcChain>
</file>

<file path=xl/comments1.xml><?xml version="1.0" encoding="utf-8"?>
<comments xmlns="http://schemas.openxmlformats.org/spreadsheetml/2006/main">
  <authors>
    <author>Steffen Bächle</author>
  </authors>
  <commentList>
    <comment ref="U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23" authorId="0">
      <text>
        <r>
          <rPr>
            <sz val="9"/>
            <color indexed="81"/>
            <rFont val="Segoe UI"/>
            <family val="2"/>
          </rPr>
          <t>KWH</t>
        </r>
      </text>
    </comment>
    <comment ref="B45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10.xml><?xml version="1.0" encoding="utf-8"?>
<comments xmlns="http://schemas.openxmlformats.org/spreadsheetml/2006/main">
  <authors>
    <author>Steffen Bächle</author>
  </authors>
  <commentList>
    <comment ref="U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20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11.xml><?xml version="1.0" encoding="utf-8"?>
<comments xmlns="http://schemas.openxmlformats.org/spreadsheetml/2006/main">
  <authors>
    <author>Steffen Bächle</author>
  </authors>
  <commentList>
    <comment ref="U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20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12.xml><?xml version="1.0" encoding="utf-8"?>
<comments xmlns="http://schemas.openxmlformats.org/spreadsheetml/2006/main">
  <authors>
    <author>Steffen Bächle</author>
  </authors>
  <commentList>
    <comment ref="U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20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13.xml><?xml version="1.0" encoding="utf-8"?>
<comments xmlns="http://schemas.openxmlformats.org/spreadsheetml/2006/main">
  <authors>
    <author>Steffen Bächle</author>
  </authors>
  <commentList>
    <comment ref="U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20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14.xml><?xml version="1.0" encoding="utf-8"?>
<comments xmlns="http://schemas.openxmlformats.org/spreadsheetml/2006/main">
  <authors>
    <author>Steffen Bächle</author>
  </authors>
  <commentList>
    <comment ref="U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20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15.xml><?xml version="1.0" encoding="utf-8"?>
<comments xmlns="http://schemas.openxmlformats.org/spreadsheetml/2006/main">
  <authors>
    <author>Steffen Bächle</author>
  </authors>
  <commentList>
    <comment ref="U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20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16.xml><?xml version="1.0" encoding="utf-8"?>
<comments xmlns="http://schemas.openxmlformats.org/spreadsheetml/2006/main">
  <authors>
    <author>Steffen Bächle</author>
  </authors>
  <commentList>
    <comment ref="U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20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17.xml><?xml version="1.0" encoding="utf-8"?>
<comments xmlns="http://schemas.openxmlformats.org/spreadsheetml/2006/main">
  <authors>
    <author>Steffen Bächle</author>
  </authors>
  <commentList>
    <comment ref="Y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20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2.xml><?xml version="1.0" encoding="utf-8"?>
<comments xmlns="http://schemas.openxmlformats.org/spreadsheetml/2006/main">
  <authors>
    <author>Steffen Bächle</author>
  </authors>
  <commentList>
    <comment ref="T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20" authorId="0">
      <text>
        <r>
          <rPr>
            <sz val="9"/>
            <color indexed="81"/>
            <rFont val="Segoe UI"/>
            <family val="2"/>
          </rPr>
          <t>KWH</t>
        </r>
      </text>
    </comment>
    <comment ref="B31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3.xml><?xml version="1.0" encoding="utf-8"?>
<comments xmlns="http://schemas.openxmlformats.org/spreadsheetml/2006/main">
  <authors>
    <author>Steffen Bächle</author>
  </authors>
  <commentList>
    <comment ref="U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20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4.xml><?xml version="1.0" encoding="utf-8"?>
<comments xmlns="http://schemas.openxmlformats.org/spreadsheetml/2006/main">
  <authors>
    <author>Steffen Bächle</author>
  </authors>
  <commentList>
    <comment ref="U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20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5.xml><?xml version="1.0" encoding="utf-8"?>
<comments xmlns="http://schemas.openxmlformats.org/spreadsheetml/2006/main">
  <authors>
    <author>Steffen Bächle</author>
  </authors>
  <commentList>
    <comment ref="U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20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6.xml><?xml version="1.0" encoding="utf-8"?>
<comments xmlns="http://schemas.openxmlformats.org/spreadsheetml/2006/main">
  <authors>
    <author>Steffen Bächle</author>
  </authors>
  <commentList>
    <comment ref="U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20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7.xml><?xml version="1.0" encoding="utf-8"?>
<comments xmlns="http://schemas.openxmlformats.org/spreadsheetml/2006/main">
  <authors>
    <author>Steffen Bächle</author>
  </authors>
  <commentList>
    <comment ref="U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20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8.xml><?xml version="1.0" encoding="utf-8"?>
<comments xmlns="http://schemas.openxmlformats.org/spreadsheetml/2006/main">
  <authors>
    <author>Steffen Bächle</author>
  </authors>
  <commentList>
    <comment ref="U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20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9.xml><?xml version="1.0" encoding="utf-8"?>
<comments xmlns="http://schemas.openxmlformats.org/spreadsheetml/2006/main">
  <authors>
    <author>Steffen Bächle</author>
  </authors>
  <commentList>
    <comment ref="U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20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sharedStrings.xml><?xml version="1.0" encoding="utf-8"?>
<sst xmlns="http://schemas.openxmlformats.org/spreadsheetml/2006/main" count="1684" uniqueCount="155">
  <si>
    <t>Autarkie</t>
  </si>
  <si>
    <t>Eigenverbrauchsquote</t>
  </si>
  <si>
    <t xml:space="preserve">Januar </t>
  </si>
  <si>
    <t>Februar</t>
  </si>
  <si>
    <t>März</t>
  </si>
  <si>
    <t>April</t>
  </si>
  <si>
    <t>Mai</t>
  </si>
  <si>
    <t>Juni</t>
  </si>
  <si>
    <t>Juli</t>
  </si>
  <si>
    <t>August</t>
  </si>
  <si>
    <t>Oktober</t>
  </si>
  <si>
    <t>Gesamt</t>
  </si>
  <si>
    <t xml:space="preserve">Gesamt </t>
  </si>
  <si>
    <t>Direkt</t>
  </si>
  <si>
    <t>Entladen</t>
  </si>
  <si>
    <t>Aufladen</t>
  </si>
  <si>
    <t>Gekauft</t>
  </si>
  <si>
    <t>Eingespeist</t>
  </si>
  <si>
    <t>Speicher entladen</t>
  </si>
  <si>
    <t>Speicher geladen</t>
  </si>
  <si>
    <t>Speichereffektivität</t>
  </si>
  <si>
    <t>Speicherverlust</t>
  </si>
  <si>
    <t>Durch Direktverbrauch</t>
  </si>
  <si>
    <t>Stromkauf</t>
  </si>
  <si>
    <t>Einspeisevergütung</t>
  </si>
  <si>
    <t>Dez.</t>
  </si>
  <si>
    <t xml:space="preserve">Novemb. </t>
  </si>
  <si>
    <t xml:space="preserve">Sept. </t>
  </si>
  <si>
    <t>Strompreis und Einspeisevergütung</t>
  </si>
  <si>
    <t>Investition</t>
  </si>
  <si>
    <t>Kennzahlen</t>
  </si>
  <si>
    <t>Details zum Speicher</t>
  </si>
  <si>
    <t>Finanzielle Erträge</t>
  </si>
  <si>
    <t>Stromkosten</t>
  </si>
  <si>
    <t xml:space="preserve">Davon Speicher </t>
  </si>
  <si>
    <t xml:space="preserve">Offene Invesitionssumme </t>
  </si>
  <si>
    <t>Investition fürs Folgejahr</t>
  </si>
  <si>
    <r>
      <t xml:space="preserve">Verbrauch </t>
    </r>
    <r>
      <rPr>
        <b/>
        <sz val="11"/>
        <color theme="1"/>
        <rFont val="Calibri"/>
        <family val="2"/>
        <scheme val="minor"/>
      </rPr>
      <t>(KWH)</t>
    </r>
  </si>
  <si>
    <r>
      <t xml:space="preserve">Erzeugung </t>
    </r>
    <r>
      <rPr>
        <b/>
        <sz val="12"/>
        <color theme="1"/>
        <rFont val="Calibri"/>
        <family val="2"/>
        <scheme val="minor"/>
      </rPr>
      <t>(KWH)</t>
    </r>
  </si>
  <si>
    <t>Investition abzüglich Erträge</t>
  </si>
  <si>
    <t>Autrarkie</t>
  </si>
  <si>
    <t xml:space="preserve">Eigenverbr. </t>
  </si>
  <si>
    <t>Erträge</t>
  </si>
  <si>
    <t>Anteil an Gesamtinvest.</t>
  </si>
  <si>
    <t>KWH/KWP</t>
  </si>
  <si>
    <t>Anzahl KWP auf dem Dach</t>
  </si>
  <si>
    <t>Speicher/Tag</t>
  </si>
  <si>
    <t>eingespeist</t>
  </si>
  <si>
    <t>Radio GaGag</t>
  </si>
  <si>
    <t xml:space="preserve">33 Grad Dachneigung </t>
  </si>
  <si>
    <t>42,6 KWH / KWP</t>
  </si>
  <si>
    <t xml:space="preserve">Speicherverl. </t>
  </si>
  <si>
    <t>Jahre bis Amortisation</t>
  </si>
  <si>
    <t>Weitere Jahre Amortisation</t>
  </si>
  <si>
    <t>Durch Entladung</t>
  </si>
  <si>
    <t>Durchschnittl. Strompreis 2020</t>
  </si>
  <si>
    <t>Durchschnittl. Strompreis 2021</t>
  </si>
  <si>
    <t>Durchschnittl. Strompreis 2022</t>
  </si>
  <si>
    <t>Durchschnittl. Strompreis 2023</t>
  </si>
  <si>
    <t>Durchschnittl. Strompreis</t>
  </si>
  <si>
    <t>change ideas</t>
  </si>
  <si>
    <t>grundgebühr des Stromanbieters</t>
  </si>
  <si>
    <t>Verbraucher</t>
  </si>
  <si>
    <t>Fernseh WZ</t>
  </si>
  <si>
    <t>Kühl/Gefrier</t>
  </si>
  <si>
    <t xml:space="preserve">Gesamtverbr. </t>
  </si>
  <si>
    <t>2 Computer WZ</t>
  </si>
  <si>
    <t>Büro Ofen</t>
  </si>
  <si>
    <t xml:space="preserve">Büro </t>
  </si>
  <si>
    <t>Waschküche</t>
  </si>
  <si>
    <t>Rest</t>
  </si>
  <si>
    <t>Tesla</t>
  </si>
  <si>
    <t>Outlander</t>
  </si>
  <si>
    <t>Durchschnittl. Strompreis 2035</t>
  </si>
  <si>
    <t>Durchschnittl. Strompreis 2034</t>
  </si>
  <si>
    <t>Durchschnittl. Strompreis 2033</t>
  </si>
  <si>
    <t>Durchschnittl. Strompreis 2032</t>
  </si>
  <si>
    <t>Durchschnittl. Strompreis 2031</t>
  </si>
  <si>
    <t>Durchschnittl. Strompreis 2030</t>
  </si>
  <si>
    <t>Durchschnittl. Strompreis 2029</t>
  </si>
  <si>
    <t>Durchschnittl. Strompreis 2028</t>
  </si>
  <si>
    <t>Durchschnittl. Strompreis 2027</t>
  </si>
  <si>
    <t>Durchschnittl. Strompreis 2026</t>
  </si>
  <si>
    <t>Durchschnittl. Strompreis 2025</t>
  </si>
  <si>
    <t>Durchschnittl. Strompreis 2024</t>
  </si>
  <si>
    <t xml:space="preserve"> </t>
  </si>
  <si>
    <t>Leistung Freianlage</t>
  </si>
  <si>
    <t>Ladeinrichtung 5 MW</t>
  </si>
  <si>
    <t>Ladequote</t>
  </si>
  <si>
    <t>Verkauf an Ladenstelle</t>
  </si>
  <si>
    <t>Beleuchtung</t>
  </si>
  <si>
    <t>Infrarot Überw</t>
  </si>
  <si>
    <t>Computer 2 x</t>
  </si>
  <si>
    <t>Büroraum</t>
  </si>
  <si>
    <t>Technik 1-15</t>
  </si>
  <si>
    <t>Tech-Licht</t>
  </si>
  <si>
    <t>Bewegungsm</t>
  </si>
  <si>
    <t>Internet</t>
  </si>
  <si>
    <t>Jahr</t>
  </si>
  <si>
    <t>Nachtspeisung</t>
  </si>
  <si>
    <t>Bereichnet auf Kw/h</t>
  </si>
  <si>
    <r>
      <t xml:space="preserve">Ladung der Batterie (Speicher) </t>
    </r>
    <r>
      <rPr>
        <b/>
        <sz val="11"/>
        <color theme="1"/>
        <rFont val="Calibri"/>
        <family val="2"/>
        <scheme val="minor"/>
      </rPr>
      <t>(KWH)</t>
    </r>
  </si>
  <si>
    <t>Kapazität</t>
  </si>
  <si>
    <t>Ladung</t>
  </si>
  <si>
    <t>Überschuss</t>
  </si>
  <si>
    <t>Monatsproduktion</t>
  </si>
  <si>
    <r>
      <t xml:space="preserve">Batterie 500 KW Ladeanlage (Carport) Erzeugung </t>
    </r>
    <r>
      <rPr>
        <b/>
        <sz val="12"/>
        <color theme="1"/>
        <rFont val="Calibri"/>
        <family val="2"/>
        <scheme val="minor"/>
      </rPr>
      <t>(KWH)</t>
    </r>
  </si>
  <si>
    <t>Aufladung Batterie</t>
  </si>
  <si>
    <t xml:space="preserve">Effizienz wurde auf </t>
  </si>
  <si>
    <t>0,21 berechnet</t>
  </si>
  <si>
    <t>Monat</t>
  </si>
  <si>
    <t>Nachtstunden</t>
  </si>
  <si>
    <t>Tage</t>
  </si>
  <si>
    <t>Anzahl Nächte</t>
  </si>
  <si>
    <t>Anzahl Tage</t>
  </si>
  <si>
    <t>Leistungsabgabe</t>
  </si>
  <si>
    <t>Abgabe Leistung Kw/h</t>
  </si>
  <si>
    <t>Brutto Leistungsberechnung nach Betriebszeit (Nachtspeisung)</t>
  </si>
  <si>
    <r>
      <t xml:space="preserve">Speicher </t>
    </r>
    <r>
      <rPr>
        <b/>
        <sz val="11"/>
        <color theme="1"/>
        <rFont val="Calibri"/>
        <family val="2"/>
        <scheme val="minor"/>
      </rPr>
      <t>(KWH) Batteriekapizät mindestens 20 MW pro Monat an Vertrag</t>
    </r>
  </si>
  <si>
    <t>Einspeisung</t>
  </si>
  <si>
    <t>Differenz</t>
  </si>
  <si>
    <t>Speicherkapazität</t>
  </si>
  <si>
    <t>Nachteinspeisung</t>
  </si>
  <si>
    <t>Anlagenleistung</t>
  </si>
  <si>
    <t>Tagesbetrieb</t>
  </si>
  <si>
    <t>Gesamtbetriebszeit</t>
  </si>
  <si>
    <t>Produktion</t>
  </si>
  <si>
    <t>Stunden</t>
  </si>
  <si>
    <t>Produktion Tag</t>
  </si>
  <si>
    <t>Leistung</t>
  </si>
  <si>
    <r>
      <t xml:space="preserve">Erzeugung 10 MW Bloch </t>
    </r>
    <r>
      <rPr>
        <b/>
        <sz val="12"/>
        <color theme="1"/>
        <rFont val="Calibri"/>
        <family val="2"/>
        <scheme val="minor"/>
      </rPr>
      <t>(ca. 7.500 KWH) Solaranlage</t>
    </r>
  </si>
  <si>
    <t>Solaranlage 10 MW Block</t>
  </si>
  <si>
    <t>Batteriebetrieb</t>
  </si>
  <si>
    <t xml:space="preserve">500 KW Anlage </t>
  </si>
  <si>
    <t>Nur für die Batterie</t>
  </si>
  <si>
    <t>Anlagenleistung in Kw/h</t>
  </si>
  <si>
    <t>Ladungleistung</t>
  </si>
  <si>
    <r>
      <t xml:space="preserve">Batterie  Ladeanlage 2.500 KW /P (Carport) Erzeugung </t>
    </r>
    <r>
      <rPr>
        <b/>
        <sz val="12"/>
        <color theme="1"/>
        <rFont val="Calibri"/>
        <family val="2"/>
        <scheme val="minor"/>
      </rPr>
      <t>(KWH)</t>
    </r>
  </si>
  <si>
    <t>Realtime pro Stunde</t>
  </si>
  <si>
    <t>Realtime am Nächsten Tag</t>
  </si>
  <si>
    <t>Erfassung Betriebszeit</t>
  </si>
  <si>
    <t>Berechnung der Efizienz</t>
  </si>
  <si>
    <t>Effizienz</t>
  </si>
  <si>
    <t>In Kw/h</t>
  </si>
  <si>
    <t>10 MW/p Block</t>
  </si>
  <si>
    <t>1 MW/p Block</t>
  </si>
  <si>
    <t>Lst Peak/Kw</t>
  </si>
  <si>
    <t>Carport Anlage / Batterie System</t>
  </si>
  <si>
    <t xml:space="preserve">Carport Ladesystem </t>
  </si>
  <si>
    <t xml:space="preserve">Jahresertrag Ertrag Übersicht </t>
  </si>
  <si>
    <t>Gesamleistung</t>
  </si>
  <si>
    <t>2100 Kw/h</t>
  </si>
  <si>
    <t>50000 Kw/h</t>
  </si>
  <si>
    <t>105 Kw/h</t>
  </si>
  <si>
    <t>Anlageneffizienz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</si>
</sst>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#,##0.00\ &quot;€&quot;"/>
    <numFmt numFmtId="165" formatCode="#,##0.0000\ &quot;€&quot;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color indexed="81"/>
      <name val="Segoe UI"/>
      <charset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 (Textkörper)"/>
    </font>
    <font>
      <sz val="11"/>
      <color rgb="FF000000"/>
      <name val="Calibri"/>
      <family val="2"/>
      <scheme val="minor"/>
    </font>
    <font>
      <sz val="9"/>
      <color theme="1"/>
      <name val="Calibri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9"/>
      <color rgb="FF000000"/>
      <name val="Calibri"/>
      <scheme val="minor"/>
    </font>
    <font>
      <sz val="10"/>
      <color rgb="FF000000"/>
      <name val="Calibri"/>
      <scheme val="minor"/>
    </font>
    <font>
      <b/>
      <sz val="16"/>
      <color theme="1"/>
      <name val="Calibri"/>
      <scheme val="minor"/>
    </font>
    <font>
      <sz val="8"/>
      <name val="Calibri"/>
      <family val="2"/>
      <scheme val="minor"/>
    </font>
    <font>
      <b/>
      <sz val="9"/>
      <color theme="1"/>
      <name val="Calibri"/>
      <scheme val="minor"/>
    </font>
    <font>
      <b/>
      <sz val="9"/>
      <color rgb="FF000000"/>
      <name val="Calibri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882DC"/>
        <bgColor indexed="64"/>
      </patternFill>
    </fill>
    <fill>
      <patternFill patternType="solid">
        <fgColor rgb="FF6BF3F3"/>
        <bgColor indexed="64"/>
      </patternFill>
    </fill>
    <fill>
      <patternFill patternType="solid">
        <fgColor rgb="FFF06E6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48"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07">
    <xf numFmtId="0" fontId="0" fillId="0" borderId="0" xfId="0"/>
    <xf numFmtId="0" fontId="0" fillId="4" borderId="0" xfId="0" applyFill="1"/>
    <xf numFmtId="0" fontId="0" fillId="5" borderId="0" xfId="0" applyFill="1"/>
    <xf numFmtId="0" fontId="0" fillId="11" borderId="0" xfId="0" applyFill="1"/>
    <xf numFmtId="0" fontId="0" fillId="12" borderId="0" xfId="0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13" borderId="4" xfId="0" applyFill="1" applyBorder="1"/>
    <xf numFmtId="0" fontId="0" fillId="0" borderId="4" xfId="0" applyBorder="1"/>
    <xf numFmtId="0" fontId="0" fillId="10" borderId="4" xfId="0" applyFill="1" applyBorder="1"/>
    <xf numFmtId="2" fontId="0" fillId="0" borderId="0" xfId="0" applyNumberFormat="1"/>
    <xf numFmtId="0" fontId="0" fillId="5" borderId="0" xfId="0" applyFill="1" applyBorder="1" applyAlignment="1">
      <alignment horizontal="center" vertical="center"/>
    </xf>
    <xf numFmtId="10" fontId="0" fillId="0" borderId="0" xfId="0" applyNumberFormat="1"/>
    <xf numFmtId="0" fontId="0" fillId="7" borderId="12" xfId="0" applyFill="1" applyBorder="1"/>
    <xf numFmtId="164" fontId="0" fillId="7" borderId="13" xfId="0" applyNumberFormat="1" applyFill="1" applyBorder="1"/>
    <xf numFmtId="0" fontId="0" fillId="7" borderId="14" xfId="0" applyFill="1" applyBorder="1"/>
    <xf numFmtId="0" fontId="0" fillId="4" borderId="12" xfId="0" applyFill="1" applyBorder="1"/>
    <xf numFmtId="0" fontId="0" fillId="4" borderId="14" xfId="0" applyFill="1" applyBorder="1"/>
    <xf numFmtId="0" fontId="0" fillId="8" borderId="12" xfId="0" applyFill="1" applyBorder="1"/>
    <xf numFmtId="10" fontId="0" fillId="8" borderId="13" xfId="0" applyNumberFormat="1" applyFill="1" applyBorder="1"/>
    <xf numFmtId="0" fontId="0" fillId="8" borderId="14" xfId="0" applyFill="1" applyBorder="1"/>
    <xf numFmtId="10" fontId="0" fillId="8" borderId="15" xfId="0" applyNumberFormat="1" applyFill="1" applyBorder="1"/>
    <xf numFmtId="0" fontId="0" fillId="17" borderId="12" xfId="0" applyFill="1" applyBorder="1"/>
    <xf numFmtId="2" fontId="0" fillId="17" borderId="13" xfId="0" applyNumberFormat="1" applyFill="1" applyBorder="1"/>
    <xf numFmtId="0" fontId="0" fillId="17" borderId="14" xfId="0" applyFill="1" applyBorder="1"/>
    <xf numFmtId="2" fontId="0" fillId="17" borderId="15" xfId="0" applyNumberFormat="1" applyFill="1" applyBorder="1"/>
    <xf numFmtId="0" fontId="0" fillId="14" borderId="12" xfId="0" applyFill="1" applyBorder="1"/>
    <xf numFmtId="164" fontId="0" fillId="14" borderId="13" xfId="0" applyNumberFormat="1" applyFill="1" applyBorder="1"/>
    <xf numFmtId="0" fontId="0" fillId="14" borderId="14" xfId="0" applyFill="1" applyBorder="1"/>
    <xf numFmtId="164" fontId="0" fillId="14" borderId="15" xfId="0" applyNumberFormat="1" applyFill="1" applyBorder="1"/>
    <xf numFmtId="0" fontId="0" fillId="19" borderId="14" xfId="0" applyFill="1" applyBorder="1"/>
    <xf numFmtId="164" fontId="0" fillId="19" borderId="15" xfId="0" applyNumberFormat="1" applyFill="1" applyBorder="1"/>
    <xf numFmtId="0" fontId="1" fillId="2" borderId="16" xfId="0" applyFont="1" applyFill="1" applyBorder="1"/>
    <xf numFmtId="0" fontId="1" fillId="2" borderId="17" xfId="0" applyFont="1" applyFill="1" applyBorder="1"/>
    <xf numFmtId="0" fontId="1" fillId="2" borderId="18" xfId="0" applyFont="1" applyFill="1" applyBorder="1"/>
    <xf numFmtId="165" fontId="0" fillId="7" borderId="15" xfId="0" applyNumberFormat="1" applyFill="1" applyBorder="1"/>
    <xf numFmtId="0" fontId="0" fillId="0" borderId="0" xfId="0"/>
    <xf numFmtId="164" fontId="0" fillId="0" borderId="0" xfId="0" applyNumberFormat="1"/>
    <xf numFmtId="10" fontId="1" fillId="14" borderId="6" xfId="0" applyNumberFormat="1" applyFont="1" applyFill="1" applyBorder="1" applyAlignment="1">
      <alignment horizontal="center" vertical="center"/>
    </xf>
    <xf numFmtId="10" fontId="0" fillId="20" borderId="24" xfId="0" applyNumberFormat="1" applyFill="1" applyBorder="1"/>
    <xf numFmtId="0" fontId="1" fillId="20" borderId="25" xfId="0" applyFont="1" applyFill="1" applyBorder="1"/>
    <xf numFmtId="10" fontId="0" fillId="20" borderId="26" xfId="0" applyNumberFormat="1" applyFill="1" applyBorder="1"/>
    <xf numFmtId="0" fontId="1" fillId="20" borderId="28" xfId="0" applyFont="1" applyFill="1" applyBorder="1"/>
    <xf numFmtId="0" fontId="1" fillId="20" borderId="30" xfId="0" applyFont="1" applyFill="1" applyBorder="1"/>
    <xf numFmtId="164" fontId="0" fillId="20" borderId="31" xfId="0" applyNumberFormat="1" applyFill="1" applyBorder="1"/>
    <xf numFmtId="10" fontId="1" fillId="20" borderId="27" xfId="0" applyNumberFormat="1" applyFont="1" applyFill="1" applyBorder="1"/>
    <xf numFmtId="10" fontId="1" fillId="20" borderId="29" xfId="0" applyNumberFormat="1" applyFont="1" applyFill="1" applyBorder="1"/>
    <xf numFmtId="164" fontId="1" fillId="20" borderId="32" xfId="0" applyNumberFormat="1" applyFont="1" applyFill="1" applyBorder="1"/>
    <xf numFmtId="0" fontId="0" fillId="7" borderId="13" xfId="0" applyNumberFormat="1" applyFill="1" applyBorder="1"/>
    <xf numFmtId="2" fontId="0" fillId="20" borderId="26" xfId="0" applyNumberFormat="1" applyFill="1" applyBorder="1"/>
    <xf numFmtId="2" fontId="0" fillId="20" borderId="24" xfId="0" applyNumberFormat="1" applyFill="1" applyBorder="1"/>
    <xf numFmtId="2" fontId="1" fillId="20" borderId="29" xfId="0" applyNumberFormat="1" applyFont="1" applyFill="1" applyBorder="1"/>
    <xf numFmtId="2" fontId="1" fillId="20" borderId="27" xfId="0" applyNumberFormat="1" applyFont="1" applyFill="1" applyBorder="1"/>
    <xf numFmtId="0" fontId="1" fillId="2" borderId="33" xfId="0" applyFont="1" applyFill="1" applyBorder="1"/>
    <xf numFmtId="0" fontId="1" fillId="3" borderId="19" xfId="0" applyFont="1" applyFill="1" applyBorder="1" applyAlignment="1"/>
    <xf numFmtId="0" fontId="1" fillId="3" borderId="20" xfId="0" applyFont="1" applyFill="1" applyBorder="1" applyAlignment="1"/>
    <xf numFmtId="164" fontId="0" fillId="4" borderId="21" xfId="0" applyNumberFormat="1" applyFill="1" applyBorder="1"/>
    <xf numFmtId="164" fontId="0" fillId="4" borderId="22" xfId="0" applyNumberFormat="1" applyFill="1" applyBorder="1"/>
    <xf numFmtId="0" fontId="4" fillId="0" borderId="0" xfId="0" applyFont="1"/>
    <xf numFmtId="2" fontId="0" fillId="4" borderId="34" xfId="0" applyNumberFormat="1" applyFill="1" applyBorder="1" applyAlignment="1">
      <alignment horizontal="right"/>
    </xf>
    <xf numFmtId="2" fontId="0" fillId="4" borderId="23" xfId="0" applyNumberFormat="1" applyFill="1" applyBorder="1" applyAlignment="1">
      <alignment horizontal="right"/>
    </xf>
    <xf numFmtId="165" fontId="0" fillId="0" borderId="0" xfId="0" applyNumberFormat="1"/>
    <xf numFmtId="164" fontId="6" fillId="0" borderId="0" xfId="0" applyNumberFormat="1" applyFont="1"/>
    <xf numFmtId="0" fontId="6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0" fillId="0" borderId="0" xfId="0" applyFont="1"/>
    <xf numFmtId="165" fontId="0" fillId="0" borderId="0" xfId="0" applyNumberFormat="1" applyFont="1"/>
    <xf numFmtId="164" fontId="1" fillId="7" borderId="13" xfId="0" applyNumberFormat="1" applyFont="1" applyFill="1" applyBorder="1"/>
    <xf numFmtId="0" fontId="1" fillId="7" borderId="13" xfId="0" applyNumberFormat="1" applyFont="1" applyFill="1" applyBorder="1"/>
    <xf numFmtId="165" fontId="1" fillId="7" borderId="15" xfId="0" applyNumberFormat="1" applyFont="1" applyFill="1" applyBorder="1"/>
    <xf numFmtId="164" fontId="1" fillId="4" borderId="13" xfId="0" applyNumberFormat="1" applyFont="1" applyFill="1" applyBorder="1"/>
    <xf numFmtId="164" fontId="1" fillId="4" borderId="15" xfId="0" applyNumberFormat="1" applyFont="1" applyFill="1" applyBorder="1"/>
    <xf numFmtId="4" fontId="0" fillId="20" borderId="31" xfId="0" applyNumberFormat="1" applyFill="1" applyBorder="1"/>
    <xf numFmtId="4" fontId="1" fillId="20" borderId="32" xfId="0" applyNumberFormat="1" applyFont="1" applyFill="1" applyBorder="1"/>
    <xf numFmtId="0" fontId="0" fillId="20" borderId="1" xfId="0" applyFill="1" applyBorder="1"/>
    <xf numFmtId="0" fontId="0" fillId="20" borderId="9" xfId="0" applyFill="1" applyBorder="1"/>
    <xf numFmtId="0" fontId="0" fillId="20" borderId="35" xfId="0" applyFill="1" applyBorder="1"/>
    <xf numFmtId="0" fontId="0" fillId="20" borderId="36" xfId="0" applyFill="1" applyBorder="1"/>
    <xf numFmtId="0" fontId="0" fillId="7" borderId="13" xfId="0" applyNumberFormat="1" applyFont="1" applyFill="1" applyBorder="1"/>
    <xf numFmtId="165" fontId="0" fillId="7" borderId="15" xfId="0" applyNumberFormat="1" applyFont="1" applyFill="1" applyBorder="1"/>
    <xf numFmtId="164" fontId="0" fillId="4" borderId="13" xfId="0" applyNumberFormat="1" applyFont="1" applyFill="1" applyBorder="1"/>
    <xf numFmtId="164" fontId="0" fillId="4" borderId="15" xfId="0" applyNumberFormat="1" applyFont="1" applyFill="1" applyBorder="1"/>
    <xf numFmtId="0" fontId="0" fillId="6" borderId="11" xfId="0" applyFill="1" applyBorder="1" applyAlignment="1">
      <alignment horizontal="center"/>
    </xf>
    <xf numFmtId="10" fontId="0" fillId="14" borderId="7" xfId="0" applyNumberFormat="1" applyFill="1" applyBorder="1" applyAlignment="1">
      <alignment horizontal="center" vertical="center"/>
    </xf>
    <xf numFmtId="10" fontId="0" fillId="14" borderId="8" xfId="0" applyNumberFormat="1" applyFill="1" applyBorder="1" applyAlignment="1">
      <alignment horizontal="center" vertical="center"/>
    </xf>
    <xf numFmtId="0" fontId="0" fillId="18" borderId="10" xfId="0" applyFill="1" applyBorder="1" applyAlignment="1">
      <alignment horizontal="center"/>
    </xf>
    <xf numFmtId="0" fontId="0" fillId="18" borderId="11" xfId="0" applyFill="1" applyBorder="1" applyAlignment="1">
      <alignment horizontal="center"/>
    </xf>
    <xf numFmtId="164" fontId="1" fillId="14" borderId="10" xfId="0" applyNumberFormat="1" applyFont="1" applyFill="1" applyBorder="1" applyAlignment="1">
      <alignment horizontal="center" vertical="center"/>
    </xf>
    <xf numFmtId="164" fontId="1" fillId="14" borderId="12" xfId="0" applyNumberFormat="1" applyFont="1" applyFill="1" applyBorder="1" applyAlignment="1">
      <alignment horizontal="center" vertical="center"/>
    </xf>
    <xf numFmtId="164" fontId="1" fillId="14" borderId="8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15" borderId="10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1" fillId="9" borderId="10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0" fillId="16" borderId="10" xfId="0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164" fontId="1" fillId="14" borderId="6" xfId="0" applyNumberFormat="1" applyFont="1" applyFill="1" applyBorder="1" applyAlignment="1">
      <alignment horizontal="center" vertical="center"/>
    </xf>
    <xf numFmtId="164" fontId="1" fillId="14" borderId="7" xfId="0" applyNumberFormat="1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43" fontId="1" fillId="7" borderId="13" xfId="13" applyFont="1" applyFill="1" applyBorder="1"/>
    <xf numFmtId="0" fontId="12" fillId="13" borderId="4" xfId="0" applyFont="1" applyFill="1" applyBorder="1"/>
    <xf numFmtId="0" fontId="13" fillId="21" borderId="12" xfId="0" applyFont="1" applyFill="1" applyBorder="1"/>
    <xf numFmtId="0" fontId="13" fillId="22" borderId="1" xfId="0" applyFont="1" applyFill="1" applyBorder="1"/>
    <xf numFmtId="0" fontId="0" fillId="23" borderId="0" xfId="0" applyFill="1"/>
    <xf numFmtId="2" fontId="0" fillId="23" borderId="0" xfId="0" applyNumberFormat="1" applyFill="1"/>
    <xf numFmtId="0" fontId="0" fillId="23" borderId="0" xfId="0" applyFill="1" applyAlignment="1">
      <alignment horizontal="center"/>
    </xf>
    <xf numFmtId="43" fontId="1" fillId="2" borderId="2" xfId="13" applyFont="1" applyFill="1" applyBorder="1"/>
    <xf numFmtId="43" fontId="1" fillId="2" borderId="16" xfId="13" applyFont="1" applyFill="1" applyBorder="1"/>
    <xf numFmtId="43" fontId="1" fillId="2" borderId="1" xfId="13" applyFont="1" applyFill="1" applyBorder="1"/>
    <xf numFmtId="43" fontId="1" fillId="2" borderId="18" xfId="13" applyFont="1" applyFill="1" applyBorder="1"/>
    <xf numFmtId="43" fontId="14" fillId="0" borderId="0" xfId="13" applyFont="1"/>
    <xf numFmtId="43" fontId="14" fillId="0" borderId="4" xfId="13" applyFont="1" applyBorder="1"/>
    <xf numFmtId="43" fontId="17" fillId="0" borderId="0" xfId="0" applyNumberFormat="1" applyFont="1"/>
    <xf numFmtId="43" fontId="15" fillId="0" borderId="0" xfId="13" applyFont="1"/>
    <xf numFmtId="0" fontId="15" fillId="0" borderId="0" xfId="0" applyFont="1"/>
    <xf numFmtId="0" fontId="15" fillId="0" borderId="4" xfId="0" applyFont="1" applyBorder="1"/>
    <xf numFmtId="43" fontId="15" fillId="0" borderId="0" xfId="13" applyFont="1" applyAlignment="1" applyProtection="1">
      <alignment shrinkToFit="1"/>
      <protection locked="0"/>
    </xf>
    <xf numFmtId="43" fontId="15" fillId="0" borderId="4" xfId="13" applyFont="1" applyBorder="1" applyAlignment="1" applyProtection="1">
      <alignment shrinkToFit="1"/>
      <protection locked="0"/>
    </xf>
    <xf numFmtId="43" fontId="15" fillId="0" borderId="0" xfId="13" applyFont="1" applyAlignment="1" applyProtection="1">
      <alignment shrinkToFit="1"/>
    </xf>
    <xf numFmtId="43" fontId="15" fillId="0" borderId="4" xfId="13" applyFont="1" applyBorder="1" applyProtection="1">
      <protection locked="0"/>
    </xf>
    <xf numFmtId="0" fontId="1" fillId="20" borderId="0" xfId="0" applyFont="1" applyFill="1" applyBorder="1"/>
    <xf numFmtId="4" fontId="0" fillId="20" borderId="0" xfId="0" applyNumberFormat="1" applyFill="1" applyBorder="1"/>
    <xf numFmtId="4" fontId="1" fillId="20" borderId="0" xfId="0" applyNumberFormat="1" applyFont="1" applyFill="1" applyBorder="1"/>
    <xf numFmtId="10" fontId="1" fillId="14" borderId="7" xfId="0" applyNumberFormat="1" applyFont="1" applyFill="1" applyBorder="1" applyAlignment="1">
      <alignment horizontal="center" vertical="center"/>
    </xf>
    <xf numFmtId="43" fontId="15" fillId="0" borderId="0" xfId="0" applyNumberFormat="1" applyFont="1"/>
    <xf numFmtId="0" fontId="3" fillId="9" borderId="5" xfId="0" applyFont="1" applyFill="1" applyBorder="1" applyAlignment="1">
      <alignment horizontal="center"/>
    </xf>
    <xf numFmtId="0" fontId="0" fillId="14" borderId="0" xfId="0" applyFill="1" applyBorder="1"/>
    <xf numFmtId="164" fontId="0" fillId="14" borderId="0" xfId="0" applyNumberFormat="1" applyFill="1" applyBorder="1"/>
    <xf numFmtId="10" fontId="1" fillId="14" borderId="0" xfId="0" applyNumberFormat="1" applyFont="1" applyFill="1" applyBorder="1" applyAlignment="1">
      <alignment horizontal="center" vertical="center"/>
    </xf>
    <xf numFmtId="43" fontId="15" fillId="0" borderId="4" xfId="0" applyNumberFormat="1" applyFont="1" applyBorder="1" applyProtection="1">
      <protection locked="0"/>
    </xf>
    <xf numFmtId="0" fontId="0" fillId="9" borderId="0" xfId="0" applyFill="1"/>
    <xf numFmtId="0" fontId="1" fillId="24" borderId="0" xfId="0" applyFont="1" applyFill="1" applyBorder="1"/>
    <xf numFmtId="4" fontId="0" fillId="24" borderId="0" xfId="0" applyNumberFormat="1" applyFill="1" applyBorder="1"/>
    <xf numFmtId="4" fontId="1" fillId="24" borderId="0" xfId="0" applyNumberFormat="1" applyFont="1" applyFill="1" applyBorder="1"/>
    <xf numFmtId="4" fontId="0" fillId="20" borderId="5" xfId="0" applyNumberFormat="1" applyFill="1" applyBorder="1"/>
    <xf numFmtId="2" fontId="0" fillId="25" borderId="26" xfId="0" applyNumberFormat="1" applyFill="1" applyBorder="1"/>
    <xf numFmtId="2" fontId="0" fillId="25" borderId="24" xfId="0" applyNumberFormat="1" applyFill="1" applyBorder="1"/>
    <xf numFmtId="10" fontId="0" fillId="25" borderId="24" xfId="0" applyNumberFormat="1" applyFill="1" applyBorder="1"/>
    <xf numFmtId="4" fontId="0" fillId="25" borderId="31" xfId="0" applyNumberFormat="1" applyFill="1" applyBorder="1"/>
    <xf numFmtId="10" fontId="0" fillId="25" borderId="26" xfId="0" applyNumberFormat="1" applyFill="1" applyBorder="1"/>
    <xf numFmtId="10" fontId="1" fillId="25" borderId="27" xfId="0" applyNumberFormat="1" applyFont="1" applyFill="1" applyBorder="1"/>
    <xf numFmtId="10" fontId="1" fillId="25" borderId="29" xfId="0" applyNumberFormat="1" applyFont="1" applyFill="1" applyBorder="1"/>
    <xf numFmtId="164" fontId="15" fillId="25" borderId="31" xfId="0" applyNumberFormat="1" applyFont="1" applyFill="1" applyBorder="1"/>
    <xf numFmtId="164" fontId="16" fillId="25" borderId="32" xfId="0" applyNumberFormat="1" applyFont="1" applyFill="1" applyBorder="1"/>
    <xf numFmtId="43" fontId="21" fillId="20" borderId="27" xfId="13" applyFont="1" applyFill="1" applyBorder="1"/>
    <xf numFmtId="43" fontId="21" fillId="20" borderId="5" xfId="13" applyFont="1" applyFill="1" applyBorder="1"/>
    <xf numFmtId="43" fontId="22" fillId="22" borderId="27" xfId="13" applyFont="1" applyFill="1" applyBorder="1"/>
    <xf numFmtId="0" fontId="1" fillId="2" borderId="38" xfId="0" applyFont="1" applyFill="1" applyBorder="1"/>
    <xf numFmtId="43" fontId="14" fillId="0" borderId="1" xfId="13" applyFont="1" applyBorder="1" applyAlignment="1">
      <alignment horizontal="center"/>
    </xf>
    <xf numFmtId="43" fontId="15" fillId="0" borderId="1" xfId="13" applyFont="1" applyBorder="1" applyAlignment="1">
      <alignment horizontal="center"/>
    </xf>
    <xf numFmtId="43" fontId="18" fillId="0" borderId="1" xfId="13" applyFont="1" applyBorder="1" applyAlignment="1">
      <alignment horizontal="center"/>
    </xf>
    <xf numFmtId="4" fontId="0" fillId="24" borderId="1" xfId="0" applyNumberFormat="1" applyFill="1" applyBorder="1" applyAlignment="1">
      <alignment horizontal="center"/>
    </xf>
    <xf numFmtId="43" fontId="16" fillId="7" borderId="1" xfId="13" applyFont="1" applyFill="1" applyBorder="1" applyAlignment="1">
      <alignment horizontal="center"/>
    </xf>
    <xf numFmtId="4" fontId="1" fillId="2" borderId="38" xfId="0" applyNumberFormat="1" applyFont="1" applyFill="1" applyBorder="1"/>
    <xf numFmtId="43" fontId="15" fillId="7" borderId="1" xfId="13" applyFont="1" applyFill="1" applyBorder="1" applyAlignment="1">
      <alignment horizontal="center"/>
    </xf>
    <xf numFmtId="43" fontId="15" fillId="26" borderId="1" xfId="13" applyFont="1" applyFill="1" applyBorder="1" applyAlignment="1">
      <alignment horizontal="center"/>
    </xf>
    <xf numFmtId="0" fontId="1" fillId="2" borderId="0" xfId="0" applyFont="1" applyFill="1" applyBorder="1"/>
    <xf numFmtId="0" fontId="1" fillId="2" borderId="5" xfId="0" applyFont="1" applyFill="1" applyBorder="1"/>
    <xf numFmtId="43" fontId="15" fillId="0" borderId="4" xfId="13" applyFont="1" applyBorder="1" applyAlignment="1">
      <alignment horizontal="center"/>
    </xf>
    <xf numFmtId="4" fontId="0" fillId="15" borderId="0" xfId="0" applyNumberFormat="1" applyFill="1" applyBorder="1" applyAlignment="1">
      <alignment horizontal="center"/>
    </xf>
    <xf numFmtId="4" fontId="0" fillId="15" borderId="1" xfId="0" applyNumberFormat="1" applyFill="1" applyBorder="1" applyAlignment="1">
      <alignment horizontal="center"/>
    </xf>
    <xf numFmtId="0" fontId="0" fillId="27" borderId="0" xfId="0" applyFill="1"/>
    <xf numFmtId="0" fontId="1" fillId="27" borderId="0" xfId="0" applyFont="1" applyFill="1"/>
    <xf numFmtId="0" fontId="0" fillId="27" borderId="39" xfId="0" applyFill="1" applyBorder="1"/>
    <xf numFmtId="9" fontId="0" fillId="27" borderId="39" xfId="0" applyNumberFormat="1" applyFill="1" applyBorder="1"/>
    <xf numFmtId="9" fontId="0" fillId="27" borderId="0" xfId="0" applyNumberFormat="1" applyFill="1"/>
    <xf numFmtId="43" fontId="0" fillId="27" borderId="39" xfId="13" applyFont="1" applyFill="1" applyBorder="1"/>
    <xf numFmtId="43" fontId="0" fillId="27" borderId="0" xfId="13" applyFont="1" applyFill="1"/>
    <xf numFmtId="43" fontId="0" fillId="27" borderId="0" xfId="13" applyNumberFormat="1" applyFont="1" applyFill="1"/>
    <xf numFmtId="0" fontId="1" fillId="2" borderId="40" xfId="0" applyFont="1" applyFill="1" applyBorder="1"/>
    <xf numFmtId="0" fontId="0" fillId="24" borderId="1" xfId="0" applyFill="1" applyBorder="1" applyAlignment="1">
      <alignment vertical="center"/>
    </xf>
    <xf numFmtId="0" fontId="0" fillId="0" borderId="1" xfId="0" applyBorder="1"/>
    <xf numFmtId="0" fontId="19" fillId="6" borderId="37" xfId="0" applyFont="1" applyFill="1" applyBorder="1" applyAlignment="1">
      <alignment horizontal="center" vertical="center"/>
    </xf>
    <xf numFmtId="0" fontId="19" fillId="6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/>
    </xf>
    <xf numFmtId="0" fontId="3" fillId="4" borderId="41" xfId="0" applyFont="1" applyFill="1" applyBorder="1" applyAlignment="1">
      <alignment horizontal="center"/>
    </xf>
    <xf numFmtId="0" fontId="3" fillId="4" borderId="42" xfId="0" applyFont="1" applyFill="1" applyBorder="1" applyAlignment="1">
      <alignment horizontal="center"/>
    </xf>
    <xf numFmtId="0" fontId="0" fillId="11" borderId="17" xfId="0" applyFill="1" applyBorder="1"/>
    <xf numFmtId="0" fontId="0" fillId="2" borderId="17" xfId="0" applyFill="1" applyBorder="1"/>
    <xf numFmtId="0" fontId="0" fillId="2" borderId="43" xfId="0" applyFill="1" applyBorder="1"/>
    <xf numFmtId="0" fontId="1" fillId="2" borderId="44" xfId="0" applyFont="1" applyFill="1" applyBorder="1"/>
    <xf numFmtId="0" fontId="1" fillId="15" borderId="10" xfId="0" applyFont="1" applyFill="1" applyBorder="1" applyAlignment="1">
      <alignment vertical="center"/>
    </xf>
    <xf numFmtId="0" fontId="1" fillId="15" borderId="11" xfId="0" applyFont="1" applyFill="1" applyBorder="1" applyAlignment="1">
      <alignment vertical="center"/>
    </xf>
    <xf numFmtId="0" fontId="1" fillId="3" borderId="10" xfId="0" applyFont="1" applyFill="1" applyBorder="1" applyAlignment="1"/>
    <xf numFmtId="0" fontId="1" fillId="3" borderId="11" xfId="0" applyFont="1" applyFill="1" applyBorder="1" applyAlignment="1"/>
    <xf numFmtId="0" fontId="1" fillId="9" borderId="10" xfId="0" applyFont="1" applyFill="1" applyBorder="1" applyAlignment="1"/>
    <xf numFmtId="0" fontId="1" fillId="9" borderId="11" xfId="0" applyFont="1" applyFill="1" applyBorder="1" applyAlignment="1"/>
    <xf numFmtId="0" fontId="0" fillId="16" borderId="10" xfId="0" applyFill="1" applyBorder="1" applyAlignment="1"/>
    <xf numFmtId="0" fontId="0" fillId="16" borderId="11" xfId="0" applyFill="1" applyBorder="1" applyAlignment="1"/>
    <xf numFmtId="0" fontId="0" fillId="6" borderId="10" xfId="0" applyFill="1" applyBorder="1" applyAlignment="1"/>
    <xf numFmtId="0" fontId="0" fillId="18" borderId="10" xfId="0" applyFill="1" applyBorder="1" applyAlignment="1"/>
    <xf numFmtId="0" fontId="0" fillId="18" borderId="11" xfId="0" applyFill="1" applyBorder="1" applyAlignment="1"/>
    <xf numFmtId="43" fontId="0" fillId="14" borderId="13" xfId="13" applyFont="1" applyFill="1" applyBorder="1"/>
    <xf numFmtId="43" fontId="0" fillId="14" borderId="15" xfId="13" applyFont="1" applyFill="1" applyBorder="1"/>
    <xf numFmtId="9" fontId="0" fillId="14" borderId="13" xfId="13" applyNumberFormat="1" applyFont="1" applyFill="1" applyBorder="1"/>
  </cellXfs>
  <cellStyles count="148">
    <cellStyle name="Besuchter Link" xfId="15" builtinId="9" hidden="1"/>
    <cellStyle name="Besuchter Link" xfId="17" builtinId="9" hidden="1"/>
    <cellStyle name="Besuchter Link" xfId="19" builtinId="9" hidden="1"/>
    <cellStyle name="Besuchter Link" xfId="21" builtinId="9" hidden="1"/>
    <cellStyle name="Besuchter Link" xfId="23" builtinId="9" hidden="1"/>
    <cellStyle name="Besuchter Link" xfId="25" builtinId="9" hidden="1"/>
    <cellStyle name="Besuchter Link" xfId="27" builtinId="9" hidden="1"/>
    <cellStyle name="Besuchter Link" xfId="29" builtinId="9" hidden="1"/>
    <cellStyle name="Besuchter Link" xfId="31" builtinId="9" hidden="1"/>
    <cellStyle name="Besuchter Link" xfId="33" builtinId="9" hidden="1"/>
    <cellStyle name="Besuchter Link" xfId="35" builtinId="9" hidden="1"/>
    <cellStyle name="Besuchter Link" xfId="37" builtinId="9" hidden="1"/>
    <cellStyle name="Besuchter Link" xfId="39" builtinId="9" hidden="1"/>
    <cellStyle name="Besuchter Link" xfId="41" builtinId="9" hidden="1"/>
    <cellStyle name="Besuchter Link" xfId="43" builtinId="9" hidden="1"/>
    <cellStyle name="Besuchter Link" xfId="45" builtinId="9" hidden="1"/>
    <cellStyle name="Besuchter Link" xfId="47" builtinId="9" hidden="1"/>
    <cellStyle name="Besuchter Link" xfId="49" builtinId="9" hidden="1"/>
    <cellStyle name="Besuchter Link" xfId="51" builtinId="9" hidden="1"/>
    <cellStyle name="Besuchter Link" xfId="53" builtinId="9" hidden="1"/>
    <cellStyle name="Besuchter Link" xfId="55" builtinId="9" hidden="1"/>
    <cellStyle name="Besuchter Link" xfId="57" builtinId="9" hidden="1"/>
    <cellStyle name="Besuchter Link" xfId="59" builtinId="9" hidden="1"/>
    <cellStyle name="Besuchter Link" xfId="61" builtinId="9" hidden="1"/>
    <cellStyle name="Besuchter Link" xfId="63" builtinId="9" hidden="1"/>
    <cellStyle name="Besuchter Link" xfId="65" builtinId="9" hidden="1"/>
    <cellStyle name="Besuchter Link" xfId="67" builtinId="9" hidden="1"/>
    <cellStyle name="Besuchter Link" xfId="69" builtinId="9" hidden="1"/>
    <cellStyle name="Besuchter Link" xfId="71" builtinId="9" hidden="1"/>
    <cellStyle name="Besuchter Link" xfId="73" builtinId="9" hidden="1"/>
    <cellStyle name="Besuchter Link" xfId="75" builtinId="9" hidden="1"/>
    <cellStyle name="Besuchter Link" xfId="77" builtinId="9" hidden="1"/>
    <cellStyle name="Besuchter Link" xfId="79" builtinId="9" hidden="1"/>
    <cellStyle name="Besuchter Link" xfId="81" builtinId="9" hidden="1"/>
    <cellStyle name="Besuchter Link" xfId="83" builtinId="9" hidden="1"/>
    <cellStyle name="Besuchter Link" xfId="85" builtinId="9" hidden="1"/>
    <cellStyle name="Besuchter Link" xfId="87" builtinId="9" hidden="1"/>
    <cellStyle name="Besuchter Link" xfId="89" builtinId="9" hidden="1"/>
    <cellStyle name="Besuchter Link" xfId="91" builtinId="9" hidden="1"/>
    <cellStyle name="Besuchter Link" xfId="93" builtinId="9" hidden="1"/>
    <cellStyle name="Besuchter Link" xfId="95" builtinId="9" hidden="1"/>
    <cellStyle name="Besuchter Link" xfId="97" builtinId="9" hidden="1"/>
    <cellStyle name="Besuchter Link" xfId="99" builtinId="9" hidden="1"/>
    <cellStyle name="Besuchter Link" xfId="101" builtinId="9" hidden="1"/>
    <cellStyle name="Besuchter Link" xfId="103" builtinId="9" hidden="1"/>
    <cellStyle name="Besuchter Link" xfId="105" builtinId="9" hidden="1"/>
    <cellStyle name="Besuchter Link" xfId="107" builtinId="9" hidden="1"/>
    <cellStyle name="Besuchter Link" xfId="109" builtinId="9" hidden="1"/>
    <cellStyle name="Besuchter Link" xfId="111" builtinId="9" hidden="1"/>
    <cellStyle name="Besuchter Link" xfId="113" builtinId="9" hidden="1"/>
    <cellStyle name="Besuchter Link" xfId="115" builtinId="9" hidden="1"/>
    <cellStyle name="Besuchter Link" xfId="117" builtinId="9" hidden="1"/>
    <cellStyle name="Besuchter Link" xfId="119" builtinId="9" hidden="1"/>
    <cellStyle name="Besuchter Link" xfId="121" builtinId="9" hidden="1"/>
    <cellStyle name="Besuchter Link" xfId="123" builtinId="9" hidden="1"/>
    <cellStyle name="Besuchter Link" xfId="125" builtinId="9" hidden="1"/>
    <cellStyle name="Besuchter Link" xfId="127" builtinId="9" hidden="1"/>
    <cellStyle name="Besuchter Link" xfId="129" builtinId="9" hidden="1"/>
    <cellStyle name="Besuchter Link" xfId="131" builtinId="9" hidden="1"/>
    <cellStyle name="Besuchter Link" xfId="133" builtinId="9" hidden="1"/>
    <cellStyle name="Besuchter Link" xfId="135" builtinId="9" hidden="1"/>
    <cellStyle name="Besuchter Link" xfId="137" builtinId="9" hidden="1"/>
    <cellStyle name="Besuchter Link" xfId="139" builtinId="9" hidden="1"/>
    <cellStyle name="Besuchter Link" xfId="141" builtinId="9" hidden="1"/>
    <cellStyle name="Besuchter Link" xfId="143" builtinId="9" hidden="1"/>
    <cellStyle name="Besuchter Link" xfId="145" builtinId="9" hidden="1"/>
    <cellStyle name="Besuchter Link" xfId="147" builtinId="9" hidden="1"/>
    <cellStyle name="Dezimal" xfId="13" builtinId="3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52" builtinId="8" hidden="1"/>
    <cellStyle name="Link" xfId="54" builtinId="8" hidden="1"/>
    <cellStyle name="Link" xfId="56" builtinId="8" hidden="1"/>
    <cellStyle name="Link" xfId="58" builtinId="8" hidden="1"/>
    <cellStyle name="Link" xfId="60" builtinId="8" hidden="1"/>
    <cellStyle name="Link" xfId="62" builtinId="8" hidden="1"/>
    <cellStyle name="Link" xfId="64" builtinId="8" hidden="1"/>
    <cellStyle name="Link" xfId="66" builtinId="8" hidden="1"/>
    <cellStyle name="Link" xfId="68" builtinId="8" hidden="1"/>
    <cellStyle name="Link" xfId="70" builtinId="8" hidden="1"/>
    <cellStyle name="Link" xfId="72" builtinId="8" hidden="1"/>
    <cellStyle name="Link" xfId="74" builtinId="8" hidden="1"/>
    <cellStyle name="Link" xfId="76" builtinId="8" hidden="1"/>
    <cellStyle name="Link" xfId="78" builtinId="8" hidden="1"/>
    <cellStyle name="Link" xfId="80" builtinId="8" hidden="1"/>
    <cellStyle name="Link" xfId="82" builtinId="8" hidden="1"/>
    <cellStyle name="Link" xfId="84" builtinId="8" hidden="1"/>
    <cellStyle name="Link" xfId="86" builtinId="8" hidden="1"/>
    <cellStyle name="Link" xfId="88" builtinId="8" hidden="1"/>
    <cellStyle name="Link" xfId="90" builtinId="8" hidden="1"/>
    <cellStyle name="Link" xfId="92" builtinId="8" hidden="1"/>
    <cellStyle name="Link" xfId="94" builtinId="8" hidden="1"/>
    <cellStyle name="Link" xfId="96" builtinId="8" hidden="1"/>
    <cellStyle name="Link" xfId="98" builtinId="8" hidden="1"/>
    <cellStyle name="Link" xfId="100" builtinId="8" hidden="1"/>
    <cellStyle name="Link" xfId="102" builtinId="8" hidden="1"/>
    <cellStyle name="Link" xfId="104" builtinId="8" hidden="1"/>
    <cellStyle name="Link" xfId="106" builtinId="8" hidden="1"/>
    <cellStyle name="Link" xfId="108" builtinId="8" hidden="1"/>
    <cellStyle name="Link" xfId="110" builtinId="8" hidden="1"/>
    <cellStyle name="Link" xfId="112" builtinId="8" hidden="1"/>
    <cellStyle name="Link" xfId="114" builtinId="8" hidden="1"/>
    <cellStyle name="Link" xfId="116" builtinId="8" hidden="1"/>
    <cellStyle name="Link" xfId="118" builtinId="8" hidden="1"/>
    <cellStyle name="Link" xfId="120" builtinId="8" hidden="1"/>
    <cellStyle name="Link" xfId="122" builtinId="8" hidden="1"/>
    <cellStyle name="Link" xfId="124" builtinId="8" hidden="1"/>
    <cellStyle name="Link" xfId="126" builtinId="8" hidden="1"/>
    <cellStyle name="Link" xfId="128" builtinId="8" hidden="1"/>
    <cellStyle name="Link" xfId="130" builtinId="8" hidden="1"/>
    <cellStyle name="Link" xfId="132" builtinId="8" hidden="1"/>
    <cellStyle name="Link" xfId="134" builtinId="8" hidden="1"/>
    <cellStyle name="Link" xfId="136" builtinId="8" hidden="1"/>
    <cellStyle name="Link" xfId="138" builtinId="8" hidden="1"/>
    <cellStyle name="Link" xfId="140" builtinId="8" hidden="1"/>
    <cellStyle name="Link" xfId="142" builtinId="8" hidden="1"/>
    <cellStyle name="Link" xfId="144" builtinId="8" hidden="1"/>
    <cellStyle name="Link" xfId="146" builtinId="8" hidden="1"/>
    <cellStyle name="Standard" xfId="0" builtinId="0"/>
    <cellStyle name="Standard 10" xfId="10"/>
    <cellStyle name="Standard 11" xfId="11"/>
    <cellStyle name="Standard 12" xfId="12"/>
    <cellStyle name="Standard 13" xfId="1"/>
    <cellStyle name="Standard 2" xfId="2"/>
    <cellStyle name="Standard 3" xfId="3"/>
    <cellStyle name="Standard 4" xfId="4"/>
    <cellStyle name="Standard 5" xfId="5"/>
    <cellStyle name="Standard 6" xfId="6"/>
    <cellStyle name="Standard 7" xfId="7"/>
    <cellStyle name="Standard 8" xfId="8"/>
    <cellStyle name="Standard 9" xfId="9"/>
  </cellStyles>
  <dxfs count="0"/>
  <tableStyles count="0" defaultTableStyle="TableStyleMedium2" defaultPivotStyle="PivotStyleLight16"/>
  <colors>
    <mruColors>
      <color rgb="FF6BF3F3"/>
      <color rgb="FFFF7C80"/>
      <color rgb="FF8882DC"/>
      <color rgb="FFF06E6E"/>
      <color rgb="FFFF99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Speicher</a:t>
            </a:r>
            <a:endParaRPr lang="de-DE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32413044439314"/>
          <c:y val="0.0085061123449811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6BF3F3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Direkt
</a:t>
                    </a:r>
                    <a:fld id="{741C8A14-F671-4717-AA0F-5F6A092B5A1B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Entladen</a:t>
                    </a:r>
                    <a:r>
                      <a:rPr lang="en-US" baseline="0"/>
                      <a:t>
</a:t>
                    </a:r>
                    <a:fld id="{58F733C2-5D15-4D7B-9232-B55EF0344676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VK Ladestelle</a:t>
                    </a:r>
                    <a:r>
                      <a:rPr lang="en-US" baseline="0"/>
                      <a:t>
</a:t>
                    </a:r>
                    <a:fld id="{765731D3-1EF9-4C7C-A4C7-14D76E43F585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'2025'!$O$5:$O$8</c:f>
              <c:numCache>
                <c:formatCode>General</c:formatCode>
                <c:ptCount val="4"/>
                <c:pt idx="0">
                  <c:v>0.0</c:v>
                </c:pt>
                <c:pt idx="1">
                  <c:v>57684.25252525252</c:v>
                </c:pt>
                <c:pt idx="3">
                  <c:v>1.75235525252525E6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Erzeugung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Direkt
</a:t>
                    </a:r>
                    <a:fld id="{44018DD9-8C97-42FD-B5DD-156A6BE4EE33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aseline="0"/>
                      <a:t>Aufladen
</a:t>
                    </a:r>
                    <a:fld id="{5A0C1298-02BE-48B8-A12D-C475F219F342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aseline="0"/>
                      <a:t>Eingespeist
</a:t>
                    </a:r>
                    <a:fld id="{0B659A8A-7A68-4C10-AEA8-6EA6DE563F44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'2029'!$O$15:$O$17</c:f>
              <c:numCache>
                <c:formatCode>General</c:formatCode>
                <c:ptCount val="3"/>
                <c:pt idx="0">
                  <c:v>1.12464E6</c:v>
                </c:pt>
                <c:pt idx="1">
                  <c:v>7500.0</c:v>
                </c:pt>
                <c:pt idx="2">
                  <c:v>132000.0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Verbrauch</a:t>
            </a:r>
            <a:endParaRPr lang="de-DE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6BF3F3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</c:dPt>
          <c:dLbls>
            <c:dLbl>
              <c:idx val="1"/>
              <c:layout/>
              <c:tx>
                <c:rich>
                  <a:bodyPr/>
                  <a:lstStyle/>
                  <a:p>
                    <a:fld id="{77958A84-D16A-42CF-B671-32EBC5CB693F}" type="CATEGORYNAME">
                      <a:rPr lang="en-US"/>
                      <a:pPr/>
                      <a:t>[RUBRIKENNAME]</a:t>
                    </a:fld>
                    <a:r>
                      <a:rPr lang="en-US"/>
                      <a:t>Entladen</a:t>
                    </a:r>
                    <a:r>
                      <a:rPr lang="en-US" baseline="0"/>
                      <a:t>
</a:t>
                    </a:r>
                    <a:fld id="{58F733C2-5D15-4D7B-9232-B55EF0344676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95A93AE-133D-4D62-A108-21B5F8D88F65}" type="CATEGORYNAME">
                      <a:rPr lang="en-US"/>
                      <a:pPr/>
                      <a:t>[RUBRIKENNAME]</a:t>
                    </a:fld>
                    <a:r>
                      <a:rPr lang="en-US"/>
                      <a:t>Gekauft</a:t>
                    </a:r>
                    <a:r>
                      <a:rPr lang="en-US" baseline="0"/>
                      <a:t>
</a:t>
                    </a:r>
                    <a:fld id="{765731D3-1EF9-4C7C-A4C7-14D76E43F585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1"/>
              <c:pt idx="0">
                <c:v>Direkt</c:v>
              </c:pt>
            </c:strLit>
          </c:cat>
          <c:val>
            <c:numRef>
              <c:f>'2030'!$O$5:$O$7</c:f>
              <c:numCache>
                <c:formatCode>General</c:formatCode>
                <c:ptCount val="3"/>
                <c:pt idx="0">
                  <c:v>16000.0</c:v>
                </c:pt>
                <c:pt idx="1">
                  <c:v>55500.0</c:v>
                </c:pt>
                <c:pt idx="2">
                  <c:v>12000.0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Erzeugung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Direkt
</a:t>
                    </a:r>
                    <a:fld id="{44018DD9-8C97-42FD-B5DD-156A6BE4EE33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aseline="0"/>
                      <a:t>Aufladen
</a:t>
                    </a:r>
                    <a:fld id="{5A0C1298-02BE-48B8-A12D-C475F219F342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aseline="0"/>
                      <a:t>Eingespeist
</a:t>
                    </a:r>
                    <a:fld id="{0B659A8A-7A68-4C10-AEA8-6EA6DE563F44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'2030'!$O$15:$O$17</c:f>
              <c:numCache>
                <c:formatCode>General</c:formatCode>
                <c:ptCount val="3"/>
                <c:pt idx="0">
                  <c:v>1.12464E6</c:v>
                </c:pt>
                <c:pt idx="1">
                  <c:v>7500.0</c:v>
                </c:pt>
                <c:pt idx="2">
                  <c:v>132000.0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Verbrauch</a:t>
            </a:r>
            <a:endParaRPr lang="de-DE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6BF3F3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</c:dPt>
          <c:dLbls>
            <c:dLbl>
              <c:idx val="1"/>
              <c:layout/>
              <c:tx>
                <c:rich>
                  <a:bodyPr/>
                  <a:lstStyle/>
                  <a:p>
                    <a:fld id="{77958A84-D16A-42CF-B671-32EBC5CB693F}" type="CATEGORYNAME">
                      <a:rPr lang="en-US"/>
                      <a:pPr/>
                      <a:t>[RUBRIKENNAME]</a:t>
                    </a:fld>
                    <a:r>
                      <a:rPr lang="en-US"/>
                      <a:t>Entladen</a:t>
                    </a:r>
                    <a:r>
                      <a:rPr lang="en-US" baseline="0"/>
                      <a:t>
</a:t>
                    </a:r>
                    <a:fld id="{58F733C2-5D15-4D7B-9232-B55EF0344676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95A93AE-133D-4D62-A108-21B5F8D88F65}" type="CATEGORYNAME">
                      <a:rPr lang="en-US"/>
                      <a:pPr/>
                      <a:t>[RUBRIKENNAME]</a:t>
                    </a:fld>
                    <a:r>
                      <a:rPr lang="en-US"/>
                      <a:t>Gekauft</a:t>
                    </a:r>
                    <a:r>
                      <a:rPr lang="en-US" baseline="0"/>
                      <a:t>
</a:t>
                    </a:r>
                    <a:fld id="{765731D3-1EF9-4C7C-A4C7-14D76E43F585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1"/>
              <c:pt idx="0">
                <c:v>Direkt</c:v>
              </c:pt>
            </c:strLit>
          </c:cat>
          <c:val>
            <c:numRef>
              <c:f>'2031'!$O$5:$O$7</c:f>
              <c:numCache>
                <c:formatCode>General</c:formatCode>
                <c:ptCount val="3"/>
                <c:pt idx="0">
                  <c:v>16000.0</c:v>
                </c:pt>
                <c:pt idx="1">
                  <c:v>55500.0</c:v>
                </c:pt>
                <c:pt idx="2">
                  <c:v>12000.0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Erzeugung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Direkt
</a:t>
                    </a:r>
                    <a:fld id="{44018DD9-8C97-42FD-B5DD-156A6BE4EE33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aseline="0"/>
                      <a:t>Aufladen
</a:t>
                    </a:r>
                    <a:fld id="{5A0C1298-02BE-48B8-A12D-C475F219F342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aseline="0"/>
                      <a:t>Eingespeist
</a:t>
                    </a:r>
                    <a:fld id="{0B659A8A-7A68-4C10-AEA8-6EA6DE563F44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'2031'!$O$15:$O$17</c:f>
              <c:numCache>
                <c:formatCode>General</c:formatCode>
                <c:ptCount val="3"/>
                <c:pt idx="0">
                  <c:v>1.12464E6</c:v>
                </c:pt>
                <c:pt idx="1">
                  <c:v>7500.0</c:v>
                </c:pt>
                <c:pt idx="2">
                  <c:v>132000.0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Verbrauch</a:t>
            </a:r>
            <a:endParaRPr lang="de-DE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6BF3F3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</c:dPt>
          <c:dLbls>
            <c:dLbl>
              <c:idx val="1"/>
              <c:layout/>
              <c:tx>
                <c:rich>
                  <a:bodyPr/>
                  <a:lstStyle/>
                  <a:p>
                    <a:fld id="{77958A84-D16A-42CF-B671-32EBC5CB693F}" type="CATEGORYNAME">
                      <a:rPr lang="en-US"/>
                      <a:pPr/>
                      <a:t>[RUBRIKENNAME]</a:t>
                    </a:fld>
                    <a:r>
                      <a:rPr lang="en-US"/>
                      <a:t>Entladen</a:t>
                    </a:r>
                    <a:r>
                      <a:rPr lang="en-US" baseline="0"/>
                      <a:t>
</a:t>
                    </a:r>
                    <a:fld id="{58F733C2-5D15-4D7B-9232-B55EF0344676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95A93AE-133D-4D62-A108-21B5F8D88F65}" type="CATEGORYNAME">
                      <a:rPr lang="en-US"/>
                      <a:pPr/>
                      <a:t>[RUBRIKENNAME]</a:t>
                    </a:fld>
                    <a:r>
                      <a:rPr lang="en-US"/>
                      <a:t>Gekauft</a:t>
                    </a:r>
                    <a:r>
                      <a:rPr lang="en-US" baseline="0"/>
                      <a:t>
</a:t>
                    </a:r>
                    <a:fld id="{765731D3-1EF9-4C7C-A4C7-14D76E43F585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1"/>
              <c:pt idx="0">
                <c:v>Direkt</c:v>
              </c:pt>
            </c:strLit>
          </c:cat>
          <c:val>
            <c:numRef>
              <c:f>'2032'!$O$5:$O$7</c:f>
              <c:numCache>
                <c:formatCode>General</c:formatCode>
                <c:ptCount val="3"/>
                <c:pt idx="0">
                  <c:v>16000.0</c:v>
                </c:pt>
                <c:pt idx="1">
                  <c:v>55500.0</c:v>
                </c:pt>
                <c:pt idx="2">
                  <c:v>12000.0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Erzeugung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Direkt
</a:t>
                    </a:r>
                    <a:fld id="{44018DD9-8C97-42FD-B5DD-156A6BE4EE33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aseline="0"/>
                      <a:t>Aufladen
</a:t>
                    </a:r>
                    <a:fld id="{5A0C1298-02BE-48B8-A12D-C475F219F342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aseline="0"/>
                      <a:t>Eingespeist
</a:t>
                    </a:r>
                    <a:fld id="{0B659A8A-7A68-4C10-AEA8-6EA6DE563F44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'2032'!$O$15:$O$17</c:f>
              <c:numCache>
                <c:formatCode>General</c:formatCode>
                <c:ptCount val="3"/>
                <c:pt idx="0">
                  <c:v>1.12464E6</c:v>
                </c:pt>
                <c:pt idx="1">
                  <c:v>7500.0</c:v>
                </c:pt>
                <c:pt idx="2">
                  <c:v>132000.0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Verbrauch</a:t>
            </a:r>
            <a:endParaRPr lang="de-DE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6BF3F3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</c:dPt>
          <c:dLbls>
            <c:dLbl>
              <c:idx val="1"/>
              <c:layout/>
              <c:tx>
                <c:rich>
                  <a:bodyPr/>
                  <a:lstStyle/>
                  <a:p>
                    <a:fld id="{77958A84-D16A-42CF-B671-32EBC5CB693F}" type="CATEGORYNAME">
                      <a:rPr lang="en-US"/>
                      <a:pPr/>
                      <a:t>[RUBRIKENNAME]</a:t>
                    </a:fld>
                    <a:r>
                      <a:rPr lang="en-US"/>
                      <a:t>Entladen</a:t>
                    </a:r>
                    <a:r>
                      <a:rPr lang="en-US" baseline="0"/>
                      <a:t>
</a:t>
                    </a:r>
                    <a:fld id="{58F733C2-5D15-4D7B-9232-B55EF0344676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95A93AE-133D-4D62-A108-21B5F8D88F65}" type="CATEGORYNAME">
                      <a:rPr lang="en-US"/>
                      <a:pPr/>
                      <a:t>[RUBRIKENNAME]</a:t>
                    </a:fld>
                    <a:r>
                      <a:rPr lang="en-US"/>
                      <a:t>Gekauft</a:t>
                    </a:r>
                    <a:r>
                      <a:rPr lang="en-US" baseline="0"/>
                      <a:t>
</a:t>
                    </a:r>
                    <a:fld id="{765731D3-1EF9-4C7C-A4C7-14D76E43F585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Lit>
              <c:ptCount val="1"/>
              <c:pt idx="0">
                <c:v>Direkt</c:v>
              </c:pt>
            </c:strLit>
          </c:cat>
          <c:val>
            <c:numRef>
              <c:f>'2033'!$O$5:$O$7</c:f>
              <c:numCache>
                <c:formatCode>General</c:formatCode>
                <c:ptCount val="3"/>
                <c:pt idx="0">
                  <c:v>16000.0</c:v>
                </c:pt>
                <c:pt idx="1">
                  <c:v>55500.0</c:v>
                </c:pt>
                <c:pt idx="2">
                  <c:v>12000.0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Erzeugung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Direkt
</a:t>
                    </a:r>
                    <a:fld id="{44018DD9-8C97-42FD-B5DD-156A6BE4EE33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aseline="0"/>
                      <a:t>Aufladen
</a:t>
                    </a:r>
                    <a:fld id="{5A0C1298-02BE-48B8-A12D-C475F219F342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aseline="0"/>
                      <a:t>Eingespeist
</a:t>
                    </a:r>
                    <a:fld id="{0B659A8A-7A68-4C10-AEA8-6EA6DE563F44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'2033'!$O$15:$O$17</c:f>
              <c:numCache>
                <c:formatCode>General</c:formatCode>
                <c:ptCount val="3"/>
                <c:pt idx="0">
                  <c:v>1.12464E6</c:v>
                </c:pt>
                <c:pt idx="1">
                  <c:v>7500.0</c:v>
                </c:pt>
                <c:pt idx="2">
                  <c:v>132000.0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Verbrauch</a:t>
            </a:r>
            <a:endParaRPr lang="de-DE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6BF3F3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</c:dPt>
          <c:dLbls>
            <c:dLbl>
              <c:idx val="1"/>
              <c:layout/>
              <c:tx>
                <c:rich>
                  <a:bodyPr/>
                  <a:lstStyle/>
                  <a:p>
                    <a:fld id="{77958A84-D16A-42CF-B671-32EBC5CB693F}" type="CATEGORYNAME">
                      <a:rPr lang="en-US"/>
                      <a:pPr/>
                      <a:t>[RUBRIKENNAME]</a:t>
                    </a:fld>
                    <a:r>
                      <a:rPr lang="en-US"/>
                      <a:t>Entladen</a:t>
                    </a:r>
                    <a:r>
                      <a:rPr lang="en-US" baseline="0"/>
                      <a:t>
</a:t>
                    </a:r>
                    <a:fld id="{58F733C2-5D15-4D7B-9232-B55EF0344676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95A93AE-133D-4D62-A108-21B5F8D88F65}" type="CATEGORYNAME">
                      <a:rPr lang="en-US"/>
                      <a:pPr/>
                      <a:t>[RUBRIKENNAME]</a:t>
                    </a:fld>
                    <a:r>
                      <a:rPr lang="en-US"/>
                      <a:t>Gekauft</a:t>
                    </a:r>
                    <a:r>
                      <a:rPr lang="en-US" baseline="0"/>
                      <a:t>
</a:t>
                    </a:r>
                    <a:fld id="{765731D3-1EF9-4C7C-A4C7-14D76E43F585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1"/>
              <c:pt idx="0">
                <c:v>Direkt</c:v>
              </c:pt>
            </c:strLit>
          </c:cat>
          <c:val>
            <c:numRef>
              <c:f>'2034'!$O$5:$O$7</c:f>
              <c:numCache>
                <c:formatCode>General</c:formatCode>
                <c:ptCount val="3"/>
                <c:pt idx="0">
                  <c:v>16000.0</c:v>
                </c:pt>
                <c:pt idx="1">
                  <c:v>55500.0</c:v>
                </c:pt>
                <c:pt idx="2">
                  <c:v>12000.0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Erzeugung</a:t>
            </a:r>
            <a:endParaRPr lang="de-DE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Direkt
</a:t>
                    </a:r>
                    <a:fld id="{44018DD9-8C97-42FD-B5DD-156A6BE4EE33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0.181658178917505"/>
                  <c:y val="0.0034782608695652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Aufladen
</a:t>
                    </a:r>
                    <a:fld id="{5A0C1298-02BE-48B8-A12D-C475F219F342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aseline="0"/>
                      <a:t>Nachtspeisung	
</a:t>
                    </a:r>
                    <a:fld id="{0B659A8A-7A68-4C10-AEA8-6EA6DE563F44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'2025'!$O$16:$O$20</c:f>
              <c:numCache>
                <c:formatCode>General</c:formatCode>
                <c:ptCount val="5"/>
                <c:pt idx="0">
                  <c:v>8.253E6</c:v>
                </c:pt>
                <c:pt idx="1">
                  <c:v>57525.25252525252</c:v>
                </c:pt>
                <c:pt idx="4">
                  <c:v>25200.0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Erzeugung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Direkt
</a:t>
                    </a:r>
                    <a:fld id="{44018DD9-8C97-42FD-B5DD-156A6BE4EE33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aseline="0"/>
                      <a:t>Aufladen
</a:t>
                    </a:r>
                    <a:fld id="{5A0C1298-02BE-48B8-A12D-C475F219F342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aseline="0"/>
                      <a:t>Eingespeist
</a:t>
                    </a:r>
                    <a:fld id="{0B659A8A-7A68-4C10-AEA8-6EA6DE563F44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'2034'!$O$15:$O$17</c:f>
              <c:numCache>
                <c:formatCode>General</c:formatCode>
                <c:ptCount val="3"/>
                <c:pt idx="0">
                  <c:v>1.12464E6</c:v>
                </c:pt>
                <c:pt idx="1">
                  <c:v>7500.0</c:v>
                </c:pt>
                <c:pt idx="2">
                  <c:v>132000.0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Verbrauch</a:t>
            </a:r>
            <a:endParaRPr lang="de-DE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6BF3F3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</c:dPt>
          <c:dLbls>
            <c:dLbl>
              <c:idx val="1"/>
              <c:layout/>
              <c:tx>
                <c:rich>
                  <a:bodyPr/>
                  <a:lstStyle/>
                  <a:p>
                    <a:fld id="{77958A84-D16A-42CF-B671-32EBC5CB693F}" type="CATEGORYNAME">
                      <a:rPr lang="en-US"/>
                      <a:pPr/>
                      <a:t>[RUBRIKENNAME]</a:t>
                    </a:fld>
                    <a:r>
                      <a:rPr lang="en-US"/>
                      <a:t>Entladen</a:t>
                    </a:r>
                    <a:r>
                      <a:rPr lang="en-US" baseline="0"/>
                      <a:t>
</a:t>
                    </a:r>
                    <a:fld id="{58F733C2-5D15-4D7B-9232-B55EF0344676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95A93AE-133D-4D62-A108-21B5F8D88F65}" type="CATEGORYNAME">
                      <a:rPr lang="en-US"/>
                      <a:pPr/>
                      <a:t>[RUBRIKENNAME]</a:t>
                    </a:fld>
                    <a:r>
                      <a:rPr lang="en-US"/>
                      <a:t>Gekauft</a:t>
                    </a:r>
                    <a:r>
                      <a:rPr lang="en-US" baseline="0"/>
                      <a:t>
</a:t>
                    </a:r>
                    <a:fld id="{765731D3-1EF9-4C7C-A4C7-14D76E43F585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1"/>
              <c:pt idx="0">
                <c:v>Direkt</c:v>
              </c:pt>
            </c:strLit>
          </c:cat>
          <c:val>
            <c:numRef>
              <c:f>'2035'!$O$5:$O$7</c:f>
              <c:numCache>
                <c:formatCode>General</c:formatCode>
                <c:ptCount val="3"/>
                <c:pt idx="0">
                  <c:v>16000.0</c:v>
                </c:pt>
                <c:pt idx="1">
                  <c:v>55500.0</c:v>
                </c:pt>
                <c:pt idx="2">
                  <c:v>12000.0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Erzeugung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Direkt
</a:t>
                    </a:r>
                    <a:fld id="{44018DD9-8C97-42FD-B5DD-156A6BE4EE33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aseline="0"/>
                      <a:t>Aufladen
</a:t>
                    </a:r>
                    <a:fld id="{5A0C1298-02BE-48B8-A12D-C475F219F342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aseline="0"/>
                      <a:t>Eingespeist
</a:t>
                    </a:r>
                    <a:fld id="{0B659A8A-7A68-4C10-AEA8-6EA6DE563F44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'2035'!$O$15:$O$17</c:f>
              <c:numCache>
                <c:formatCode>General</c:formatCode>
                <c:ptCount val="3"/>
                <c:pt idx="0">
                  <c:v>1.12464E6</c:v>
                </c:pt>
                <c:pt idx="1">
                  <c:v>7500.0</c:v>
                </c:pt>
                <c:pt idx="2">
                  <c:v>132000.0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Verbrauch</a:t>
            </a:r>
            <a:endParaRPr lang="de-DE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6BF3F3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</c:dPt>
          <c:dLbls>
            <c:dLbl>
              <c:idx val="1"/>
              <c:layout/>
              <c:tx>
                <c:rich>
                  <a:bodyPr/>
                  <a:lstStyle/>
                  <a:p>
                    <a:fld id="{77958A84-D16A-42CF-B671-32EBC5CB693F}" type="CATEGORYNAME">
                      <a:rPr lang="en-US"/>
                      <a:pPr/>
                      <a:t>[RUBRIKENNAME]</a:t>
                    </a:fld>
                    <a:r>
                      <a:rPr lang="en-US"/>
                      <a:t>Entladen</a:t>
                    </a:r>
                    <a:r>
                      <a:rPr lang="en-US" baseline="0"/>
                      <a:t>
</a:t>
                    </a:r>
                    <a:fld id="{58F733C2-5D15-4D7B-9232-B55EF0344676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95A93AE-133D-4D62-A108-21B5F8D88F65}" type="CATEGORYNAME">
                      <a:rPr lang="en-US"/>
                      <a:pPr/>
                      <a:t>[RUBRIKENNAME]</a:t>
                    </a:fld>
                    <a:r>
                      <a:rPr lang="en-US"/>
                      <a:t>Gekauft</a:t>
                    </a:r>
                    <a:r>
                      <a:rPr lang="en-US" baseline="0"/>
                      <a:t>
</a:t>
                    </a:r>
                    <a:fld id="{765731D3-1EF9-4C7C-A4C7-14D76E43F585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1"/>
              <c:pt idx="0">
                <c:v>Direkt</c:v>
              </c:pt>
            </c:strLit>
          </c:cat>
          <c:val>
            <c:numRef>
              <c:f>'2036'!$O$5:$O$7</c:f>
              <c:numCache>
                <c:formatCode>General</c:formatCode>
                <c:ptCount val="3"/>
                <c:pt idx="0">
                  <c:v>16000.0</c:v>
                </c:pt>
                <c:pt idx="1">
                  <c:v>55500.0</c:v>
                </c:pt>
                <c:pt idx="2">
                  <c:v>12000.0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Erzeugung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Direkt
</a:t>
                    </a:r>
                    <a:fld id="{44018DD9-8C97-42FD-B5DD-156A6BE4EE33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aseline="0"/>
                      <a:t>Aufladen
</a:t>
                    </a:r>
                    <a:fld id="{5A0C1298-02BE-48B8-A12D-C475F219F342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aseline="0"/>
                      <a:t>Eingespeist
</a:t>
                    </a:r>
                    <a:fld id="{0B659A8A-7A68-4C10-AEA8-6EA6DE563F44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'2036'!$O$15:$O$17</c:f>
              <c:numCache>
                <c:formatCode>General</c:formatCode>
                <c:ptCount val="3"/>
                <c:pt idx="0">
                  <c:v>1.12464E6</c:v>
                </c:pt>
                <c:pt idx="1">
                  <c:v>7500.0</c:v>
                </c:pt>
                <c:pt idx="2">
                  <c:v>132000.0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Verbrauch</a:t>
            </a:r>
            <a:endParaRPr lang="de-DE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6BF3F3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</c:dPt>
          <c:dLbls>
            <c:dLbl>
              <c:idx val="1"/>
              <c:layout/>
              <c:tx>
                <c:rich>
                  <a:bodyPr/>
                  <a:lstStyle/>
                  <a:p>
                    <a:fld id="{77958A84-D16A-42CF-B671-32EBC5CB693F}" type="CATEGORYNAME">
                      <a:rPr lang="en-US"/>
                      <a:pPr/>
                      <a:t>[RUBRIKENNAME]</a:t>
                    </a:fld>
                    <a:r>
                      <a:rPr lang="en-US"/>
                      <a:t>Entladen</a:t>
                    </a:r>
                    <a:r>
                      <a:rPr lang="en-US" baseline="0"/>
                      <a:t>
</a:t>
                    </a:r>
                    <a:fld id="{58F733C2-5D15-4D7B-9232-B55EF0344676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95A93AE-133D-4D62-A108-21B5F8D88F65}" type="CATEGORYNAME">
                      <a:rPr lang="en-US"/>
                      <a:pPr/>
                      <a:t>[RUBRIKENNAME]</a:t>
                    </a:fld>
                    <a:r>
                      <a:rPr lang="en-US"/>
                      <a:t>Gekauft</a:t>
                    </a:r>
                    <a:r>
                      <a:rPr lang="en-US" baseline="0"/>
                      <a:t>
</a:t>
                    </a:r>
                    <a:fld id="{765731D3-1EF9-4C7C-A4C7-14D76E43F585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1"/>
              <c:pt idx="0">
                <c:v>Direkt</c:v>
              </c:pt>
            </c:strLit>
          </c:cat>
          <c:val>
            <c:numRef>
              <c:f>'2037'!$O$5:$O$7</c:f>
              <c:numCache>
                <c:formatCode>General</c:formatCode>
                <c:ptCount val="3"/>
                <c:pt idx="0">
                  <c:v>16000.0</c:v>
                </c:pt>
                <c:pt idx="1">
                  <c:v>55500.0</c:v>
                </c:pt>
                <c:pt idx="2">
                  <c:v>12000.0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Erzeugung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Direkt
</a:t>
                    </a:r>
                    <a:fld id="{44018DD9-8C97-42FD-B5DD-156A6BE4EE33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aseline="0"/>
                      <a:t>Aufladen
</a:t>
                    </a:r>
                    <a:fld id="{5A0C1298-02BE-48B8-A12D-C475F219F342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aseline="0"/>
                      <a:t>Eingespeist
</a:t>
                    </a:r>
                    <a:fld id="{0B659A8A-7A68-4C10-AEA8-6EA6DE563F44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'2037'!$O$15:$O$17</c:f>
              <c:numCache>
                <c:formatCode>General</c:formatCode>
                <c:ptCount val="3"/>
                <c:pt idx="0">
                  <c:v>1.12464E6</c:v>
                </c:pt>
                <c:pt idx="1">
                  <c:v>7500.0</c:v>
                </c:pt>
                <c:pt idx="2">
                  <c:v>132000.0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Verbrauch</a:t>
            </a:r>
            <a:endParaRPr lang="de-DE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6BF3F3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</c:dPt>
          <c:dLbls>
            <c:dLbl>
              <c:idx val="1"/>
              <c:layout/>
              <c:tx>
                <c:rich>
                  <a:bodyPr/>
                  <a:lstStyle/>
                  <a:p>
                    <a:fld id="{77958A84-D16A-42CF-B671-32EBC5CB693F}" type="CATEGORYNAME">
                      <a:rPr lang="en-US"/>
                      <a:pPr/>
                      <a:t>[RUBRIKENNAME]</a:t>
                    </a:fld>
                    <a:r>
                      <a:rPr lang="en-US"/>
                      <a:t>Entladen</a:t>
                    </a:r>
                    <a:r>
                      <a:rPr lang="en-US" baseline="0"/>
                      <a:t>
</a:t>
                    </a:r>
                    <a:fld id="{58F733C2-5D15-4D7B-9232-B55EF0344676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95A93AE-133D-4D62-A108-21B5F8D88F65}" type="CATEGORYNAME">
                      <a:rPr lang="en-US"/>
                      <a:pPr/>
                      <a:t>[RUBRIKENNAME]</a:t>
                    </a:fld>
                    <a:r>
                      <a:rPr lang="en-US"/>
                      <a:t>Gekauft</a:t>
                    </a:r>
                    <a:r>
                      <a:rPr lang="en-US" baseline="0"/>
                      <a:t>
</a:t>
                    </a:r>
                    <a:fld id="{765731D3-1EF9-4C7C-A4C7-14D76E43F585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1"/>
              <c:pt idx="0">
                <c:v>Direkt</c:v>
              </c:pt>
            </c:strLit>
          </c:cat>
          <c:val>
            <c:numRef>
              <c:f>'2038'!$O$5:$O$7</c:f>
              <c:numCache>
                <c:formatCode>General</c:formatCode>
                <c:ptCount val="3"/>
                <c:pt idx="0">
                  <c:v>16000.0</c:v>
                </c:pt>
                <c:pt idx="1">
                  <c:v>55500.0</c:v>
                </c:pt>
                <c:pt idx="2">
                  <c:v>12000.0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Erzeugung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Direkt
</a:t>
                    </a:r>
                    <a:fld id="{44018DD9-8C97-42FD-B5DD-156A6BE4EE33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aseline="0"/>
                      <a:t>Aufladen
</a:t>
                    </a:r>
                    <a:fld id="{5A0C1298-02BE-48B8-A12D-C475F219F342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aseline="0"/>
                      <a:t>Eingespeist
</a:t>
                    </a:r>
                    <a:fld id="{0B659A8A-7A68-4C10-AEA8-6EA6DE563F44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'2038'!$O$15:$O$17</c:f>
              <c:numCache>
                <c:formatCode>General</c:formatCode>
                <c:ptCount val="3"/>
                <c:pt idx="0">
                  <c:v>1.12464E6</c:v>
                </c:pt>
                <c:pt idx="1">
                  <c:v>7500.0</c:v>
                </c:pt>
                <c:pt idx="2">
                  <c:v>132000.0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Verbrauch</a:t>
            </a:r>
            <a:endParaRPr lang="de-DE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6BF3F3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</c:dPt>
          <c:dLbls>
            <c:dLbl>
              <c:idx val="1"/>
              <c:layout/>
              <c:tx>
                <c:rich>
                  <a:bodyPr/>
                  <a:lstStyle/>
                  <a:p>
                    <a:fld id="{77958A84-D16A-42CF-B671-32EBC5CB693F}" type="CATEGORYNAME">
                      <a:rPr lang="en-US"/>
                      <a:pPr/>
                      <a:t>[RUBRIKENNAME]</a:t>
                    </a:fld>
                    <a:r>
                      <a:rPr lang="en-US"/>
                      <a:t>Entladen</a:t>
                    </a:r>
                    <a:r>
                      <a:rPr lang="en-US" baseline="0"/>
                      <a:t>
</a:t>
                    </a:r>
                    <a:fld id="{58F733C2-5D15-4D7B-9232-B55EF0344676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95A93AE-133D-4D62-A108-21B5F8D88F65}" type="CATEGORYNAME">
                      <a:rPr lang="en-US"/>
                      <a:pPr/>
                      <a:t>[RUBRIKENNAME]</a:t>
                    </a:fld>
                    <a:r>
                      <a:rPr lang="en-US"/>
                      <a:t>Gekauft</a:t>
                    </a:r>
                    <a:r>
                      <a:rPr lang="en-US" baseline="0"/>
                      <a:t>
</a:t>
                    </a:r>
                    <a:fld id="{765731D3-1EF9-4C7C-A4C7-14D76E43F585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Lit>
              <c:ptCount val="1"/>
              <c:pt idx="0">
                <c:v>Direkt</c:v>
              </c:pt>
            </c:strLit>
          </c:cat>
          <c:val>
            <c:numRef>
              <c:f>'2039'!$O$5:$O$7</c:f>
              <c:numCache>
                <c:formatCode>General</c:formatCode>
                <c:ptCount val="3"/>
                <c:pt idx="0">
                  <c:v>16000.0</c:v>
                </c:pt>
                <c:pt idx="1">
                  <c:v>55500.0</c:v>
                </c:pt>
                <c:pt idx="2">
                  <c:v>12000.0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1">
                <a:solidFill>
                  <a:sysClr val="windowText" lastClr="000000"/>
                </a:solidFill>
              </a:rPr>
              <a:t>Ladung und Batterie</a:t>
            </a:r>
          </a:p>
        </c:rich>
      </c:tx>
      <c:layout>
        <c:manualLayout>
          <c:xMode val="edge"/>
          <c:yMode val="edge"/>
          <c:x val="0.0204846049601023"/>
          <c:y val="0.49217476793541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explosion val="13"/>
          <c:dPt>
            <c:idx val="0"/>
            <c:bubble3D val="0"/>
            <c:explosion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explosion val="0"/>
            <c:spPr>
              <a:solidFill>
                <a:srgbClr val="6BF3F3"/>
              </a:solidFill>
              <a:ln>
                <a:noFill/>
              </a:ln>
              <a:effectLst/>
            </c:spPr>
          </c:dPt>
          <c:dPt>
            <c:idx val="2"/>
            <c:bubble3D val="0"/>
            <c:explosion val="0"/>
            <c:spPr>
              <a:solidFill>
                <a:srgbClr val="FF7C80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0.0119400328650095"/>
                  <c:y val="-0.0267165767428983"/>
                </c:manualLayout>
              </c:layout>
              <c:dLblPos val="bestFit"/>
              <c:showLegendKey val="0"/>
              <c:showVal val="0"/>
              <c:showCatName val="1"/>
              <c:showSerName val="1"/>
              <c:showPercent val="1"/>
              <c:showBubbleSize val="0"/>
            </c:dLbl>
            <c:dLbl>
              <c:idx val="1"/>
              <c:layout>
                <c:manualLayout>
                  <c:x val="-0.120693249343832"/>
                  <c:y val="-0.160665500219957"/>
                </c:manualLayout>
              </c:layout>
              <c:tx>
                <c:rich>
                  <a:bodyPr/>
                  <a:lstStyle/>
                  <a:p>
                    <a:fld id="{77958A84-D16A-42CF-B671-32EBC5CB693F}" type="CATEGORYNAME">
                      <a:rPr lang="en-US"/>
                      <a:pPr/>
                      <a:t>[RUBRIKENNAME]</a:t>
                    </a:fld>
                    <a:r>
                      <a:rPr lang="en-US"/>
                      <a:t>Entladen</a:t>
                    </a:r>
                    <a:r>
                      <a:rPr lang="en-US" baseline="0"/>
                      <a:t>
</a:t>
                    </a:r>
                    <a:fld id="{58F733C2-5D15-4D7B-9232-B55EF0344676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-0.0345719265091863"/>
                  <c:y val="0.0930662751594103"/>
                </c:manualLayout>
              </c:layout>
              <c:tx>
                <c:rich>
                  <a:bodyPr/>
                  <a:lstStyle/>
                  <a:p>
                    <a:fld id="{195A93AE-133D-4D62-A108-21B5F8D88F65}" type="CATEGORYNAME">
                      <a:rPr lang="en-US"/>
                      <a:pPr/>
                      <a:t>[RUBRIKENNAME]</a:t>
                    </a:fld>
                    <a:endParaRPr lang="en-US"/>
                  </a:p>
                  <a:p>
                    <a:r>
                      <a:rPr lang="en-US" baseline="0"/>
                      <a:t>Kapazität
</a:t>
                    </a:r>
                    <a:fld id="{765731D3-1EF9-4C7C-A4C7-14D76E43F585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solidFill>
                <a:srgbClr val="FFFF66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1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Lit>
              <c:ptCount val="1"/>
              <c:pt idx="0">
                <c:v>Direkt</c:v>
              </c:pt>
            </c:strLit>
          </c:cat>
          <c:val>
            <c:numRef>
              <c:f>'2026'!$O$5:$O$7</c:f>
              <c:numCache>
                <c:formatCode>General</c:formatCode>
                <c:ptCount val="3"/>
                <c:pt idx="0">
                  <c:v>600000.0</c:v>
                </c:pt>
                <c:pt idx="1">
                  <c:v>1.015205E6</c:v>
                </c:pt>
                <c:pt idx="2">
                  <c:v>415205.0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Erzeugung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Direkt
</a:t>
                    </a:r>
                    <a:fld id="{44018DD9-8C97-42FD-B5DD-156A6BE4EE33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aseline="0"/>
                      <a:t>Aufladen
</a:t>
                    </a:r>
                    <a:fld id="{5A0C1298-02BE-48B8-A12D-C475F219F342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aseline="0"/>
                      <a:t>Eingespeist
</a:t>
                    </a:r>
                    <a:fld id="{0B659A8A-7A68-4C10-AEA8-6EA6DE563F44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'2039'!$O$15:$O$17</c:f>
              <c:numCache>
                <c:formatCode>General</c:formatCode>
                <c:ptCount val="3"/>
                <c:pt idx="0">
                  <c:v>1.12464E6</c:v>
                </c:pt>
                <c:pt idx="1">
                  <c:v>7500.0</c:v>
                </c:pt>
                <c:pt idx="2">
                  <c:v>132000.0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Verbrauch</a:t>
            </a:r>
            <a:endParaRPr lang="de-DE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6BF3F3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</c:dPt>
          <c:dLbls>
            <c:dLbl>
              <c:idx val="1"/>
              <c:layout/>
              <c:tx>
                <c:rich>
                  <a:bodyPr/>
                  <a:lstStyle/>
                  <a:p>
                    <a:fld id="{77958A84-D16A-42CF-B671-32EBC5CB693F}" type="CATEGORYNAME">
                      <a:rPr lang="en-US"/>
                      <a:pPr/>
                      <a:t>[RUBRIKENNAME]</a:t>
                    </a:fld>
                    <a:r>
                      <a:rPr lang="en-US"/>
                      <a:t>Entladen</a:t>
                    </a:r>
                    <a:r>
                      <a:rPr lang="en-US" baseline="0"/>
                      <a:t>
</a:t>
                    </a:r>
                    <a:fld id="{58F733C2-5D15-4D7B-9232-B55EF0344676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95A93AE-133D-4D62-A108-21B5F8D88F65}" type="CATEGORYNAME">
                      <a:rPr lang="en-US"/>
                      <a:pPr/>
                      <a:t>[RUBRIKENNAME]</a:t>
                    </a:fld>
                    <a:r>
                      <a:rPr lang="en-US"/>
                      <a:t>Gekauft</a:t>
                    </a:r>
                    <a:r>
                      <a:rPr lang="en-US" baseline="0"/>
                      <a:t>
</a:t>
                    </a:r>
                    <a:fld id="{765731D3-1EF9-4C7C-A4C7-14D76E43F585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1"/>
              <c:pt idx="0">
                <c:v>Direkt</c:v>
              </c:pt>
            </c:strLit>
          </c:cat>
          <c:val>
            <c:numRef>
              <c:f>'2040'!$O$5:$O$7</c:f>
              <c:numCache>
                <c:formatCode>General</c:formatCode>
                <c:ptCount val="3"/>
                <c:pt idx="0">
                  <c:v>16000.0</c:v>
                </c:pt>
                <c:pt idx="1">
                  <c:v>55500.0</c:v>
                </c:pt>
                <c:pt idx="2">
                  <c:v>12000.0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Erzeugung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Direkt
</a:t>
                    </a:r>
                    <a:fld id="{44018DD9-8C97-42FD-B5DD-156A6BE4EE33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aseline="0"/>
                      <a:t>Aufladen
</a:t>
                    </a:r>
                    <a:fld id="{5A0C1298-02BE-48B8-A12D-C475F219F342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aseline="0"/>
                      <a:t>Eingespeist
</a:t>
                    </a:r>
                    <a:fld id="{0B659A8A-7A68-4C10-AEA8-6EA6DE563F44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'2040'!$O$15:$O$17</c:f>
              <c:numCache>
                <c:formatCode>General</c:formatCode>
                <c:ptCount val="3"/>
                <c:pt idx="0">
                  <c:v>1.12464E6</c:v>
                </c:pt>
                <c:pt idx="1">
                  <c:v>7500.0</c:v>
                </c:pt>
                <c:pt idx="2">
                  <c:v>132000.0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Verbrauch</a:t>
            </a:r>
            <a:endParaRPr lang="de-DE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6BF3F3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Direkt
</a:t>
                    </a:r>
                    <a:fld id="{7A9BF2B3-52BE-4ECF-AB4B-6E8CA371B7C0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Entladen</a:t>
                    </a:r>
                    <a:r>
                      <a:rPr lang="en-US" baseline="0"/>
                      <a:t>
</a:t>
                    </a:r>
                    <a:fld id="{58F733C2-5D15-4D7B-9232-B55EF0344676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Gekauft</a:t>
                    </a:r>
                    <a:r>
                      <a:rPr lang="en-US" baseline="0"/>
                      <a:t>
</a:t>
                    </a:r>
                    <a:fld id="{765731D3-1EF9-4C7C-A4C7-14D76E43F585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Gesamt!$S$5:$S$7</c:f>
              <c:numCache>
                <c:formatCode>_(* #,##0.00_);_(* \(#,##0.00\);_(* "-"??_);_(@_)</c:formatCode>
                <c:ptCount val="3"/>
                <c:pt idx="0">
                  <c:v>1.523632E7</c:v>
                </c:pt>
                <c:pt idx="1">
                  <c:v>1.84988925252525E6</c:v>
                </c:pt>
                <c:pt idx="2">
                  <c:v>2.33556025252525E6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Erzeugung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Direkt
</a:t>
                    </a:r>
                    <a:fld id="{44018DD9-8C97-42FD-B5DD-156A6BE4EE33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aseline="0"/>
                      <a:t>Aufladen
</a:t>
                    </a:r>
                    <a:fld id="{5A0C1298-02BE-48B8-A12D-C475F219F342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aseline="0"/>
                      <a:t>Eingespeist
</a:t>
                    </a:r>
                    <a:fld id="{0B659A8A-7A68-4C10-AEA8-6EA6DE563F44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Gesamt!$S$15:$S$17</c:f>
              <c:numCache>
                <c:formatCode>_(* #,##0.00_);_(* \(#,##0.00\);_(* "-"??_);_(@_)</c:formatCode>
                <c:ptCount val="3"/>
                <c:pt idx="0">
                  <c:v>2.51226E7</c:v>
                </c:pt>
                <c:pt idx="1">
                  <c:v>577730.2525252525</c:v>
                </c:pt>
                <c:pt idx="2">
                  <c:v>3.413045E6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Erzeugung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120079286938474"/>
                  <c:y val="-0.16810344827586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Direkt
</a:t>
                    </a:r>
                    <a:fld id="{44018DD9-8C97-42FD-B5DD-156A6BE4EE33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-0.0792978207152558"/>
                  <c:y val="0.28448275862069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Aufladen
</a:t>
                    </a:r>
                    <a:fld id="{5A0C1298-02BE-48B8-A12D-C475F219F342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aseline="0"/>
                      <a:t>Eingespeist
</a:t>
                    </a:r>
                    <a:fld id="{0B659A8A-7A68-4C10-AEA8-6EA6DE563F44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'2026'!$O$15:$O$17</c:f>
              <c:numCache>
                <c:formatCode>General</c:formatCode>
                <c:ptCount val="3"/>
                <c:pt idx="0">
                  <c:v>1.12464E6</c:v>
                </c:pt>
                <c:pt idx="1">
                  <c:v>415205.0</c:v>
                </c:pt>
                <c:pt idx="2">
                  <c:v>1.539845E6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Verbrauch</a:t>
            </a:r>
            <a:endParaRPr lang="de-DE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6BF3F3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</c:dPt>
          <c:dLbls>
            <c:dLbl>
              <c:idx val="1"/>
              <c:layout/>
              <c:tx>
                <c:rich>
                  <a:bodyPr/>
                  <a:lstStyle/>
                  <a:p>
                    <a:fld id="{77958A84-D16A-42CF-B671-32EBC5CB693F}" type="CATEGORYNAME">
                      <a:rPr lang="en-US"/>
                      <a:pPr/>
                      <a:t>[RUBRIKENNAME]</a:t>
                    </a:fld>
                    <a:r>
                      <a:rPr lang="en-US"/>
                      <a:t>Entladen</a:t>
                    </a:r>
                    <a:r>
                      <a:rPr lang="en-US" baseline="0"/>
                      <a:t>
</a:t>
                    </a:r>
                    <a:fld id="{58F733C2-5D15-4D7B-9232-B55EF0344676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95A93AE-133D-4D62-A108-21B5F8D88F65}" type="CATEGORYNAME">
                      <a:rPr lang="en-US"/>
                      <a:pPr/>
                      <a:t>[RUBRIKENNAME]</a:t>
                    </a:fld>
                    <a:r>
                      <a:rPr lang="en-US"/>
                      <a:t>Gekauft</a:t>
                    </a:r>
                    <a:r>
                      <a:rPr lang="en-US" baseline="0"/>
                      <a:t>
</a:t>
                    </a:r>
                    <a:fld id="{765731D3-1EF9-4C7C-A4C7-14D76E43F585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Lit>
              <c:ptCount val="1"/>
              <c:pt idx="0">
                <c:v>Direkt</c:v>
              </c:pt>
            </c:strLit>
          </c:cat>
          <c:val>
            <c:numRef>
              <c:f>'2027'!$O$5:$O$7</c:f>
              <c:numCache>
                <c:formatCode>General</c:formatCode>
                <c:ptCount val="3"/>
                <c:pt idx="0">
                  <c:v>16000.0</c:v>
                </c:pt>
                <c:pt idx="1">
                  <c:v>55500.0</c:v>
                </c:pt>
                <c:pt idx="2">
                  <c:v>12000.0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Erzeugung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Direkt
</a:t>
                    </a:r>
                    <a:fld id="{44018DD9-8C97-42FD-B5DD-156A6BE4EE33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aseline="0"/>
                      <a:t>Aufladen
</a:t>
                    </a:r>
                    <a:fld id="{5A0C1298-02BE-48B8-A12D-C475F219F342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aseline="0"/>
                      <a:t>Eingespeist
</a:t>
                    </a:r>
                    <a:fld id="{0B659A8A-7A68-4C10-AEA8-6EA6DE563F44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'2027'!$O$15:$O$17</c:f>
              <c:numCache>
                <c:formatCode>General</c:formatCode>
                <c:ptCount val="3"/>
                <c:pt idx="0">
                  <c:v>1.12464E6</c:v>
                </c:pt>
                <c:pt idx="1">
                  <c:v>7500.0</c:v>
                </c:pt>
                <c:pt idx="2">
                  <c:v>132000.0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Verbrauch</a:t>
            </a:r>
            <a:endParaRPr lang="de-DE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6BF3F3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</c:dPt>
          <c:dLbls>
            <c:dLbl>
              <c:idx val="1"/>
              <c:layout/>
              <c:tx>
                <c:rich>
                  <a:bodyPr/>
                  <a:lstStyle/>
                  <a:p>
                    <a:fld id="{77958A84-D16A-42CF-B671-32EBC5CB693F}" type="CATEGORYNAME">
                      <a:rPr lang="en-US"/>
                      <a:pPr/>
                      <a:t>[RUBRIKENNAME]</a:t>
                    </a:fld>
                    <a:r>
                      <a:rPr lang="en-US"/>
                      <a:t>Entladen</a:t>
                    </a:r>
                    <a:r>
                      <a:rPr lang="en-US" baseline="0"/>
                      <a:t>
</a:t>
                    </a:r>
                    <a:fld id="{58F733C2-5D15-4D7B-9232-B55EF0344676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95A93AE-133D-4D62-A108-21B5F8D88F65}" type="CATEGORYNAME">
                      <a:rPr lang="en-US"/>
                      <a:pPr/>
                      <a:t>[RUBRIKENNAME]</a:t>
                    </a:fld>
                    <a:r>
                      <a:rPr lang="en-US"/>
                      <a:t>Gekauft</a:t>
                    </a:r>
                    <a:r>
                      <a:rPr lang="en-US" baseline="0"/>
                      <a:t>
</a:t>
                    </a:r>
                    <a:fld id="{765731D3-1EF9-4C7C-A4C7-14D76E43F585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Lit>
              <c:ptCount val="1"/>
              <c:pt idx="0">
                <c:v>Direkt</c:v>
              </c:pt>
            </c:strLit>
          </c:cat>
          <c:val>
            <c:numRef>
              <c:f>'2028'!$O$5:$O$7</c:f>
              <c:numCache>
                <c:formatCode>General</c:formatCode>
                <c:ptCount val="3"/>
                <c:pt idx="0">
                  <c:v>16000.0</c:v>
                </c:pt>
                <c:pt idx="1">
                  <c:v>55500.0</c:v>
                </c:pt>
                <c:pt idx="2">
                  <c:v>12000.0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Erzeugung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Direkt
</a:t>
                    </a:r>
                    <a:fld id="{44018DD9-8C97-42FD-B5DD-156A6BE4EE33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aseline="0"/>
                      <a:t>Aufladen
</a:t>
                    </a:r>
                    <a:fld id="{5A0C1298-02BE-48B8-A12D-C475F219F342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aseline="0"/>
                      <a:t>Eingespeist
</a:t>
                    </a:r>
                    <a:fld id="{0B659A8A-7A68-4C10-AEA8-6EA6DE563F44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'2028'!$O$15:$O$17</c:f>
              <c:numCache>
                <c:formatCode>General</c:formatCode>
                <c:ptCount val="3"/>
                <c:pt idx="0">
                  <c:v>1.12464E6</c:v>
                </c:pt>
                <c:pt idx="1">
                  <c:v>7500.0</c:v>
                </c:pt>
                <c:pt idx="2">
                  <c:v>132000.0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Verbrauch</a:t>
            </a:r>
            <a:endParaRPr lang="de-DE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6BF3F3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</c:dPt>
          <c:dLbls>
            <c:dLbl>
              <c:idx val="1"/>
              <c:layout/>
              <c:tx>
                <c:rich>
                  <a:bodyPr/>
                  <a:lstStyle/>
                  <a:p>
                    <a:fld id="{77958A84-D16A-42CF-B671-32EBC5CB693F}" type="CATEGORYNAME">
                      <a:rPr lang="en-US"/>
                      <a:pPr/>
                      <a:t>[RUBRIKENNAME]</a:t>
                    </a:fld>
                    <a:r>
                      <a:rPr lang="en-US"/>
                      <a:t>Entladen</a:t>
                    </a:r>
                    <a:r>
                      <a:rPr lang="en-US" baseline="0"/>
                      <a:t>
</a:t>
                    </a:r>
                    <a:fld id="{58F733C2-5D15-4D7B-9232-B55EF0344676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95A93AE-133D-4D62-A108-21B5F8D88F65}" type="CATEGORYNAME">
                      <a:rPr lang="en-US"/>
                      <a:pPr/>
                      <a:t>[RUBRIKENNAME]</a:t>
                    </a:fld>
                    <a:r>
                      <a:rPr lang="en-US"/>
                      <a:t>Gekauft</a:t>
                    </a:r>
                    <a:r>
                      <a:rPr lang="en-US" baseline="0"/>
                      <a:t>
</a:t>
                    </a:r>
                    <a:fld id="{765731D3-1EF9-4C7C-A4C7-14D76E43F585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1"/>
              <c:pt idx="0">
                <c:v>Direkt</c:v>
              </c:pt>
            </c:strLit>
          </c:cat>
          <c:val>
            <c:numRef>
              <c:f>'2029'!$O$5:$O$7</c:f>
              <c:numCache>
                <c:formatCode>General</c:formatCode>
                <c:ptCount val="3"/>
                <c:pt idx="0">
                  <c:v>16000.0</c:v>
                </c:pt>
                <c:pt idx="1">
                  <c:v>55500.0</c:v>
                </c:pt>
                <c:pt idx="2">
                  <c:v>12000.0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47</xdr:row>
      <xdr:rowOff>33337</xdr:rowOff>
    </xdr:from>
    <xdr:to>
      <xdr:col>7</xdr:col>
      <xdr:colOff>619125</xdr:colOff>
      <xdr:row>67</xdr:row>
      <xdr:rowOff>123825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48</xdr:row>
      <xdr:rowOff>9525</xdr:rowOff>
    </xdr:from>
    <xdr:to>
      <xdr:col>15</xdr:col>
      <xdr:colOff>19050</xdr:colOff>
      <xdr:row>68</xdr:row>
      <xdr:rowOff>104775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22</xdr:row>
      <xdr:rowOff>52387</xdr:rowOff>
    </xdr:from>
    <xdr:to>
      <xdr:col>7</xdr:col>
      <xdr:colOff>609600</xdr:colOff>
      <xdr:row>38</xdr:row>
      <xdr:rowOff>152400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66675</xdr:rowOff>
    </xdr:from>
    <xdr:to>
      <xdr:col>15</xdr:col>
      <xdr:colOff>9525</xdr:colOff>
      <xdr:row>38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22</xdr:row>
      <xdr:rowOff>52387</xdr:rowOff>
    </xdr:from>
    <xdr:to>
      <xdr:col>7</xdr:col>
      <xdr:colOff>609600</xdr:colOff>
      <xdr:row>38</xdr:row>
      <xdr:rowOff>152400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66675</xdr:rowOff>
    </xdr:from>
    <xdr:to>
      <xdr:col>15</xdr:col>
      <xdr:colOff>9525</xdr:colOff>
      <xdr:row>38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22</xdr:row>
      <xdr:rowOff>52387</xdr:rowOff>
    </xdr:from>
    <xdr:to>
      <xdr:col>7</xdr:col>
      <xdr:colOff>609600</xdr:colOff>
      <xdr:row>38</xdr:row>
      <xdr:rowOff>152400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66675</xdr:rowOff>
    </xdr:from>
    <xdr:to>
      <xdr:col>15</xdr:col>
      <xdr:colOff>9525</xdr:colOff>
      <xdr:row>38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22</xdr:row>
      <xdr:rowOff>52387</xdr:rowOff>
    </xdr:from>
    <xdr:to>
      <xdr:col>7</xdr:col>
      <xdr:colOff>609600</xdr:colOff>
      <xdr:row>38</xdr:row>
      <xdr:rowOff>152400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66675</xdr:rowOff>
    </xdr:from>
    <xdr:to>
      <xdr:col>15</xdr:col>
      <xdr:colOff>9525</xdr:colOff>
      <xdr:row>38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22</xdr:row>
      <xdr:rowOff>52387</xdr:rowOff>
    </xdr:from>
    <xdr:to>
      <xdr:col>7</xdr:col>
      <xdr:colOff>609600</xdr:colOff>
      <xdr:row>38</xdr:row>
      <xdr:rowOff>152400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66675</xdr:rowOff>
    </xdr:from>
    <xdr:to>
      <xdr:col>15</xdr:col>
      <xdr:colOff>9525</xdr:colOff>
      <xdr:row>38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22</xdr:row>
      <xdr:rowOff>52387</xdr:rowOff>
    </xdr:from>
    <xdr:to>
      <xdr:col>7</xdr:col>
      <xdr:colOff>609600</xdr:colOff>
      <xdr:row>38</xdr:row>
      <xdr:rowOff>152400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66675</xdr:rowOff>
    </xdr:from>
    <xdr:to>
      <xdr:col>15</xdr:col>
      <xdr:colOff>9525</xdr:colOff>
      <xdr:row>38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22</xdr:row>
      <xdr:rowOff>52387</xdr:rowOff>
    </xdr:from>
    <xdr:to>
      <xdr:col>7</xdr:col>
      <xdr:colOff>609600</xdr:colOff>
      <xdr:row>38</xdr:row>
      <xdr:rowOff>152400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66675</xdr:rowOff>
    </xdr:from>
    <xdr:to>
      <xdr:col>15</xdr:col>
      <xdr:colOff>9525</xdr:colOff>
      <xdr:row>38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401108</xdr:colOff>
      <xdr:row>22</xdr:row>
      <xdr:rowOff>14287</xdr:rowOff>
    </xdr:from>
    <xdr:to>
      <xdr:col>9</xdr:col>
      <xdr:colOff>296333</xdr:colOff>
      <xdr:row>40</xdr:row>
      <xdr:rowOff>95250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306916</xdr:colOff>
      <xdr:row>22</xdr:row>
      <xdr:rowOff>20107</xdr:rowOff>
    </xdr:from>
    <xdr:to>
      <xdr:col>19</xdr:col>
      <xdr:colOff>8467</xdr:colOff>
      <xdr:row>40</xdr:row>
      <xdr:rowOff>96307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33338</xdr:colOff>
      <xdr:row>2</xdr:row>
      <xdr:rowOff>164307</xdr:rowOff>
    </xdr:from>
    <xdr:to>
      <xdr:col>23</xdr:col>
      <xdr:colOff>628651</xdr:colOff>
      <xdr:row>2</xdr:row>
      <xdr:rowOff>235744</xdr:rowOff>
    </xdr:to>
    <xdr:sp macro="" textlink="">
      <xdr:nvSpPr>
        <xdr:cNvPr id="5" name="Pfeil nach rechts 4"/>
        <xdr:cNvSpPr/>
      </xdr:nvSpPr>
      <xdr:spPr>
        <a:xfrm rot="10800000">
          <a:off x="17130713" y="688182"/>
          <a:ext cx="595313" cy="71437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23</xdr:col>
      <xdr:colOff>19050</xdr:colOff>
      <xdr:row>3</xdr:row>
      <xdr:rowOff>78583</xdr:rowOff>
    </xdr:from>
    <xdr:to>
      <xdr:col>23</xdr:col>
      <xdr:colOff>614363</xdr:colOff>
      <xdr:row>3</xdr:row>
      <xdr:rowOff>150020</xdr:rowOff>
    </xdr:to>
    <xdr:sp macro="" textlink="">
      <xdr:nvSpPr>
        <xdr:cNvPr id="6" name="Pfeil nach rechts 5"/>
        <xdr:cNvSpPr/>
      </xdr:nvSpPr>
      <xdr:spPr>
        <a:xfrm rot="10800000">
          <a:off x="17116425" y="935833"/>
          <a:ext cx="595313" cy="71437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23</xdr:col>
      <xdr:colOff>28576</xdr:colOff>
      <xdr:row>6</xdr:row>
      <xdr:rowOff>52389</xdr:rowOff>
    </xdr:from>
    <xdr:to>
      <xdr:col>23</xdr:col>
      <xdr:colOff>623889</xdr:colOff>
      <xdr:row>6</xdr:row>
      <xdr:rowOff>123826</xdr:rowOff>
    </xdr:to>
    <xdr:sp macro="" textlink="">
      <xdr:nvSpPr>
        <xdr:cNvPr id="7" name="Pfeil nach rechts 6"/>
        <xdr:cNvSpPr/>
      </xdr:nvSpPr>
      <xdr:spPr>
        <a:xfrm rot="10800000">
          <a:off x="17125951" y="1516858"/>
          <a:ext cx="595313" cy="71437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23</xdr:col>
      <xdr:colOff>38100</xdr:colOff>
      <xdr:row>7</xdr:row>
      <xdr:rowOff>85726</xdr:rowOff>
    </xdr:from>
    <xdr:to>
      <xdr:col>23</xdr:col>
      <xdr:colOff>633413</xdr:colOff>
      <xdr:row>7</xdr:row>
      <xdr:rowOff>157163</xdr:rowOff>
    </xdr:to>
    <xdr:sp macro="" textlink="">
      <xdr:nvSpPr>
        <xdr:cNvPr id="8" name="Pfeil nach rechts 7"/>
        <xdr:cNvSpPr/>
      </xdr:nvSpPr>
      <xdr:spPr>
        <a:xfrm rot="10800000">
          <a:off x="17135475" y="1752601"/>
          <a:ext cx="595313" cy="71437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823912</xdr:colOff>
      <xdr:row>34</xdr:row>
      <xdr:rowOff>134937</xdr:rowOff>
    </xdr:from>
    <xdr:to>
      <xdr:col>7</xdr:col>
      <xdr:colOff>681037</xdr:colOff>
      <xdr:row>51</xdr:row>
      <xdr:rowOff>171450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844551</xdr:colOff>
      <xdr:row>34</xdr:row>
      <xdr:rowOff>133351</xdr:rowOff>
    </xdr:from>
    <xdr:to>
      <xdr:col>14</xdr:col>
      <xdr:colOff>814388</xdr:colOff>
      <xdr:row>52</xdr:row>
      <xdr:rowOff>1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752871</xdr:colOff>
      <xdr:row>22</xdr:row>
      <xdr:rowOff>27384</xdr:rowOff>
    </xdr:from>
    <xdr:to>
      <xdr:col>7</xdr:col>
      <xdr:colOff>604441</xdr:colOff>
      <xdr:row>38</xdr:row>
      <xdr:rowOff>125809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38497</xdr:colOff>
      <xdr:row>22</xdr:row>
      <xdr:rowOff>22225</xdr:rowOff>
    </xdr:from>
    <xdr:to>
      <xdr:col>15</xdr:col>
      <xdr:colOff>48022</xdr:colOff>
      <xdr:row>38</xdr:row>
      <xdr:rowOff>125412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22</xdr:row>
      <xdr:rowOff>52387</xdr:rowOff>
    </xdr:from>
    <xdr:to>
      <xdr:col>7</xdr:col>
      <xdr:colOff>609600</xdr:colOff>
      <xdr:row>38</xdr:row>
      <xdr:rowOff>152400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66675</xdr:rowOff>
    </xdr:from>
    <xdr:to>
      <xdr:col>15</xdr:col>
      <xdr:colOff>9525</xdr:colOff>
      <xdr:row>38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22</xdr:row>
      <xdr:rowOff>52387</xdr:rowOff>
    </xdr:from>
    <xdr:to>
      <xdr:col>7</xdr:col>
      <xdr:colOff>609600</xdr:colOff>
      <xdr:row>38</xdr:row>
      <xdr:rowOff>152400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66675</xdr:rowOff>
    </xdr:from>
    <xdr:to>
      <xdr:col>15</xdr:col>
      <xdr:colOff>9525</xdr:colOff>
      <xdr:row>38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22</xdr:row>
      <xdr:rowOff>52387</xdr:rowOff>
    </xdr:from>
    <xdr:to>
      <xdr:col>7</xdr:col>
      <xdr:colOff>609600</xdr:colOff>
      <xdr:row>38</xdr:row>
      <xdr:rowOff>152400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66675</xdr:rowOff>
    </xdr:from>
    <xdr:to>
      <xdr:col>15</xdr:col>
      <xdr:colOff>9525</xdr:colOff>
      <xdr:row>38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22</xdr:row>
      <xdr:rowOff>52387</xdr:rowOff>
    </xdr:from>
    <xdr:to>
      <xdr:col>7</xdr:col>
      <xdr:colOff>609600</xdr:colOff>
      <xdr:row>38</xdr:row>
      <xdr:rowOff>152400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66675</xdr:rowOff>
    </xdr:from>
    <xdr:to>
      <xdr:col>15</xdr:col>
      <xdr:colOff>9525</xdr:colOff>
      <xdr:row>38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22</xdr:row>
      <xdr:rowOff>52387</xdr:rowOff>
    </xdr:from>
    <xdr:to>
      <xdr:col>7</xdr:col>
      <xdr:colOff>609600</xdr:colOff>
      <xdr:row>38</xdr:row>
      <xdr:rowOff>152400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66675</xdr:rowOff>
    </xdr:from>
    <xdr:to>
      <xdr:col>15</xdr:col>
      <xdr:colOff>9525</xdr:colOff>
      <xdr:row>38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22</xdr:row>
      <xdr:rowOff>52387</xdr:rowOff>
    </xdr:from>
    <xdr:to>
      <xdr:col>7</xdr:col>
      <xdr:colOff>609600</xdr:colOff>
      <xdr:row>38</xdr:row>
      <xdr:rowOff>152400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66675</xdr:rowOff>
    </xdr:from>
    <xdr:to>
      <xdr:col>15</xdr:col>
      <xdr:colOff>9525</xdr:colOff>
      <xdr:row>38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vmlDrawing" Target="../drawings/vmlDrawing10.vml"/><Relationship Id="rId3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vmlDrawing" Target="../drawings/vmlDrawing11.vml"/><Relationship Id="rId3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vmlDrawing" Target="../drawings/vmlDrawing12.vml"/><Relationship Id="rId3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vmlDrawing" Target="../drawings/vmlDrawing13.vml"/><Relationship Id="rId3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Relationship Id="rId2" Type="http://schemas.openxmlformats.org/officeDocument/2006/relationships/vmlDrawing" Target="../drawings/vmlDrawing14.vml"/><Relationship Id="rId3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Relationship Id="rId2" Type="http://schemas.openxmlformats.org/officeDocument/2006/relationships/vmlDrawing" Target="../drawings/vmlDrawing15.vml"/><Relationship Id="rId3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Relationship Id="rId2" Type="http://schemas.openxmlformats.org/officeDocument/2006/relationships/vmlDrawing" Target="../drawings/vmlDrawing16.vml"/><Relationship Id="rId3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Relationship Id="rId2" Type="http://schemas.openxmlformats.org/officeDocument/2006/relationships/vmlDrawing" Target="../drawings/vmlDrawing17.vml"/><Relationship Id="rId3" Type="http://schemas.openxmlformats.org/officeDocument/2006/relationships/comments" Target="../comments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7.vml"/><Relationship Id="rId3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8.vml"/><Relationship Id="rId3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9.vml"/><Relationship Id="rId3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77"/>
  <sheetViews>
    <sheetView tabSelected="1" topLeftCell="B3" zoomScale="150" zoomScaleNormal="150" zoomScalePageLayoutView="150" workbookViewId="0">
      <selection activeCell="R27" sqref="R27"/>
    </sheetView>
  </sheetViews>
  <sheetFormatPr baseColWidth="10" defaultRowHeight="14" x14ac:dyDescent="0"/>
  <cols>
    <col min="2" max="2" width="19.33203125" customWidth="1"/>
    <col min="3" max="3" width="11.33203125" customWidth="1"/>
    <col min="4" max="4" width="12.5" customWidth="1"/>
    <col min="5" max="5" width="11.5" customWidth="1"/>
    <col min="6" max="6" width="11.83203125" customWidth="1"/>
    <col min="7" max="7" width="11.33203125" customWidth="1"/>
    <col min="8" max="8" width="12.1640625" customWidth="1"/>
    <col min="9" max="9" width="11.33203125" customWidth="1"/>
    <col min="10" max="10" width="11" customWidth="1"/>
    <col min="11" max="11" width="11.5" customWidth="1"/>
    <col min="12" max="12" width="11.6640625" customWidth="1"/>
    <col min="13" max="13" width="11.33203125" customWidth="1"/>
    <col min="14" max="14" width="11" customWidth="1"/>
    <col min="16" max="16" width="20.5" customWidth="1"/>
    <col min="17" max="17" width="2.83203125" customWidth="1"/>
    <col min="18" max="18" width="29.5" bestFit="1" customWidth="1"/>
    <col min="19" max="19" width="14.5" bestFit="1" customWidth="1"/>
    <col min="20" max="20" width="13.5" customWidth="1"/>
    <col min="21" max="21" width="23.5" bestFit="1" customWidth="1"/>
    <col min="22" max="22" width="25.83203125" style="37" bestFit="1" customWidth="1"/>
  </cols>
  <sheetData>
    <row r="1" spans="1:22" ht="25">
      <c r="A1" s="92">
        <v>2025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2"/>
      <c r="R1" s="193" t="s">
        <v>28</v>
      </c>
      <c r="S1" s="194"/>
    </row>
    <row r="2" spans="1:22">
      <c r="Q2" s="2"/>
      <c r="R2" s="14" t="s">
        <v>55</v>
      </c>
      <c r="S2" s="69">
        <v>0.38200000000000001</v>
      </c>
    </row>
    <row r="3" spans="1:22" s="37" customFormat="1" ht="25">
      <c r="A3"/>
      <c r="B3" s="96" t="s">
        <v>118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/>
      <c r="Q3" s="2"/>
      <c r="R3" s="14" t="s">
        <v>100</v>
      </c>
      <c r="S3" s="110">
        <v>1000</v>
      </c>
    </row>
    <row r="4" spans="1:22" ht="15" thickBot="1">
      <c r="B4" s="5"/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27</v>
      </c>
      <c r="L4" s="5" t="s">
        <v>10</v>
      </c>
      <c r="M4" s="5" t="s">
        <v>26</v>
      </c>
      <c r="N4" s="5" t="s">
        <v>25</v>
      </c>
      <c r="O4" s="5" t="s">
        <v>11</v>
      </c>
      <c r="Q4" s="2"/>
      <c r="R4" s="16" t="s">
        <v>24</v>
      </c>
      <c r="S4" s="71">
        <v>9.0999999999999998E-2</v>
      </c>
    </row>
    <row r="5" spans="1:22" ht="15" thickBot="1">
      <c r="B5" s="3" t="s">
        <v>121</v>
      </c>
      <c r="C5" s="121">
        <v>50000</v>
      </c>
      <c r="D5" s="121">
        <v>50000</v>
      </c>
      <c r="E5" s="121">
        <v>50000</v>
      </c>
      <c r="F5" s="121">
        <v>50000</v>
      </c>
      <c r="G5" s="121">
        <v>50000</v>
      </c>
      <c r="H5" s="121">
        <v>50000</v>
      </c>
      <c r="I5" s="121">
        <v>50000</v>
      </c>
      <c r="J5" s="121">
        <v>50000</v>
      </c>
      <c r="K5" s="121">
        <v>50000</v>
      </c>
      <c r="L5" s="121">
        <v>50000</v>
      </c>
      <c r="M5" s="121">
        <v>50000</v>
      </c>
      <c r="N5" s="121">
        <v>50000</v>
      </c>
      <c r="O5" s="180">
        <v>0</v>
      </c>
      <c r="P5" s="181"/>
      <c r="Q5" s="2"/>
      <c r="R5" s="37"/>
      <c r="S5" s="37"/>
    </row>
    <row r="6" spans="1:22" ht="15" thickTop="1">
      <c r="B6" s="4" t="s">
        <v>122</v>
      </c>
      <c r="C6" s="121">
        <f>C5/C18+C29</f>
        <v>5570.5555555555557</v>
      </c>
      <c r="D6" s="121">
        <f t="shared" ref="D6:N6" si="0">D5/D18+D29</f>
        <v>5570.5555555555557</v>
      </c>
      <c r="E6" s="121">
        <f t="shared" si="0"/>
        <v>5570.5555555555557</v>
      </c>
      <c r="F6" s="121">
        <f t="shared" si="0"/>
        <v>4558.454545454545</v>
      </c>
      <c r="G6" s="121">
        <f t="shared" si="0"/>
        <v>4558.454545454545</v>
      </c>
      <c r="H6" s="121">
        <f t="shared" si="0"/>
        <v>4558.454545454545</v>
      </c>
      <c r="I6" s="121">
        <f t="shared" si="0"/>
        <v>3342.3333333333335</v>
      </c>
      <c r="J6" s="121">
        <f t="shared" si="0"/>
        <v>3342.3333333333335</v>
      </c>
      <c r="K6" s="121">
        <f t="shared" si="0"/>
        <v>5014</v>
      </c>
      <c r="L6" s="121">
        <f t="shared" si="0"/>
        <v>5014</v>
      </c>
      <c r="M6" s="121">
        <f t="shared" si="0"/>
        <v>5014</v>
      </c>
      <c r="N6" s="121">
        <f t="shared" si="0"/>
        <v>5570.5555555555557</v>
      </c>
      <c r="O6" s="180">
        <f t="shared" ref="O5:O8" si="1">SUM(C6:N6)</f>
        <v>57684.252525252523</v>
      </c>
      <c r="P6" s="181"/>
      <c r="Q6" s="2"/>
      <c r="R6" s="195" t="s">
        <v>29</v>
      </c>
      <c r="S6" s="196"/>
      <c r="U6" s="55" t="s">
        <v>36</v>
      </c>
      <c r="V6" s="56" t="s">
        <v>53</v>
      </c>
    </row>
    <row r="7" spans="1:22">
      <c r="B7" s="4" t="s">
        <v>113</v>
      </c>
      <c r="C7" s="170">
        <v>31</v>
      </c>
      <c r="D7" s="170">
        <v>28</v>
      </c>
      <c r="E7" s="170">
        <v>31</v>
      </c>
      <c r="F7" s="170">
        <v>30</v>
      </c>
      <c r="G7" s="170">
        <v>31</v>
      </c>
      <c r="H7" s="170">
        <v>30</v>
      </c>
      <c r="I7" s="170">
        <v>31</v>
      </c>
      <c r="J7" s="170">
        <v>31</v>
      </c>
      <c r="K7" s="170">
        <v>30</v>
      </c>
      <c r="L7" s="170">
        <v>31</v>
      </c>
      <c r="M7" s="170">
        <v>30</v>
      </c>
      <c r="N7" s="170">
        <v>31</v>
      </c>
      <c r="O7" s="158"/>
      <c r="P7" s="182"/>
      <c r="Q7" s="12"/>
      <c r="R7" s="17" t="s">
        <v>35</v>
      </c>
      <c r="S7" s="72">
        <v>12000000</v>
      </c>
      <c r="T7" s="11"/>
      <c r="U7" s="57">
        <f>S7-T22</f>
        <v>11975671.205535354</v>
      </c>
      <c r="V7" s="60">
        <f>U7/T22</f>
        <v>492.24268892311426</v>
      </c>
    </row>
    <row r="8" spans="1:22" ht="16" thickBot="1">
      <c r="B8" s="111" t="s">
        <v>150</v>
      </c>
      <c r="C8" s="122">
        <f>C6*C7</f>
        <v>172687.22222222222</v>
      </c>
      <c r="D8" s="122">
        <f t="shared" ref="D8:N8" si="2">D6*D7</f>
        <v>155975.55555555556</v>
      </c>
      <c r="E8" s="122">
        <f t="shared" si="2"/>
        <v>172687.22222222222</v>
      </c>
      <c r="F8" s="122">
        <f t="shared" si="2"/>
        <v>136753.63636363635</v>
      </c>
      <c r="G8" s="122">
        <f t="shared" si="2"/>
        <v>141312.09090909088</v>
      </c>
      <c r="H8" s="122">
        <f t="shared" si="2"/>
        <v>136753.63636363635</v>
      </c>
      <c r="I8" s="122">
        <f t="shared" si="2"/>
        <v>103612.33333333334</v>
      </c>
      <c r="J8" s="122">
        <f t="shared" si="2"/>
        <v>103612.33333333334</v>
      </c>
      <c r="K8" s="122">
        <f t="shared" si="2"/>
        <v>150420</v>
      </c>
      <c r="L8" s="122">
        <f t="shared" si="2"/>
        <v>155434</v>
      </c>
      <c r="M8" s="122">
        <f t="shared" si="2"/>
        <v>150420</v>
      </c>
      <c r="N8" s="122">
        <f t="shared" si="2"/>
        <v>172687.22222222222</v>
      </c>
      <c r="O8" s="35">
        <f t="shared" si="1"/>
        <v>1752355.2525252525</v>
      </c>
      <c r="Q8" s="12"/>
      <c r="R8" s="18" t="s">
        <v>34</v>
      </c>
      <c r="S8" s="73">
        <v>5000000</v>
      </c>
      <c r="T8" s="11"/>
      <c r="U8" s="58">
        <f>S8-((O6*S2)-O17*S4)</f>
        <v>4983199.4135151515</v>
      </c>
      <c r="V8" s="61">
        <f>U8/U9</f>
        <v>296.60865815661919</v>
      </c>
    </row>
    <row r="9" spans="1:22" ht="16" thickTop="1" thickBot="1">
      <c r="B9" s="33" t="s">
        <v>12</v>
      </c>
      <c r="C9" s="33">
        <f>SUM(C5:C8)</f>
        <v>228288.77777777778</v>
      </c>
      <c r="D9" s="33">
        <f>SUM(D5:D8)</f>
        <v>211574.11111111112</v>
      </c>
      <c r="E9" s="33">
        <f>SUM(E5:E8)</f>
        <v>228288.77777777778</v>
      </c>
      <c r="F9" s="33">
        <f>SUM(F5:F8)</f>
        <v>191342.09090909088</v>
      </c>
      <c r="G9" s="33">
        <f>SUM(G5:G8)</f>
        <v>195901.54545454541</v>
      </c>
      <c r="H9" s="33">
        <f>SUM(H5:H8)</f>
        <v>191342.09090909088</v>
      </c>
      <c r="I9" s="33">
        <f>SUM(I5:I8)</f>
        <v>156985.66666666669</v>
      </c>
      <c r="J9" s="33">
        <f>SUM(J5:J8)</f>
        <v>156985.66666666669</v>
      </c>
      <c r="K9" s="33">
        <f>SUM(K5:K8)</f>
        <v>205464</v>
      </c>
      <c r="L9" s="33">
        <f>SUM(L5:L8)</f>
        <v>210479</v>
      </c>
      <c r="M9" s="33">
        <f>SUM(M5:M8)</f>
        <v>205464</v>
      </c>
      <c r="N9" s="34">
        <f>SUM(N5:N8)</f>
        <v>228288.77777777778</v>
      </c>
      <c r="O9" s="33">
        <f>SUM(O5:O8)</f>
        <v>1810039.505050505</v>
      </c>
      <c r="Q9" s="2"/>
      <c r="R9" s="37"/>
      <c r="S9" s="37"/>
      <c r="U9" s="65">
        <f>S8-U8</f>
        <v>16800.586484848522</v>
      </c>
    </row>
    <row r="10" spans="1:22">
      <c r="B10" s="41" t="s">
        <v>40</v>
      </c>
      <c r="C10" s="150">
        <f>IF(C9&gt;0,(C5+C6)/C9,"")</f>
        <v>0.24342219576666785</v>
      </c>
      <c r="D10" s="150">
        <f>IF(D9&gt;0,(D5+D6)/D9,"")</f>
        <v>0.2626529080695128</v>
      </c>
      <c r="E10" s="150">
        <f>IF(E9&gt;0,(E5+E6)/E9,"")</f>
        <v>0.24342219576666785</v>
      </c>
      <c r="F10" s="150">
        <f>IF(F9&gt;0,(F5+F6)/F9,"")</f>
        <v>0.28513566610587515</v>
      </c>
      <c r="G10" s="150">
        <f>IF(G9&gt;0,(G5+G6)/G9,"")</f>
        <v>0.27849935751585797</v>
      </c>
      <c r="H10" s="150">
        <f>IF(H9&gt;0,(H5+H6)/H9,"")</f>
        <v>0.28513566610587515</v>
      </c>
      <c r="I10" s="150">
        <f>IF(I9&gt;0,(I5+I6)/I9,"")</f>
        <v>0.33979110619440839</v>
      </c>
      <c r="J10" s="150">
        <f>IF(J9&gt;0,(J5+J6)/J9,"")</f>
        <v>0.33979110619440839</v>
      </c>
      <c r="K10" s="150">
        <f>IF(K9&gt;0,(K5+K6)/K9,"")</f>
        <v>0.26775493517112486</v>
      </c>
      <c r="L10" s="150">
        <f>IF(L9&gt;0,(L5+L6)/L9,"")</f>
        <v>0.26137524408610835</v>
      </c>
      <c r="M10" s="150">
        <f>IF(M9&gt;0,(M5+M6)/M9,"")</f>
        <v>0.26775493517112486</v>
      </c>
      <c r="N10" s="150">
        <f>IF(N9&gt;0,(N5+N6)/N9,"")</f>
        <v>0.24342219576666785</v>
      </c>
      <c r="O10" s="151">
        <f>(O5+O6)/O9</f>
        <v>3.1869057202507288E-2</v>
      </c>
      <c r="Q10" s="2"/>
      <c r="R10" s="197" t="s">
        <v>30</v>
      </c>
      <c r="S10" s="198"/>
    </row>
    <row r="11" spans="1:22">
      <c r="B11" s="43" t="s">
        <v>41</v>
      </c>
      <c r="C11" s="148">
        <f>IF(C9&gt;0,(C5+C6)/C21,"")</f>
        <v>9.3616865954372228E-2</v>
      </c>
      <c r="D11" s="148">
        <f>IF(D9&gt;0,(D5+D6)/D21,"")</f>
        <v>0.10350405305592905</v>
      </c>
      <c r="E11" s="148">
        <f>IF(E9&gt;0,(E5+E6)/E21,"")</f>
        <v>9.3616865954372228E-2</v>
      </c>
      <c r="F11" s="148">
        <f>IF(F9&gt;0,(F5+F6)/F21,"")</f>
        <v>7.797557633282752E-2</v>
      </c>
      <c r="G11" s="148">
        <f>IF(G9&gt;0,(G5+G6)/G21,"")</f>
        <v>7.548339999864162E-2</v>
      </c>
      <c r="H11" s="148">
        <f>IF(H9&gt;0,(H5+H6)/H21,"")</f>
        <v>7.797557633282752E-2</v>
      </c>
      <c r="I11" s="148">
        <f>IF(I9&gt;0,(I5+I6)/I21,"")</f>
        <v>5.4321238260954578E-2</v>
      </c>
      <c r="J11" s="148">
        <f>IF(J9&gt;0,(J5+J6)/J21,"")</f>
        <v>5.4321238260954578E-2</v>
      </c>
      <c r="K11" s="148">
        <f>IF(K9&gt;0,(K5+K6)/K21,"")</f>
        <v>8.6345230247669269E-2</v>
      </c>
      <c r="L11" s="148">
        <f>IF(L9&gt;0,(L5+L6)/L21,"")</f>
        <v>8.3589990594720581E-2</v>
      </c>
      <c r="M11" s="148">
        <f>IF(M9&gt;0,(M5+M6)/M21,"")</f>
        <v>8.6345230247669269E-2</v>
      </c>
      <c r="N11" s="148">
        <f>IF(N9&gt;0,(N5+N6)/N21,"")</f>
        <v>9.3616865954372228E-2</v>
      </c>
      <c r="O11" s="152">
        <f>IF(O9&gt;0,(O5+O6)/O21,"")</f>
        <v>6.9201240177364847E-3</v>
      </c>
      <c r="Q11" s="2"/>
      <c r="R11" s="19" t="s">
        <v>87</v>
      </c>
      <c r="S11" s="20">
        <f>P5/O9</f>
        <v>0</v>
      </c>
      <c r="T11" s="13"/>
    </row>
    <row r="12" spans="1:22" ht="15" thickBot="1">
      <c r="A12" s="37"/>
      <c r="B12" s="44" t="s">
        <v>42</v>
      </c>
      <c r="C12" s="153">
        <f>IF(C9&gt;0,C5*$S$2+C6*$S$2+C20*$S$4,"")</f>
        <v>21419.052222222221</v>
      </c>
      <c r="D12" s="153">
        <f>IF(D9&gt;0,D5*$S$2+D6*$S$2+D20*$S$4,"")</f>
        <v>21419.052222222221</v>
      </c>
      <c r="E12" s="153">
        <f>IF(E9&gt;0,E5*$S$2+E6*$S$2+E20*$S$4,"")</f>
        <v>21419.052222222221</v>
      </c>
      <c r="F12" s="153">
        <f>IF(F9&gt;0,F5*$S$2+F6*$S$2+F20*$S$4,"")</f>
        <v>21032.429636363635</v>
      </c>
      <c r="G12" s="153">
        <f>IF(G9&gt;0,G5*$S$2+G6*$S$2+G20*$S$4,"")</f>
        <v>21032.429636363635</v>
      </c>
      <c r="H12" s="153">
        <f>IF(H9&gt;0,H5*$S$2+H6*$S$2+H20*$S$4,"")</f>
        <v>21032.429636363635</v>
      </c>
      <c r="I12" s="153">
        <f>IF(I9&gt;0,I5*$S$2+I6*$S$2+I20*$S$4,"")</f>
        <v>20567.871333333333</v>
      </c>
      <c r="J12" s="153">
        <f>IF(J9&gt;0,J5*$S$2+J6*$S$2+J20*$S$4,"")</f>
        <v>20567.871333333333</v>
      </c>
      <c r="K12" s="153">
        <f>IF(K9&gt;0,K5*$S$2+K6*$S$2+K20*$S$4,"")</f>
        <v>21206.447999999997</v>
      </c>
      <c r="L12" s="153">
        <f>IF(L9&gt;0,L5*$S$2+L6*$S$2+L20*$S$4,"")</f>
        <v>21206.447999999997</v>
      </c>
      <c r="M12" s="153">
        <f>IF(M9&gt;0,M5*$S$2+M6*$S$2+M20*$S$4,"")</f>
        <v>21206.447999999997</v>
      </c>
      <c r="N12" s="153">
        <f>IF(N9&gt;0,N5*$S$2+N6*$S$2+N20*$S$4,"")</f>
        <v>21419.052222222221</v>
      </c>
      <c r="O12" s="154">
        <f>SUM(C12:N12)</f>
        <v>253528.58446464647</v>
      </c>
      <c r="P12" s="37"/>
      <c r="Q12" s="2"/>
      <c r="R12" s="21" t="s">
        <v>88</v>
      </c>
      <c r="S12" s="22">
        <f>P5/O21</f>
        <v>0</v>
      </c>
    </row>
    <row r="13" spans="1:22" s="37" customFormat="1">
      <c r="A13" t="s">
        <v>85</v>
      </c>
      <c r="B13" s="142" t="s">
        <v>85</v>
      </c>
      <c r="P13"/>
      <c r="Q13" s="2"/>
    </row>
    <row r="14" spans="1:22" ht="26" thickBot="1">
      <c r="B14" s="186" t="s">
        <v>130</v>
      </c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8"/>
      <c r="Q14" s="2"/>
      <c r="R14" s="37"/>
      <c r="S14" s="11"/>
    </row>
    <row r="15" spans="1:22">
      <c r="B15" s="5" t="s">
        <v>110</v>
      </c>
      <c r="C15" s="5" t="s">
        <v>2</v>
      </c>
      <c r="D15" s="5" t="s">
        <v>3</v>
      </c>
      <c r="E15" s="5" t="s">
        <v>4</v>
      </c>
      <c r="F15" s="5" t="s">
        <v>5</v>
      </c>
      <c r="G15" s="5" t="s">
        <v>6</v>
      </c>
      <c r="H15" s="5" t="s">
        <v>7</v>
      </c>
      <c r="I15" s="5" t="s">
        <v>8</v>
      </c>
      <c r="J15" s="5" t="s">
        <v>9</v>
      </c>
      <c r="K15" s="5" t="s">
        <v>27</v>
      </c>
      <c r="L15" s="5" t="s">
        <v>10</v>
      </c>
      <c r="M15" s="5" t="s">
        <v>26</v>
      </c>
      <c r="N15" s="5" t="s">
        <v>25</v>
      </c>
      <c r="O15" s="5" t="s">
        <v>11</v>
      </c>
      <c r="Q15" s="2"/>
      <c r="R15" s="199" t="s">
        <v>31</v>
      </c>
      <c r="S15" s="200"/>
    </row>
    <row r="16" spans="1:22">
      <c r="B16" s="189" t="s">
        <v>128</v>
      </c>
      <c r="C16" s="121">
        <f>C20*C18*C19</f>
        <v>585900</v>
      </c>
      <c r="D16" s="121">
        <f t="shared" ref="D16:N16" si="3">D20*D18*D19</f>
        <v>529200</v>
      </c>
      <c r="E16" s="121">
        <f t="shared" si="3"/>
        <v>585900</v>
      </c>
      <c r="F16" s="121">
        <f t="shared" si="3"/>
        <v>693000</v>
      </c>
      <c r="G16" s="121">
        <f t="shared" si="3"/>
        <v>716100</v>
      </c>
      <c r="H16" s="121">
        <f t="shared" si="3"/>
        <v>693000</v>
      </c>
      <c r="I16" s="121">
        <f t="shared" si="3"/>
        <v>976500</v>
      </c>
      <c r="J16" s="121">
        <f t="shared" si="3"/>
        <v>976500</v>
      </c>
      <c r="K16" s="121">
        <f t="shared" si="3"/>
        <v>630000</v>
      </c>
      <c r="L16" s="121">
        <f t="shared" si="3"/>
        <v>651000</v>
      </c>
      <c r="M16" s="121">
        <f t="shared" si="3"/>
        <v>630000</v>
      </c>
      <c r="N16" s="121">
        <f t="shared" si="3"/>
        <v>585900</v>
      </c>
      <c r="O16" s="5">
        <f t="shared" ref="O16:O20" si="4">SUM(C16:N16)</f>
        <v>8253000</v>
      </c>
      <c r="Q16" s="2"/>
      <c r="R16" s="23" t="s">
        <v>19</v>
      </c>
      <c r="S16" s="24">
        <f>O17</f>
        <v>57525.252525252523</v>
      </c>
    </row>
    <row r="17" spans="1:21">
      <c r="B17" s="190" t="s">
        <v>136</v>
      </c>
      <c r="C17" s="124">
        <f>C5/C18</f>
        <v>5555.5555555555557</v>
      </c>
      <c r="D17" s="124">
        <f t="shared" ref="D17:N17" si="5">D5/D18</f>
        <v>5555.5555555555557</v>
      </c>
      <c r="E17" s="124">
        <f t="shared" si="5"/>
        <v>5555.5555555555557</v>
      </c>
      <c r="F17" s="124">
        <f t="shared" si="5"/>
        <v>4545.454545454545</v>
      </c>
      <c r="G17" s="124">
        <f t="shared" si="5"/>
        <v>4545.454545454545</v>
      </c>
      <c r="H17" s="124">
        <f t="shared" si="5"/>
        <v>4545.454545454545</v>
      </c>
      <c r="I17" s="124">
        <f t="shared" si="5"/>
        <v>3333.3333333333335</v>
      </c>
      <c r="J17" s="124">
        <f t="shared" si="5"/>
        <v>3333.3333333333335</v>
      </c>
      <c r="K17" s="124">
        <f t="shared" si="5"/>
        <v>5000</v>
      </c>
      <c r="L17" s="124">
        <f t="shared" si="5"/>
        <v>5000</v>
      </c>
      <c r="M17" s="124">
        <f t="shared" si="5"/>
        <v>5000</v>
      </c>
      <c r="N17" s="124">
        <f t="shared" si="5"/>
        <v>5555.5555555555557</v>
      </c>
      <c r="O17" s="5">
        <f t="shared" si="4"/>
        <v>57525.252525252523</v>
      </c>
      <c r="Q17" s="2"/>
      <c r="R17" s="23" t="s">
        <v>18</v>
      </c>
      <c r="S17" s="24">
        <f>SUM(O6)</f>
        <v>57684.252525252523</v>
      </c>
      <c r="U17" t="s">
        <v>98</v>
      </c>
    </row>
    <row r="18" spans="1:21">
      <c r="B18" s="190" t="s">
        <v>127</v>
      </c>
      <c r="C18" s="171">
        <v>9</v>
      </c>
      <c r="D18" s="171">
        <v>9</v>
      </c>
      <c r="E18" s="171">
        <v>9</v>
      </c>
      <c r="F18" s="171">
        <v>11</v>
      </c>
      <c r="G18" s="171">
        <v>11</v>
      </c>
      <c r="H18" s="171">
        <v>11</v>
      </c>
      <c r="I18" s="171">
        <v>15</v>
      </c>
      <c r="J18" s="171">
        <v>15</v>
      </c>
      <c r="K18" s="171">
        <v>10</v>
      </c>
      <c r="L18" s="171">
        <v>10</v>
      </c>
      <c r="M18" s="171">
        <v>10</v>
      </c>
      <c r="N18" s="171">
        <v>9</v>
      </c>
      <c r="O18" s="158"/>
      <c r="Q18" s="2"/>
      <c r="R18" s="23" t="s">
        <v>20</v>
      </c>
      <c r="S18" s="24">
        <f>100/S16*S17</f>
        <v>100.27640035118526</v>
      </c>
    </row>
    <row r="19" spans="1:21" s="37" customFormat="1" ht="15" thickBot="1">
      <c r="B19" s="190" t="s">
        <v>112</v>
      </c>
      <c r="C19" s="170">
        <v>31</v>
      </c>
      <c r="D19" s="170">
        <v>28</v>
      </c>
      <c r="E19" s="170">
        <v>31</v>
      </c>
      <c r="F19" s="170">
        <v>30</v>
      </c>
      <c r="G19" s="170">
        <v>31</v>
      </c>
      <c r="H19" s="170">
        <v>30</v>
      </c>
      <c r="I19" s="170">
        <v>31</v>
      </c>
      <c r="J19" s="170">
        <v>31</v>
      </c>
      <c r="K19" s="170">
        <v>30</v>
      </c>
      <c r="L19" s="170">
        <v>31</v>
      </c>
      <c r="M19" s="170">
        <v>30</v>
      </c>
      <c r="N19" s="170">
        <v>31</v>
      </c>
      <c r="O19" s="158"/>
      <c r="P19" s="37" t="s">
        <v>85</v>
      </c>
      <c r="Q19" s="2"/>
      <c r="R19" s="25" t="s">
        <v>21</v>
      </c>
      <c r="S19" s="26">
        <f>100-S18</f>
        <v>-0.2764003511852593</v>
      </c>
      <c r="T19"/>
      <c r="U19"/>
    </row>
    <row r="20" spans="1:21" s="37" customFormat="1" ht="15" thickBot="1">
      <c r="B20" s="191" t="s">
        <v>135</v>
      </c>
      <c r="C20" s="169">
        <v>2100</v>
      </c>
      <c r="D20" s="169">
        <v>2100</v>
      </c>
      <c r="E20" s="169">
        <v>2100</v>
      </c>
      <c r="F20" s="169">
        <v>2100</v>
      </c>
      <c r="G20" s="169">
        <v>2100</v>
      </c>
      <c r="H20" s="169">
        <v>2100</v>
      </c>
      <c r="I20" s="169">
        <v>2100</v>
      </c>
      <c r="J20" s="169">
        <v>2100</v>
      </c>
      <c r="K20" s="169">
        <v>2100</v>
      </c>
      <c r="L20" s="169">
        <v>2100</v>
      </c>
      <c r="M20" s="169">
        <v>2100</v>
      </c>
      <c r="N20" s="169">
        <v>2100</v>
      </c>
      <c r="O20" s="35">
        <f t="shared" si="4"/>
        <v>25200</v>
      </c>
      <c r="Q20" s="2"/>
      <c r="T20"/>
      <c r="U20"/>
    </row>
    <row r="21" spans="1:21" s="37" customFormat="1" ht="16" thickTop="1" thickBot="1">
      <c r="B21" s="192" t="s">
        <v>12</v>
      </c>
      <c r="C21" s="6">
        <f>SUM(C16:C20)</f>
        <v>593595.5555555555</v>
      </c>
      <c r="D21" s="6">
        <f>SUM(D16:D20)</f>
        <v>536892.5555555555</v>
      </c>
      <c r="E21" s="6">
        <f>SUM(E16:E20)</f>
        <v>593595.5555555555</v>
      </c>
      <c r="F21" s="6">
        <f>SUM(F16:F20)</f>
        <v>699686.45454545459</v>
      </c>
      <c r="G21" s="6">
        <f>SUM(G16:G20)</f>
        <v>722787.45454545459</v>
      </c>
      <c r="H21" s="6">
        <f>SUM(H16:H20)</f>
        <v>699686.45454545459</v>
      </c>
      <c r="I21" s="6">
        <f>SUM(I16:I20)</f>
        <v>981979.33333333337</v>
      </c>
      <c r="J21" s="6">
        <f>SUM(J16:J20)</f>
        <v>981979.33333333337</v>
      </c>
      <c r="K21" s="6">
        <f>SUM(K16:K20)</f>
        <v>637140</v>
      </c>
      <c r="L21" s="6">
        <f>SUM(L16:L20)</f>
        <v>658141</v>
      </c>
      <c r="M21" s="6">
        <f>SUM(M16:M20)</f>
        <v>637140</v>
      </c>
      <c r="N21" s="7">
        <f>SUM(N16:N20)</f>
        <v>593595.5555555555</v>
      </c>
      <c r="O21" s="6">
        <f>SUM(O16:O20)</f>
        <v>8335725.2525252523</v>
      </c>
      <c r="Q21" s="2"/>
      <c r="R21" s="201" t="s">
        <v>149</v>
      </c>
      <c r="S21" s="84" t="s">
        <v>129</v>
      </c>
      <c r="T21"/>
      <c r="U21"/>
    </row>
    <row r="22" spans="1:21">
      <c r="B22" s="41" t="s">
        <v>44</v>
      </c>
      <c r="C22" s="146">
        <f>IF(C21&gt;0,C21/$S$3,"")</f>
        <v>593.59555555555551</v>
      </c>
      <c r="D22" s="146">
        <f t="shared" ref="D22:N22" si="6">IF(D21&gt;0,D21/$S$3,"")</f>
        <v>536.89255555555553</v>
      </c>
      <c r="E22" s="146">
        <f t="shared" si="6"/>
        <v>593.59555555555551</v>
      </c>
      <c r="F22" s="146">
        <f t="shared" si="6"/>
        <v>699.68645454545458</v>
      </c>
      <c r="G22" s="146">
        <f t="shared" si="6"/>
        <v>722.78745454545458</v>
      </c>
      <c r="H22" s="146">
        <f t="shared" si="6"/>
        <v>699.68645454545458</v>
      </c>
      <c r="I22" s="146">
        <f t="shared" si="6"/>
        <v>981.97933333333333</v>
      </c>
      <c r="J22" s="146">
        <f t="shared" si="6"/>
        <v>981.97933333333333</v>
      </c>
      <c r="K22" s="146">
        <f t="shared" si="6"/>
        <v>637.14</v>
      </c>
      <c r="L22" s="146">
        <f t="shared" si="6"/>
        <v>658.14099999999996</v>
      </c>
      <c r="M22" s="146">
        <f t="shared" si="6"/>
        <v>637.14</v>
      </c>
      <c r="N22" s="146">
        <f t="shared" si="6"/>
        <v>593.59555555555551</v>
      </c>
      <c r="O22" s="53">
        <f>SUM(C22:N22)/6.2*12</f>
        <v>16134.617908113389</v>
      </c>
      <c r="Q22" s="2"/>
      <c r="R22" s="27" t="s">
        <v>131</v>
      </c>
      <c r="S22" s="204" t="s">
        <v>151</v>
      </c>
      <c r="T22" s="89">
        <f>SUM(S22:S33)</f>
        <v>24328.794464646464</v>
      </c>
      <c r="U22" s="39" t="s">
        <v>43</v>
      </c>
    </row>
    <row r="23" spans="1:21" s="37" customFormat="1">
      <c r="B23" s="43" t="s">
        <v>46</v>
      </c>
      <c r="C23" s="147">
        <f>IF(C9&gt;0,C17/31,"")</f>
        <v>179.2114695340502</v>
      </c>
      <c r="D23" s="147">
        <f>IF(D9&gt;0,D17/28,"")</f>
        <v>198.4126984126984</v>
      </c>
      <c r="E23" s="147">
        <f>IF(E9&gt;0,E17/31,"")</f>
        <v>179.2114695340502</v>
      </c>
      <c r="F23" s="147">
        <f>IF(F9&gt;0,F17/30,"")</f>
        <v>151.5151515151515</v>
      </c>
      <c r="G23" s="147">
        <f>IF(G9&gt;0,G17/31,"")</f>
        <v>146.62756598240469</v>
      </c>
      <c r="H23" s="147">
        <f>IF(H9&gt;0,H17/30,"")</f>
        <v>151.5151515151515</v>
      </c>
      <c r="I23" s="147">
        <f>IF(I9&gt;0,I17/31,"")</f>
        <v>107.52688172043011</v>
      </c>
      <c r="J23" s="147">
        <f>IF(J9&gt;0,J17/31,"")</f>
        <v>107.52688172043011</v>
      </c>
      <c r="K23" s="147">
        <f>IF(K9&gt;0,K17/30,"")</f>
        <v>166.66666666666666</v>
      </c>
      <c r="L23" s="147">
        <f>IF(L9&gt;0,L17/31,"")</f>
        <v>161.29032258064515</v>
      </c>
      <c r="M23" s="147">
        <f>IF(M9&gt;0,M17/30,"")</f>
        <v>166.66666666666666</v>
      </c>
      <c r="N23" s="147">
        <f>IF(N9&gt;0,N17/31,"")</f>
        <v>179.2114695340502</v>
      </c>
      <c r="O23" s="52">
        <f>SUM(C23:N23)/COUNT(C23:N23)</f>
        <v>157.94853294853297</v>
      </c>
      <c r="Q23" s="2"/>
      <c r="R23" s="27" t="s">
        <v>132</v>
      </c>
      <c r="S23" s="204" t="s">
        <v>152</v>
      </c>
      <c r="T23" s="90"/>
      <c r="U23" s="134"/>
    </row>
    <row r="24" spans="1:21" s="37" customFormat="1">
      <c r="B24" s="43" t="s">
        <v>47</v>
      </c>
      <c r="C24" s="148">
        <f>IF(C21&gt;0,C20/C21,"")</f>
        <v>3.5377623372442146E-3</v>
      </c>
      <c r="D24" s="148">
        <f t="shared" ref="D24:N24" si="7">IF(D21&gt;0,D20/D21,"")</f>
        <v>3.9113971282894802E-3</v>
      </c>
      <c r="E24" s="148">
        <f t="shared" si="7"/>
        <v>3.5377623372442146E-3</v>
      </c>
      <c r="F24" s="148">
        <f t="shared" si="7"/>
        <v>3.0013443684060561E-3</v>
      </c>
      <c r="G24" s="148">
        <f t="shared" si="7"/>
        <v>2.9054184418857197E-3</v>
      </c>
      <c r="H24" s="148">
        <f t="shared" si="7"/>
        <v>3.0013443684060561E-3</v>
      </c>
      <c r="I24" s="148">
        <f t="shared" si="7"/>
        <v>2.1385378782581301E-3</v>
      </c>
      <c r="J24" s="148">
        <f t="shared" si="7"/>
        <v>2.1385378782581301E-3</v>
      </c>
      <c r="K24" s="148">
        <f t="shared" si="7"/>
        <v>3.2959789057350032E-3</v>
      </c>
      <c r="L24" s="148">
        <f t="shared" si="7"/>
        <v>3.1908056176412044E-3</v>
      </c>
      <c r="M24" s="148">
        <f t="shared" si="7"/>
        <v>3.2959789057350032E-3</v>
      </c>
      <c r="N24" s="148">
        <f t="shared" si="7"/>
        <v>3.5377623372442146E-3</v>
      </c>
      <c r="O24" s="47">
        <f>O20/O21</f>
        <v>3.0231322694286053E-3</v>
      </c>
      <c r="Q24" s="2"/>
      <c r="R24" s="27" t="s">
        <v>133</v>
      </c>
      <c r="S24" s="204" t="s">
        <v>153</v>
      </c>
      <c r="T24" s="90"/>
      <c r="U24" s="134"/>
    </row>
    <row r="25" spans="1:21" s="37" customFormat="1" ht="14" customHeight="1" thickBot="1">
      <c r="B25" s="44" t="s">
        <v>51</v>
      </c>
      <c r="C25" s="149">
        <f>IF(C9&gt;0,100/C17*C6-100,"")</f>
        <v>0.26999999999999602</v>
      </c>
      <c r="D25" s="149">
        <f>IF(D9&gt;0,100/D17*D6-100,"")</f>
        <v>0.26999999999999602</v>
      </c>
      <c r="E25" s="149">
        <f>IF(E9&gt;0,100/E17*E6-100,"")</f>
        <v>0.26999999999999602</v>
      </c>
      <c r="F25" s="149">
        <f>IF(F9&gt;0,100/F17*F6-100,"")</f>
        <v>0.28600000000000136</v>
      </c>
      <c r="G25" s="149">
        <f>IF(G9&gt;0,100/G17*G6-100,"")</f>
        <v>0.28600000000000136</v>
      </c>
      <c r="H25" s="149">
        <f>IF(H9&gt;0,100/H17*H6-100,"")</f>
        <v>0.28600000000000136</v>
      </c>
      <c r="I25" s="149">
        <f>IF(I9&gt;0,100/I17*I6-100,"")</f>
        <v>0.26999999999999602</v>
      </c>
      <c r="J25" s="149">
        <f>IF(J9&gt;0,100/J17*J6-100,"")</f>
        <v>0.26999999999999602</v>
      </c>
      <c r="K25" s="149">
        <f>IF(K9&gt;0,100/K17*K6-100,"")</f>
        <v>0.28000000000000114</v>
      </c>
      <c r="L25" s="149">
        <f>IF(L9&gt;0,100/L17*L6-100,"")</f>
        <v>0.28000000000000114</v>
      </c>
      <c r="M25" s="149">
        <f>IF(M9&gt;0,100/M17*M6-100,"")</f>
        <v>0.28000000000000114</v>
      </c>
      <c r="N25" s="149">
        <f>IF(N9&gt;0,100/N17*N6-100,"")</f>
        <v>0.26999999999999602</v>
      </c>
      <c r="O25" s="75">
        <f>IF(O9&gt;0,100/O17*O6-100,"")</f>
        <v>0.2764003511852593</v>
      </c>
      <c r="Q25" s="2"/>
      <c r="R25" s="27" t="s">
        <v>134</v>
      </c>
      <c r="S25" s="204"/>
      <c r="T25" s="90"/>
      <c r="U25" s="134"/>
    </row>
    <row r="26" spans="1:21" s="37" customFormat="1" ht="14" customHeight="1">
      <c r="B26" s="183" t="s">
        <v>117</v>
      </c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Q26" s="2"/>
      <c r="R26" s="27" t="s">
        <v>154</v>
      </c>
      <c r="S26" s="206">
        <v>0.21</v>
      </c>
      <c r="T26" s="90"/>
      <c r="U26" s="134"/>
    </row>
    <row r="27" spans="1:21" s="37" customFormat="1" ht="20">
      <c r="B27" s="184"/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Q27" s="2"/>
      <c r="R27" s="27"/>
      <c r="S27" s="204"/>
      <c r="T27" s="90"/>
      <c r="U27" s="134"/>
    </row>
    <row r="28" spans="1:21" s="37" customFormat="1" ht="15" thickBot="1">
      <c r="B28" s="5" t="s">
        <v>110</v>
      </c>
      <c r="C28" s="5" t="s">
        <v>2</v>
      </c>
      <c r="D28" s="5" t="s">
        <v>3</v>
      </c>
      <c r="E28" s="5" t="s">
        <v>4</v>
      </c>
      <c r="F28" s="5" t="s">
        <v>5</v>
      </c>
      <c r="G28" s="5" t="s">
        <v>6</v>
      </c>
      <c r="H28" s="5" t="s">
        <v>7</v>
      </c>
      <c r="I28" s="5" t="s">
        <v>8</v>
      </c>
      <c r="J28" s="5" t="s">
        <v>9</v>
      </c>
      <c r="K28" s="5" t="s">
        <v>27</v>
      </c>
      <c r="L28" s="5" t="s">
        <v>10</v>
      </c>
      <c r="M28" s="5" t="s">
        <v>26</v>
      </c>
      <c r="N28" s="5" t="s">
        <v>25</v>
      </c>
      <c r="O28" s="5" t="s">
        <v>11</v>
      </c>
      <c r="P28" s="37" t="s">
        <v>139</v>
      </c>
      <c r="Q28" s="2"/>
      <c r="R28" s="27"/>
      <c r="S28" s="204"/>
      <c r="T28" s="90"/>
      <c r="U28" s="134"/>
    </row>
    <row r="29" spans="1:21" s="37" customFormat="1" ht="15" thickBot="1">
      <c r="B29" s="167" t="s">
        <v>111</v>
      </c>
      <c r="C29" s="132">
        <v>15</v>
      </c>
      <c r="D29" s="132">
        <v>15</v>
      </c>
      <c r="E29" s="132">
        <v>15</v>
      </c>
      <c r="F29" s="132">
        <v>13</v>
      </c>
      <c r="G29" s="132">
        <v>13</v>
      </c>
      <c r="H29" s="132">
        <v>13</v>
      </c>
      <c r="I29" s="132">
        <v>9</v>
      </c>
      <c r="J29" s="132">
        <v>9</v>
      </c>
      <c r="K29" s="132">
        <v>14</v>
      </c>
      <c r="L29" s="132">
        <v>14</v>
      </c>
      <c r="M29" s="132">
        <v>14</v>
      </c>
      <c r="N29" s="132">
        <v>15</v>
      </c>
      <c r="O29" s="155">
        <f>SUM(C29:N29)/6.2*12</f>
        <v>307.74193548387098</v>
      </c>
      <c r="P29" s="37" t="s">
        <v>140</v>
      </c>
      <c r="Q29" s="2"/>
      <c r="R29" s="27"/>
      <c r="S29" s="204"/>
      <c r="T29" s="90"/>
      <c r="U29" s="134"/>
    </row>
    <row r="30" spans="1:21" s="37" customFormat="1" ht="15" thickBot="1">
      <c r="B30" s="167" t="s">
        <v>113</v>
      </c>
      <c r="C30" s="132">
        <v>31</v>
      </c>
      <c r="D30" s="132">
        <v>28</v>
      </c>
      <c r="E30" s="132">
        <v>31</v>
      </c>
      <c r="F30" s="132">
        <v>30</v>
      </c>
      <c r="G30" s="132">
        <v>31</v>
      </c>
      <c r="H30" s="132">
        <v>30</v>
      </c>
      <c r="I30" s="132">
        <v>31</v>
      </c>
      <c r="J30" s="132">
        <v>31</v>
      </c>
      <c r="K30" s="132">
        <v>30</v>
      </c>
      <c r="L30" s="132">
        <v>31</v>
      </c>
      <c r="M30" s="132">
        <v>30</v>
      </c>
      <c r="N30" s="132">
        <v>31</v>
      </c>
      <c r="O30" s="155">
        <f>SUM(C30:N30)</f>
        <v>365</v>
      </c>
      <c r="P30" s="37" t="s">
        <v>138</v>
      </c>
      <c r="Q30" s="2"/>
      <c r="R30" s="27"/>
      <c r="S30" s="204"/>
      <c r="T30" s="90"/>
      <c r="U30" s="134"/>
    </row>
    <row r="31" spans="1:21" s="37" customFormat="1">
      <c r="B31" s="167" t="s">
        <v>116</v>
      </c>
      <c r="C31" s="132">
        <v>100</v>
      </c>
      <c r="D31" s="132">
        <v>100</v>
      </c>
      <c r="E31" s="132">
        <v>100</v>
      </c>
      <c r="F31" s="132">
        <v>100</v>
      </c>
      <c r="G31" s="132">
        <v>100</v>
      </c>
      <c r="H31" s="132">
        <v>100</v>
      </c>
      <c r="I31" s="132">
        <v>100</v>
      </c>
      <c r="J31" s="132">
        <v>100</v>
      </c>
      <c r="K31" s="132">
        <v>100</v>
      </c>
      <c r="L31" s="132">
        <v>100</v>
      </c>
      <c r="M31" s="132">
        <v>100</v>
      </c>
      <c r="N31" s="132">
        <v>100</v>
      </c>
      <c r="O31" s="155">
        <f>SUM(C31:N31)</f>
        <v>1200</v>
      </c>
      <c r="Q31" s="2"/>
      <c r="R31" s="27"/>
      <c r="S31" s="204"/>
      <c r="T31" s="90"/>
      <c r="U31" s="134"/>
    </row>
    <row r="32" spans="1:21" ht="15" thickBot="1">
      <c r="A32" s="37"/>
      <c r="B32" s="168" t="s">
        <v>114</v>
      </c>
      <c r="C32" s="145">
        <v>0</v>
      </c>
      <c r="D32" s="145">
        <v>0</v>
      </c>
      <c r="E32" s="145">
        <v>0</v>
      </c>
      <c r="F32" s="145">
        <v>0</v>
      </c>
      <c r="G32" s="145">
        <v>0</v>
      </c>
      <c r="H32" s="145">
        <v>0</v>
      </c>
      <c r="I32" s="145">
        <v>0</v>
      </c>
      <c r="J32" s="145">
        <v>0</v>
      </c>
      <c r="K32" s="145">
        <v>0</v>
      </c>
      <c r="L32" s="145">
        <v>0</v>
      </c>
      <c r="M32" s="145">
        <v>0</v>
      </c>
      <c r="N32" s="145">
        <v>0</v>
      </c>
      <c r="O32" s="156">
        <f>SUM(C32:N32)</f>
        <v>0</v>
      </c>
      <c r="Q32" s="2"/>
      <c r="R32" s="27" t="s">
        <v>54</v>
      </c>
      <c r="S32" s="204">
        <f>O6*S2</f>
        <v>22035.384464646464</v>
      </c>
      <c r="T32" s="90"/>
      <c r="U32" s="85">
        <f>1/S7*T22</f>
        <v>2.0273995387205387E-3</v>
      </c>
    </row>
    <row r="33" spans="1:21" ht="15" thickBot="1">
      <c r="A33" s="37"/>
      <c r="B33" s="131" t="s">
        <v>115</v>
      </c>
      <c r="C33" s="132">
        <f>C29*C30*C31</f>
        <v>46500</v>
      </c>
      <c r="D33" s="132">
        <f t="shared" ref="D33:N33" si="8">D29*D30*D31</f>
        <v>42000</v>
      </c>
      <c r="E33" s="132">
        <f t="shared" si="8"/>
        <v>46500</v>
      </c>
      <c r="F33" s="132">
        <f t="shared" si="8"/>
        <v>39000</v>
      </c>
      <c r="G33" s="132">
        <f t="shared" si="8"/>
        <v>40300</v>
      </c>
      <c r="H33" s="132">
        <f t="shared" si="8"/>
        <v>39000</v>
      </c>
      <c r="I33" s="132">
        <f t="shared" si="8"/>
        <v>27900</v>
      </c>
      <c r="J33" s="132">
        <f t="shared" si="8"/>
        <v>27900</v>
      </c>
      <c r="K33" s="132">
        <f t="shared" si="8"/>
        <v>42000</v>
      </c>
      <c r="L33" s="132">
        <f t="shared" si="8"/>
        <v>43400</v>
      </c>
      <c r="M33" s="132">
        <f t="shared" si="8"/>
        <v>42000</v>
      </c>
      <c r="N33" s="132">
        <f t="shared" si="8"/>
        <v>46500</v>
      </c>
      <c r="O33" s="157">
        <f>SUM(C33:N33)</f>
        <v>483000</v>
      </c>
      <c r="Q33" s="2"/>
      <c r="R33" s="29" t="s">
        <v>24</v>
      </c>
      <c r="S33" s="205">
        <f>O20*S4</f>
        <v>2293.1999999999998</v>
      </c>
      <c r="T33" s="91"/>
      <c r="U33" s="86"/>
    </row>
    <row r="34" spans="1:21" ht="26" thickBot="1">
      <c r="A34" s="37"/>
      <c r="B34" s="185" t="s">
        <v>137</v>
      </c>
      <c r="C34" s="185"/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Q34" s="2"/>
      <c r="R34" s="37"/>
      <c r="S34" s="37"/>
    </row>
    <row r="35" spans="1:21">
      <c r="A35" s="37"/>
      <c r="B35" s="5" t="s">
        <v>110</v>
      </c>
      <c r="C35" s="5" t="s">
        <v>2</v>
      </c>
      <c r="D35" s="5" t="s">
        <v>3</v>
      </c>
      <c r="E35" s="5" t="s">
        <v>4</v>
      </c>
      <c r="F35" s="5" t="s">
        <v>5</v>
      </c>
      <c r="G35" s="5" t="s">
        <v>6</v>
      </c>
      <c r="H35" s="5" t="s">
        <v>7</v>
      </c>
      <c r="I35" s="5" t="s">
        <v>8</v>
      </c>
      <c r="J35" s="5" t="s">
        <v>9</v>
      </c>
      <c r="K35" s="5" t="s">
        <v>27</v>
      </c>
      <c r="L35" s="5" t="s">
        <v>10</v>
      </c>
      <c r="M35" s="5" t="s">
        <v>26</v>
      </c>
      <c r="N35" s="5" t="s">
        <v>25</v>
      </c>
      <c r="O35" s="5" t="s">
        <v>11</v>
      </c>
      <c r="Q35" s="2"/>
      <c r="R35" s="202" t="s">
        <v>33</v>
      </c>
      <c r="S35" s="203"/>
    </row>
    <row r="36" spans="1:21" ht="15" thickBot="1">
      <c r="A36" s="37"/>
      <c r="B36" s="3" t="s">
        <v>126</v>
      </c>
      <c r="C36" s="159">
        <f>C38*C39*C40</f>
        <v>29295</v>
      </c>
      <c r="D36" s="159">
        <f t="shared" ref="D36:N36" si="9">D38*D39*D40</f>
        <v>26460</v>
      </c>
      <c r="E36" s="159">
        <f t="shared" si="9"/>
        <v>29295</v>
      </c>
      <c r="F36" s="159">
        <f t="shared" si="9"/>
        <v>34650</v>
      </c>
      <c r="G36" s="159">
        <f t="shared" si="9"/>
        <v>35805</v>
      </c>
      <c r="H36" s="159">
        <f t="shared" si="9"/>
        <v>34650</v>
      </c>
      <c r="I36" s="159">
        <f t="shared" si="9"/>
        <v>48825</v>
      </c>
      <c r="J36" s="159">
        <f t="shared" si="9"/>
        <v>48825</v>
      </c>
      <c r="K36" s="159">
        <f t="shared" si="9"/>
        <v>31500</v>
      </c>
      <c r="L36" s="159">
        <f t="shared" si="9"/>
        <v>32550</v>
      </c>
      <c r="M36" s="159">
        <f t="shared" si="9"/>
        <v>31500</v>
      </c>
      <c r="N36" s="159">
        <f t="shared" si="9"/>
        <v>29295</v>
      </c>
      <c r="O36" s="5">
        <f t="shared" ref="O36:O42" si="10">SUM(C36:N36)</f>
        <v>412650</v>
      </c>
      <c r="Q36" s="2"/>
      <c r="R36" s="31" t="s">
        <v>89</v>
      </c>
      <c r="S36" s="32">
        <f>O8*S2</f>
        <v>669399.7064646465</v>
      </c>
    </row>
    <row r="37" spans="1:21">
      <c r="A37" s="37"/>
      <c r="B37" s="1" t="s">
        <v>119</v>
      </c>
      <c r="C37" s="160">
        <v>100</v>
      </c>
      <c r="D37" s="161">
        <v>100</v>
      </c>
      <c r="E37" s="161">
        <v>100</v>
      </c>
      <c r="F37" s="161">
        <v>100</v>
      </c>
      <c r="G37" s="161">
        <v>100</v>
      </c>
      <c r="H37" s="161">
        <v>100</v>
      </c>
      <c r="I37" s="161">
        <v>100</v>
      </c>
      <c r="J37" s="161">
        <v>100</v>
      </c>
      <c r="K37" s="161">
        <v>100</v>
      </c>
      <c r="L37" s="161">
        <v>5000</v>
      </c>
      <c r="M37" s="161">
        <v>100</v>
      </c>
      <c r="N37" s="161">
        <v>100</v>
      </c>
      <c r="O37" s="5">
        <f t="shared" si="10"/>
        <v>6100</v>
      </c>
      <c r="Q37" s="2"/>
      <c r="R37" s="37"/>
      <c r="S37" s="37"/>
    </row>
    <row r="38" spans="1:21">
      <c r="A38" s="37"/>
      <c r="B38" s="1" t="s">
        <v>123</v>
      </c>
      <c r="C38" s="165">
        <v>105</v>
      </c>
      <c r="D38" s="165">
        <v>105</v>
      </c>
      <c r="E38" s="165">
        <v>105</v>
      </c>
      <c r="F38" s="165">
        <v>105</v>
      </c>
      <c r="G38" s="165">
        <v>105</v>
      </c>
      <c r="H38" s="165">
        <v>105</v>
      </c>
      <c r="I38" s="165">
        <v>105</v>
      </c>
      <c r="J38" s="165">
        <v>105</v>
      </c>
      <c r="K38" s="165">
        <v>105</v>
      </c>
      <c r="L38" s="165">
        <v>105</v>
      </c>
      <c r="M38" s="165">
        <v>105</v>
      </c>
      <c r="N38" s="165">
        <v>105</v>
      </c>
      <c r="O38" s="158"/>
      <c r="Q38" s="2"/>
      <c r="R38" s="37" t="s">
        <v>108</v>
      </c>
      <c r="S38" s="37" t="s">
        <v>109</v>
      </c>
    </row>
    <row r="39" spans="1:21">
      <c r="A39" s="37"/>
      <c r="B39" s="1" t="s">
        <v>124</v>
      </c>
      <c r="C39" s="162">
        <v>9</v>
      </c>
      <c r="D39" s="162">
        <v>9</v>
      </c>
      <c r="E39" s="162">
        <v>9</v>
      </c>
      <c r="F39" s="162">
        <v>11</v>
      </c>
      <c r="G39" s="162">
        <v>11</v>
      </c>
      <c r="H39" s="162">
        <v>11</v>
      </c>
      <c r="I39" s="162">
        <v>15</v>
      </c>
      <c r="J39" s="162">
        <v>15</v>
      </c>
      <c r="K39" s="162">
        <v>10</v>
      </c>
      <c r="L39" s="162">
        <v>10</v>
      </c>
      <c r="M39" s="162">
        <v>10</v>
      </c>
      <c r="N39" s="162">
        <v>9</v>
      </c>
      <c r="O39" s="158"/>
      <c r="Q39" s="2"/>
      <c r="R39" s="37"/>
      <c r="S39" s="37"/>
    </row>
    <row r="40" spans="1:21">
      <c r="A40" s="37"/>
      <c r="B40" s="1" t="s">
        <v>114</v>
      </c>
      <c r="C40" s="162">
        <v>31</v>
      </c>
      <c r="D40" s="162">
        <v>28</v>
      </c>
      <c r="E40" s="162">
        <v>31</v>
      </c>
      <c r="F40" s="162">
        <v>30</v>
      </c>
      <c r="G40" s="162">
        <v>31</v>
      </c>
      <c r="H40" s="162">
        <v>30</v>
      </c>
      <c r="I40" s="162">
        <v>31</v>
      </c>
      <c r="J40" s="162">
        <v>31</v>
      </c>
      <c r="K40" s="162">
        <v>30</v>
      </c>
      <c r="L40" s="162">
        <v>31</v>
      </c>
      <c r="M40" s="162">
        <v>30</v>
      </c>
      <c r="N40" s="162">
        <v>31</v>
      </c>
      <c r="O40" s="164">
        <f>SUM(C40:N40)</f>
        <v>365</v>
      </c>
      <c r="Q40" s="2"/>
      <c r="R40" s="37"/>
      <c r="S40" s="37"/>
    </row>
    <row r="41" spans="1:21">
      <c r="A41" s="37"/>
      <c r="B41" s="1" t="s">
        <v>125</v>
      </c>
      <c r="C41" s="163">
        <f>C29+C39</f>
        <v>24</v>
      </c>
      <c r="D41" s="163">
        <f>D29+D39</f>
        <v>24</v>
      </c>
      <c r="E41" s="163">
        <f>E29+E39</f>
        <v>24</v>
      </c>
      <c r="F41" s="163">
        <f>F29+F39</f>
        <v>24</v>
      </c>
      <c r="G41" s="163">
        <f>G29+G39</f>
        <v>24</v>
      </c>
      <c r="H41" s="163">
        <f>H29+H39</f>
        <v>24</v>
      </c>
      <c r="I41" s="163">
        <f>I29+I39</f>
        <v>24</v>
      </c>
      <c r="J41" s="163">
        <f>J29+J39</f>
        <v>24</v>
      </c>
      <c r="K41" s="163">
        <f>K29+K39</f>
        <v>24</v>
      </c>
      <c r="L41" s="163">
        <f>L29+L39</f>
        <v>24</v>
      </c>
      <c r="M41" s="163">
        <f>M29+M39</f>
        <v>24</v>
      </c>
      <c r="N41" s="163">
        <f>N29+N39</f>
        <v>24</v>
      </c>
      <c r="O41" s="158"/>
      <c r="Q41" s="2"/>
      <c r="R41" s="173" t="s">
        <v>141</v>
      </c>
      <c r="S41" s="172" t="s">
        <v>146</v>
      </c>
      <c r="T41" s="172" t="s">
        <v>142</v>
      </c>
      <c r="U41" s="172" t="s">
        <v>143</v>
      </c>
    </row>
    <row r="42" spans="1:21" ht="15" thickBot="1">
      <c r="A42" s="37"/>
      <c r="B42" s="10" t="s">
        <v>120</v>
      </c>
      <c r="C42" s="166">
        <f>C16-C36</f>
        <v>556605</v>
      </c>
      <c r="D42" s="166">
        <f>D16-D36</f>
        <v>502740</v>
      </c>
      <c r="E42" s="166">
        <f>E16-E36</f>
        <v>556605</v>
      </c>
      <c r="F42" s="166">
        <f>F16-F36</f>
        <v>658350</v>
      </c>
      <c r="G42" s="166">
        <f>G16-G36</f>
        <v>680295</v>
      </c>
      <c r="H42" s="166">
        <f>H16-H36</f>
        <v>658350</v>
      </c>
      <c r="I42" s="166">
        <f>I16-I36</f>
        <v>927675</v>
      </c>
      <c r="J42" s="166">
        <f>J16-J36</f>
        <v>927675</v>
      </c>
      <c r="K42" s="166">
        <f>K16-K36</f>
        <v>598500</v>
      </c>
      <c r="L42" s="166">
        <f>L16-L36</f>
        <v>618450</v>
      </c>
      <c r="M42" s="166">
        <f>M16-M36</f>
        <v>598500</v>
      </c>
      <c r="N42" s="166">
        <f>N16-N36</f>
        <v>556605</v>
      </c>
      <c r="O42" s="35">
        <f t="shared" si="10"/>
        <v>7840350</v>
      </c>
      <c r="Q42" s="2"/>
      <c r="R42" s="174" t="s">
        <v>144</v>
      </c>
      <c r="S42" s="174">
        <v>10000</v>
      </c>
      <c r="T42" s="175">
        <v>0.21</v>
      </c>
      <c r="U42" s="177">
        <f>S42*T42</f>
        <v>2100</v>
      </c>
    </row>
    <row r="43" spans="1:21" ht="16" thickTop="1" thickBot="1">
      <c r="B43" s="6" t="s">
        <v>12</v>
      </c>
      <c r="C43" s="6">
        <f>SUM(C36:C42)</f>
        <v>586169</v>
      </c>
      <c r="D43" s="6">
        <f>SUM(D36:D42)</f>
        <v>529466</v>
      </c>
      <c r="E43" s="6">
        <f>SUM(E36:E42)</f>
        <v>586169</v>
      </c>
      <c r="F43" s="6">
        <f>SUM(F36:F42)</f>
        <v>693270</v>
      </c>
      <c r="G43" s="6">
        <f>SUM(G36:G42)</f>
        <v>716371</v>
      </c>
      <c r="H43" s="6">
        <f>SUM(H36:H42)</f>
        <v>693270</v>
      </c>
      <c r="I43" s="6">
        <f>SUM(I36:I42)</f>
        <v>976775</v>
      </c>
      <c r="J43" s="6">
        <f>SUM(J36:J42)</f>
        <v>976775</v>
      </c>
      <c r="K43" s="6">
        <f>SUM(K36:K42)</f>
        <v>630269</v>
      </c>
      <c r="L43" s="6">
        <f>SUM(L36:L42)</f>
        <v>656170</v>
      </c>
      <c r="M43" s="6">
        <f>SUM(M36:M42)</f>
        <v>630269</v>
      </c>
      <c r="N43" s="7">
        <f>SUM(N36:N42)</f>
        <v>586169</v>
      </c>
      <c r="O43" s="6">
        <f>SUM(O36:O42)</f>
        <v>8259465</v>
      </c>
      <c r="Q43" s="2"/>
      <c r="R43" s="172" t="s">
        <v>145</v>
      </c>
      <c r="S43" s="172">
        <v>1000</v>
      </c>
      <c r="T43" s="176">
        <v>0.21</v>
      </c>
      <c r="U43" s="177">
        <f>S43*T43</f>
        <v>210</v>
      </c>
    </row>
    <row r="44" spans="1:21">
      <c r="B44" s="41" t="s">
        <v>44</v>
      </c>
      <c r="C44" s="50">
        <f>IF(C43&gt;0,C43/$S$3,"")</f>
        <v>586.16899999999998</v>
      </c>
      <c r="D44" s="50">
        <f t="shared" ref="D44:N44" si="11">IF(D43&gt;0,D43/$S$3,"")</f>
        <v>529.46600000000001</v>
      </c>
      <c r="E44" s="50">
        <f t="shared" si="11"/>
        <v>586.16899999999998</v>
      </c>
      <c r="F44" s="50">
        <f t="shared" si="11"/>
        <v>693.27</v>
      </c>
      <c r="G44" s="50">
        <f t="shared" si="11"/>
        <v>716.37099999999998</v>
      </c>
      <c r="H44" s="50">
        <f t="shared" si="11"/>
        <v>693.27</v>
      </c>
      <c r="I44" s="50">
        <f t="shared" si="11"/>
        <v>976.77499999999998</v>
      </c>
      <c r="J44" s="50">
        <f t="shared" si="11"/>
        <v>976.77499999999998</v>
      </c>
      <c r="K44" s="50">
        <f t="shared" si="11"/>
        <v>630.26900000000001</v>
      </c>
      <c r="L44" s="50">
        <f t="shared" si="11"/>
        <v>656.17</v>
      </c>
      <c r="M44" s="50">
        <f t="shared" si="11"/>
        <v>630.26900000000001</v>
      </c>
      <c r="N44" s="50">
        <f t="shared" si="11"/>
        <v>586.16899999999998</v>
      </c>
      <c r="O44" s="53">
        <f>SUM(C44:N44)/6.2*12</f>
        <v>15989.307096774191</v>
      </c>
      <c r="Q44" s="2"/>
      <c r="R44" s="172" t="s">
        <v>147</v>
      </c>
      <c r="S44" s="172">
        <v>50000</v>
      </c>
      <c r="T44" s="176">
        <v>1</v>
      </c>
      <c r="U44" s="178">
        <f>S44*T44</f>
        <v>50000</v>
      </c>
    </row>
    <row r="45" spans="1:21">
      <c r="B45" s="43" t="s">
        <v>46</v>
      </c>
      <c r="C45" s="51">
        <f>IF(C22&gt;0,C37/31,"")</f>
        <v>3.225806451612903</v>
      </c>
      <c r="D45" s="51">
        <f>IF(D22&gt;0,D37/28,"")</f>
        <v>3.5714285714285716</v>
      </c>
      <c r="E45" s="51">
        <f>IF(E22&gt;0,E37/31,"")</f>
        <v>3.225806451612903</v>
      </c>
      <c r="F45" s="51">
        <f>IF(F22&gt;0,F37/30,"")</f>
        <v>3.3333333333333335</v>
      </c>
      <c r="G45" s="51">
        <f>IF(G22&gt;0,G37/31,"")</f>
        <v>3.225806451612903</v>
      </c>
      <c r="H45" s="51">
        <f>IF(H22&gt;0,H37/30,"")</f>
        <v>3.3333333333333335</v>
      </c>
      <c r="I45" s="51">
        <f>IF(I22&gt;0,I37/31,"")</f>
        <v>3.225806451612903</v>
      </c>
      <c r="J45" s="51">
        <f>IF(J22&gt;0,J37/31,"")</f>
        <v>3.225806451612903</v>
      </c>
      <c r="K45" s="51">
        <f>IF(K22&gt;0,K37/30,"")</f>
        <v>3.3333333333333335</v>
      </c>
      <c r="L45" s="51">
        <f>IF(L22&gt;0,L37/31,"")</f>
        <v>161.29032258064515</v>
      </c>
      <c r="M45" s="51">
        <f>IF(M22&gt;0,M37/30,"")</f>
        <v>3.3333333333333335</v>
      </c>
      <c r="N45" s="51">
        <f>IF(N22&gt;0,N37/31,"")</f>
        <v>3.225806451612903</v>
      </c>
      <c r="O45" s="52">
        <f>SUM(C45:N45)/COUNT(C45:N45)</f>
        <v>16.462493599590374</v>
      </c>
      <c r="Q45" s="2"/>
      <c r="R45" s="172" t="s">
        <v>148</v>
      </c>
      <c r="S45" s="172">
        <v>2000</v>
      </c>
      <c r="T45" s="176">
        <v>0.21</v>
      </c>
      <c r="U45" s="179">
        <f>S45*T45</f>
        <v>420</v>
      </c>
    </row>
    <row r="46" spans="1:21">
      <c r="B46" s="43" t="s">
        <v>47</v>
      </c>
      <c r="C46" s="40">
        <f>IF(C43&gt;0,C42/C43,"")</f>
        <v>0.94956403358075914</v>
      </c>
      <c r="D46" s="40">
        <f t="shared" ref="D46:N46" si="12">IF(D43&gt;0,D42/D43,"")</f>
        <v>0.94952272667177873</v>
      </c>
      <c r="E46" s="40">
        <f t="shared" si="12"/>
        <v>0.94956403358075914</v>
      </c>
      <c r="F46" s="40">
        <f t="shared" si="12"/>
        <v>0.94963001428015059</v>
      </c>
      <c r="G46" s="40">
        <f t="shared" si="12"/>
        <v>0.94964061917637643</v>
      </c>
      <c r="H46" s="40">
        <f t="shared" si="12"/>
        <v>0.94963001428015059</v>
      </c>
      <c r="I46" s="40">
        <f t="shared" si="12"/>
        <v>0.94973253819968773</v>
      </c>
      <c r="J46" s="40">
        <f t="shared" si="12"/>
        <v>0.94973253819968773</v>
      </c>
      <c r="K46" s="40">
        <f t="shared" si="12"/>
        <v>0.94959453820511563</v>
      </c>
      <c r="L46" s="40">
        <f t="shared" si="12"/>
        <v>0.94251489705411706</v>
      </c>
      <c r="M46" s="40">
        <f t="shared" si="12"/>
        <v>0.94959453820511563</v>
      </c>
      <c r="N46" s="40">
        <f t="shared" si="12"/>
        <v>0.94956403358075914</v>
      </c>
      <c r="O46" s="47">
        <f>O42/O43</f>
        <v>0.94925639856818811</v>
      </c>
      <c r="Q46" s="2"/>
      <c r="R46" s="172"/>
      <c r="S46" s="172"/>
      <c r="T46" s="172"/>
      <c r="U46" s="172"/>
    </row>
    <row r="47" spans="1:21" ht="15" thickBot="1">
      <c r="B47" s="44" t="s">
        <v>51</v>
      </c>
      <c r="C47" s="74">
        <f>IF(C22&gt;0,100/C37*C20-100,"")</f>
        <v>2000</v>
      </c>
      <c r="D47" s="74">
        <f>IF(D22&gt;0,100/D37*D20-100,"")</f>
        <v>2000</v>
      </c>
      <c r="E47" s="74">
        <f>IF(E22&gt;0,100/E37*E20-100,"")</f>
        <v>2000</v>
      </c>
      <c r="F47" s="74">
        <f>IF(F22&gt;0,100/F37*F20-100,"")</f>
        <v>2000</v>
      </c>
      <c r="G47" s="74">
        <f>IF(G22&gt;0,100/G37*G20-100,"")</f>
        <v>2000</v>
      </c>
      <c r="H47" s="74">
        <f>IF(H22&gt;0,100/H37*H20-100,"")</f>
        <v>2000</v>
      </c>
      <c r="I47" s="74">
        <f>IF(I22&gt;0,100/I37*I20-100,"")</f>
        <v>2000</v>
      </c>
      <c r="J47" s="74">
        <f>IF(J22&gt;0,100/J37*J20-100,"")</f>
        <v>2000</v>
      </c>
      <c r="K47" s="74">
        <f>IF(K22&gt;0,100/K37*K20-100,"")</f>
        <v>2000</v>
      </c>
      <c r="L47" s="74">
        <f>IF(L22&gt;0,100/L37*L20-100,"")</f>
        <v>-58</v>
      </c>
      <c r="M47" s="74">
        <f>IF(M22&gt;0,100/M37*M20-100,"")</f>
        <v>2000</v>
      </c>
      <c r="N47" s="74">
        <f>IF(N22&gt;0,100/N37*N20-100,"")</f>
        <v>2000</v>
      </c>
      <c r="O47" s="75">
        <f>IF(O22&gt;0,100/O37*O20-100,"")</f>
        <v>313.11475409836066</v>
      </c>
      <c r="Q47" s="2"/>
    </row>
    <row r="48" spans="1:21">
      <c r="B48" s="131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2"/>
      <c r="O48" s="133"/>
      <c r="Q48" s="2"/>
    </row>
    <row r="49" spans="1:17">
      <c r="Q49" s="2"/>
    </row>
    <row r="58" spans="1:17" s="37" customForma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</row>
    <row r="59" spans="1:17" s="37" customFormat="1">
      <c r="B59"/>
      <c r="C59"/>
      <c r="D59"/>
      <c r="E59"/>
      <c r="F59"/>
      <c r="G59"/>
      <c r="H59"/>
      <c r="I59"/>
      <c r="J59"/>
      <c r="K59"/>
      <c r="L59"/>
      <c r="M59"/>
      <c r="N59"/>
      <c r="O59"/>
    </row>
    <row r="60" spans="1:17" s="37" customFormat="1">
      <c r="B60"/>
      <c r="C60"/>
      <c r="D60"/>
      <c r="E60"/>
      <c r="F60"/>
      <c r="G60"/>
      <c r="H60"/>
      <c r="I60"/>
      <c r="J60"/>
      <c r="K60"/>
      <c r="L60"/>
      <c r="M60"/>
      <c r="N60"/>
      <c r="O60"/>
    </row>
    <row r="61" spans="1:17" s="37" customFormat="1">
      <c r="B61"/>
      <c r="C61"/>
      <c r="D61"/>
      <c r="E61"/>
      <c r="F61"/>
      <c r="G61"/>
      <c r="H61"/>
      <c r="I61"/>
      <c r="J61"/>
      <c r="K61"/>
      <c r="L61"/>
      <c r="M61"/>
      <c r="N61"/>
      <c r="O61"/>
    </row>
    <row r="62" spans="1:17">
      <c r="A62" s="37"/>
    </row>
    <row r="65" spans="2:31"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</row>
    <row r="66" spans="2:31"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R66" s="5" t="s">
        <v>65</v>
      </c>
      <c r="S66" s="5">
        <f>C9</f>
        <v>228288.77777777778</v>
      </c>
      <c r="T66" s="5">
        <f>D9</f>
        <v>211574.11111111112</v>
      </c>
      <c r="U66" s="5">
        <f>E9</f>
        <v>228288.77777777778</v>
      </c>
      <c r="V66" s="5">
        <f>F9</f>
        <v>191342.09090909088</v>
      </c>
      <c r="W66" s="5">
        <f>G9</f>
        <v>195901.54545454541</v>
      </c>
      <c r="X66" s="5">
        <f>H9</f>
        <v>191342.09090909088</v>
      </c>
      <c r="Y66" s="5">
        <f>I9</f>
        <v>156985.66666666669</v>
      </c>
      <c r="Z66" s="5">
        <f>J9</f>
        <v>156985.66666666669</v>
      </c>
      <c r="AA66" s="5">
        <f>K9</f>
        <v>205464</v>
      </c>
      <c r="AB66" s="5">
        <f>L9</f>
        <v>210479</v>
      </c>
      <c r="AC66" s="5">
        <f>M9</f>
        <v>205464</v>
      </c>
      <c r="AD66" s="5">
        <f>N9</f>
        <v>228288.77777777778</v>
      </c>
      <c r="AE66" s="5">
        <f>O9</f>
        <v>1810039.505050505</v>
      </c>
    </row>
    <row r="67" spans="2:31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R67" s="5" t="s">
        <v>62</v>
      </c>
      <c r="S67" s="5" t="s">
        <v>2</v>
      </c>
      <c r="T67" s="5" t="s">
        <v>3</v>
      </c>
      <c r="U67" s="5" t="s">
        <v>4</v>
      </c>
      <c r="V67" s="5" t="s">
        <v>5</v>
      </c>
      <c r="W67" s="5" t="s">
        <v>6</v>
      </c>
      <c r="X67" s="5" t="s">
        <v>7</v>
      </c>
      <c r="Y67" s="5" t="s">
        <v>8</v>
      </c>
      <c r="Z67" s="5" t="s">
        <v>9</v>
      </c>
      <c r="AA67" s="5" t="s">
        <v>27</v>
      </c>
      <c r="AB67" s="5" t="s">
        <v>10</v>
      </c>
      <c r="AC67" s="5" t="s">
        <v>26</v>
      </c>
      <c r="AD67" s="5" t="s">
        <v>25</v>
      </c>
      <c r="AE67" s="5" t="s">
        <v>11</v>
      </c>
    </row>
    <row r="68" spans="2:31"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R68" s="76" t="s">
        <v>90</v>
      </c>
      <c r="S68" s="76">
        <v>2</v>
      </c>
      <c r="T68" s="76">
        <v>2</v>
      </c>
      <c r="U68" s="76">
        <v>2</v>
      </c>
      <c r="V68" s="76">
        <v>1</v>
      </c>
      <c r="W68" s="76">
        <v>1</v>
      </c>
      <c r="X68" s="76">
        <v>1</v>
      </c>
      <c r="Y68" s="76">
        <v>1</v>
      </c>
      <c r="Z68" s="76">
        <v>1</v>
      </c>
      <c r="AA68" s="76">
        <v>2</v>
      </c>
      <c r="AB68" s="76"/>
      <c r="AC68" s="76">
        <v>2</v>
      </c>
      <c r="AD68" s="76">
        <v>2</v>
      </c>
      <c r="AE68" s="76">
        <f>SUM(S68:AD68)</f>
        <v>17</v>
      </c>
    </row>
    <row r="69" spans="2:31">
      <c r="R69" s="76" t="s">
        <v>91</v>
      </c>
      <c r="S69" s="76">
        <v>1</v>
      </c>
      <c r="T69" s="76">
        <v>1</v>
      </c>
      <c r="U69" s="76">
        <v>1</v>
      </c>
      <c r="V69" s="76">
        <v>1</v>
      </c>
      <c r="W69" s="76"/>
      <c r="X69" s="76">
        <v>1</v>
      </c>
      <c r="Y69" s="76">
        <v>1</v>
      </c>
      <c r="Z69" s="76">
        <v>1</v>
      </c>
      <c r="AA69" s="76">
        <v>1</v>
      </c>
      <c r="AB69" s="76">
        <v>1</v>
      </c>
      <c r="AC69" s="76">
        <v>1</v>
      </c>
      <c r="AD69" s="76"/>
      <c r="AE69" s="76">
        <f t="shared" ref="AE69:AE76" si="13">SUM(S69:AD69)</f>
        <v>10</v>
      </c>
    </row>
    <row r="70" spans="2:31">
      <c r="R70" s="76" t="s">
        <v>92</v>
      </c>
      <c r="S70" s="76">
        <v>1</v>
      </c>
      <c r="T70" s="76">
        <v>1</v>
      </c>
      <c r="U70" s="76">
        <v>1</v>
      </c>
      <c r="V70" s="76">
        <v>1</v>
      </c>
      <c r="W70" s="76">
        <v>1</v>
      </c>
      <c r="X70" s="76">
        <v>1</v>
      </c>
      <c r="Y70" s="76">
        <v>1</v>
      </c>
      <c r="Z70" s="76">
        <v>1</v>
      </c>
      <c r="AA70" s="76">
        <v>1</v>
      </c>
      <c r="AB70" s="76">
        <v>1</v>
      </c>
      <c r="AC70" s="76">
        <v>1</v>
      </c>
      <c r="AD70" s="76">
        <v>1</v>
      </c>
      <c r="AE70" s="76">
        <f t="shared" si="13"/>
        <v>12</v>
      </c>
    </row>
    <row r="71" spans="2:31">
      <c r="R71" s="76" t="s">
        <v>93</v>
      </c>
      <c r="S71" s="76">
        <v>1</v>
      </c>
      <c r="T71" s="76">
        <v>1</v>
      </c>
      <c r="U71" s="76">
        <v>1</v>
      </c>
      <c r="V71" s="76">
        <v>1</v>
      </c>
      <c r="W71" s="76">
        <v>1</v>
      </c>
      <c r="X71" s="76">
        <v>1</v>
      </c>
      <c r="Y71" s="76">
        <v>1</v>
      </c>
      <c r="Z71" s="76">
        <v>1</v>
      </c>
      <c r="AA71" s="76">
        <v>1</v>
      </c>
      <c r="AB71" s="76">
        <v>1</v>
      </c>
      <c r="AC71" s="76">
        <v>1</v>
      </c>
      <c r="AD71" s="76">
        <v>1</v>
      </c>
      <c r="AE71" s="76">
        <f t="shared" si="13"/>
        <v>12</v>
      </c>
    </row>
    <row r="72" spans="2:31">
      <c r="R72" s="76" t="s">
        <v>94</v>
      </c>
      <c r="S72" s="76">
        <v>10</v>
      </c>
      <c r="T72" s="76">
        <v>10</v>
      </c>
      <c r="U72" s="76">
        <v>10</v>
      </c>
      <c r="V72" s="76">
        <v>10</v>
      </c>
      <c r="W72" s="76">
        <v>10</v>
      </c>
      <c r="X72" s="76">
        <v>10</v>
      </c>
      <c r="Y72" s="76">
        <v>10</v>
      </c>
      <c r="Z72" s="76">
        <v>10</v>
      </c>
      <c r="AA72" s="76">
        <v>10</v>
      </c>
      <c r="AB72" s="76">
        <v>10</v>
      </c>
      <c r="AC72" s="76">
        <v>10</v>
      </c>
      <c r="AD72" s="76">
        <v>10</v>
      </c>
      <c r="AE72" s="76">
        <f t="shared" si="13"/>
        <v>120</v>
      </c>
    </row>
    <row r="73" spans="2:31">
      <c r="R73" s="76" t="s">
        <v>95</v>
      </c>
      <c r="S73" s="76">
        <v>1</v>
      </c>
      <c r="T73" s="113">
        <v>1</v>
      </c>
      <c r="U73" s="113">
        <v>1</v>
      </c>
      <c r="V73" s="113">
        <v>1</v>
      </c>
      <c r="W73" s="113">
        <v>1</v>
      </c>
      <c r="X73" s="113">
        <v>1</v>
      </c>
      <c r="Y73" s="113">
        <v>1</v>
      </c>
      <c r="Z73" s="113">
        <v>1</v>
      </c>
      <c r="AA73" s="113">
        <v>1</v>
      </c>
      <c r="AB73" s="113">
        <v>1</v>
      </c>
      <c r="AC73" s="113">
        <v>1</v>
      </c>
      <c r="AD73" s="113">
        <v>1</v>
      </c>
      <c r="AE73" s="76">
        <f t="shared" si="13"/>
        <v>12</v>
      </c>
    </row>
    <row r="74" spans="2:31">
      <c r="R74" s="76" t="s">
        <v>96</v>
      </c>
      <c r="S74" s="76">
        <v>1</v>
      </c>
      <c r="T74" s="113">
        <v>1</v>
      </c>
      <c r="U74" s="113">
        <v>1</v>
      </c>
      <c r="V74" s="113">
        <v>1</v>
      </c>
      <c r="W74" s="113">
        <v>1</v>
      </c>
      <c r="X74" s="113">
        <v>1</v>
      </c>
      <c r="Y74" s="113">
        <v>1</v>
      </c>
      <c r="Z74" s="113">
        <v>1</v>
      </c>
      <c r="AA74" s="113">
        <v>1</v>
      </c>
      <c r="AB74" s="113">
        <v>1</v>
      </c>
      <c r="AC74" s="113">
        <v>1</v>
      </c>
      <c r="AD74" s="113">
        <v>1</v>
      </c>
      <c r="AE74" s="76">
        <f t="shared" si="13"/>
        <v>12</v>
      </c>
    </row>
    <row r="75" spans="2:31">
      <c r="R75" s="77" t="s">
        <v>97</v>
      </c>
      <c r="S75" s="77">
        <v>1</v>
      </c>
      <c r="T75" s="113">
        <v>1</v>
      </c>
      <c r="U75" s="113">
        <v>1</v>
      </c>
      <c r="V75" s="113">
        <v>1</v>
      </c>
      <c r="W75" s="113">
        <v>1</v>
      </c>
      <c r="X75" s="113">
        <v>1</v>
      </c>
      <c r="Y75" s="113">
        <v>1</v>
      </c>
      <c r="Z75" s="113">
        <v>1</v>
      </c>
      <c r="AA75" s="113">
        <v>1</v>
      </c>
      <c r="AB75" s="113">
        <v>1</v>
      </c>
      <c r="AC75" s="113">
        <v>1</v>
      </c>
      <c r="AD75" s="113">
        <v>1</v>
      </c>
      <c r="AE75" s="76">
        <f t="shared" si="13"/>
        <v>12</v>
      </c>
    </row>
    <row r="76" spans="2:31" ht="15" thickBot="1">
      <c r="R76" s="77" t="s">
        <v>70</v>
      </c>
      <c r="S76" s="77">
        <f>S66-S68-S69-S70-S71-S72-S73-S74-S75</f>
        <v>228270.77777777778</v>
      </c>
      <c r="T76" s="77">
        <f t="shared" ref="T76:AD76" si="14">T66-T68-T69-T70-T71-T72-T73-T74-T75</f>
        <v>211556.11111111112</v>
      </c>
      <c r="U76" s="77">
        <f t="shared" si="14"/>
        <v>228270.77777777778</v>
      </c>
      <c r="V76" s="77">
        <f>(V66-V68-V69-V70-V71-V72-V73-V74-V75)</f>
        <v>191325.09090909088</v>
      </c>
      <c r="W76" s="77">
        <f t="shared" si="14"/>
        <v>195885.54545454541</v>
      </c>
      <c r="X76" s="77">
        <f t="shared" si="14"/>
        <v>191325.09090909088</v>
      </c>
      <c r="Y76" s="77">
        <f t="shared" si="14"/>
        <v>156968.66666666669</v>
      </c>
      <c r="Z76" s="77">
        <f t="shared" si="14"/>
        <v>156968.66666666669</v>
      </c>
      <c r="AA76" s="77">
        <f t="shared" si="14"/>
        <v>205446</v>
      </c>
      <c r="AB76" s="77">
        <f t="shared" si="14"/>
        <v>210463</v>
      </c>
      <c r="AC76" s="77">
        <f t="shared" si="14"/>
        <v>205446</v>
      </c>
      <c r="AD76" s="77">
        <f t="shared" si="14"/>
        <v>228271.77777777778</v>
      </c>
      <c r="AE76" s="76">
        <f t="shared" si="13"/>
        <v>2410197.5050505055</v>
      </c>
    </row>
    <row r="77" spans="2:31" ht="15" thickBot="1">
      <c r="R77" s="78" t="s">
        <v>11</v>
      </c>
      <c r="S77" s="79">
        <f>SUM(S68:S76)</f>
        <v>228288.77777777778</v>
      </c>
      <c r="T77" s="79">
        <f t="shared" ref="T77:AE77" si="15">SUM(T68:T76)</f>
        <v>211574.11111111112</v>
      </c>
      <c r="U77" s="79">
        <f t="shared" si="15"/>
        <v>228288.77777777778</v>
      </c>
      <c r="V77" s="79">
        <f t="shared" si="15"/>
        <v>191342.09090909088</v>
      </c>
      <c r="W77" s="79">
        <f t="shared" si="15"/>
        <v>195901.54545454541</v>
      </c>
      <c r="X77" s="79">
        <f t="shared" si="15"/>
        <v>191342.09090909088</v>
      </c>
      <c r="Y77" s="79">
        <f t="shared" si="15"/>
        <v>156985.66666666669</v>
      </c>
      <c r="Z77" s="79">
        <f t="shared" si="15"/>
        <v>156985.66666666669</v>
      </c>
      <c r="AA77" s="79">
        <f t="shared" si="15"/>
        <v>205464</v>
      </c>
      <c r="AB77" s="79">
        <f t="shared" si="15"/>
        <v>210479</v>
      </c>
      <c r="AC77" s="79">
        <f t="shared" si="15"/>
        <v>205464</v>
      </c>
      <c r="AD77" s="79">
        <f t="shared" si="15"/>
        <v>228288.77777777778</v>
      </c>
      <c r="AE77" s="79">
        <f t="shared" si="15"/>
        <v>2410404.5050505055</v>
      </c>
    </row>
  </sheetData>
  <mergeCells count="5">
    <mergeCell ref="U32:U33"/>
    <mergeCell ref="T22:T33"/>
    <mergeCell ref="A1:P1"/>
    <mergeCell ref="B3:O3"/>
    <mergeCell ref="B14:O14"/>
  </mergeCells>
  <phoneticPr fontId="20" type="noConversion"/>
  <pageMargins left="0.7" right="0.7" top="0.78740157499999996" bottom="0.78740157499999996" header="0.3" footer="0.3"/>
  <pageSetup paperSize="9" orientation="portrait"/>
  <colBreaks count="1" manualBreakCount="1">
    <brk id="5" max="1048575" man="1"/>
  </colBreak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workbookViewId="0">
      <selection activeCell="C15" sqref="C15:N15"/>
    </sheetView>
  </sheetViews>
  <sheetFormatPr baseColWidth="10" defaultRowHeight="14" x14ac:dyDescent="0"/>
  <cols>
    <col min="1" max="1" width="10.83203125" style="37"/>
    <col min="2" max="2" width="11.83203125" style="37" customWidth="1"/>
    <col min="3" max="14" width="9.5" style="37" customWidth="1"/>
    <col min="15" max="15" width="10.83203125" style="37"/>
    <col min="16" max="16" width="9.83203125" style="37" customWidth="1"/>
    <col min="17" max="17" width="2.83203125" style="37" customWidth="1"/>
    <col min="18" max="18" width="29.5" style="37" bestFit="1" customWidth="1"/>
    <col min="19" max="19" width="10.83203125" style="37"/>
    <col min="20" max="20" width="10.33203125" style="37" bestFit="1" customWidth="1"/>
    <col min="21" max="21" width="23.5" style="37" bestFit="1" customWidth="1"/>
    <col min="22" max="22" width="25.83203125" style="37" customWidth="1"/>
    <col min="23" max="16384" width="10.83203125" style="37"/>
  </cols>
  <sheetData>
    <row r="1" spans="1:22" ht="25">
      <c r="A1" s="92">
        <v>2034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2"/>
      <c r="R1" s="93" t="s">
        <v>28</v>
      </c>
      <c r="S1" s="94"/>
    </row>
    <row r="2" spans="1:22">
      <c r="Q2" s="2"/>
      <c r="R2" s="14" t="s">
        <v>79</v>
      </c>
      <c r="S2" s="15">
        <v>0</v>
      </c>
    </row>
    <row r="3" spans="1:22" ht="25">
      <c r="B3" s="96" t="s">
        <v>37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Q3" s="2"/>
      <c r="R3" s="112" t="s">
        <v>86</v>
      </c>
      <c r="S3" s="49">
        <f>'2033'!S3</f>
        <v>10000</v>
      </c>
    </row>
    <row r="4" spans="1:22" ht="15" thickBot="1">
      <c r="B4" s="5"/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27</v>
      </c>
      <c r="L4" s="5" t="s">
        <v>10</v>
      </c>
      <c r="M4" s="5" t="s">
        <v>26</v>
      </c>
      <c r="N4" s="5" t="s">
        <v>25</v>
      </c>
      <c r="O4" s="5" t="s">
        <v>11</v>
      </c>
      <c r="Q4" s="2"/>
      <c r="R4" s="16" t="s">
        <v>24</v>
      </c>
      <c r="S4" s="36">
        <f>'2033'!S4</f>
        <v>9.0999999999999998E-2</v>
      </c>
    </row>
    <row r="5" spans="1:22" ht="15" thickBot="1">
      <c r="B5" s="3" t="s">
        <v>13</v>
      </c>
      <c r="C5" s="37">
        <v>5000</v>
      </c>
      <c r="D5" s="37">
        <v>1000</v>
      </c>
      <c r="E5" s="37">
        <v>1000</v>
      </c>
      <c r="F5" s="37">
        <v>1000</v>
      </c>
      <c r="G5" s="37">
        <v>1000</v>
      </c>
      <c r="H5" s="37">
        <v>1000</v>
      </c>
      <c r="I5" s="37">
        <v>1000</v>
      </c>
      <c r="J5" s="37">
        <v>1000</v>
      </c>
      <c r="K5" s="37">
        <v>1000</v>
      </c>
      <c r="L5" s="37">
        <v>1000</v>
      </c>
      <c r="M5" s="37">
        <v>1000</v>
      </c>
      <c r="N5" s="37">
        <v>1000</v>
      </c>
      <c r="O5" s="5">
        <f t="shared" ref="O5:O7" si="0">SUM(C5:N5)</f>
        <v>16000</v>
      </c>
      <c r="P5" s="103">
        <f>O6+O5</f>
        <v>71500</v>
      </c>
      <c r="Q5" s="2"/>
    </row>
    <row r="6" spans="1:22" ht="15" thickTop="1">
      <c r="B6" s="4" t="s">
        <v>14</v>
      </c>
      <c r="C6" s="37">
        <v>500</v>
      </c>
      <c r="D6" s="37">
        <v>5000</v>
      </c>
      <c r="E6" s="37">
        <v>5000</v>
      </c>
      <c r="F6" s="37">
        <v>5000</v>
      </c>
      <c r="G6" s="37">
        <v>5000</v>
      </c>
      <c r="H6" s="37">
        <v>5000</v>
      </c>
      <c r="I6" s="37">
        <v>5000</v>
      </c>
      <c r="J6" s="37">
        <v>5000</v>
      </c>
      <c r="K6" s="37">
        <v>5000</v>
      </c>
      <c r="L6" s="37">
        <v>5000</v>
      </c>
      <c r="M6" s="37">
        <v>5000</v>
      </c>
      <c r="N6" s="37">
        <v>5000</v>
      </c>
      <c r="O6" s="5">
        <f t="shared" si="0"/>
        <v>55500</v>
      </c>
      <c r="P6" s="103"/>
      <c r="Q6" s="2"/>
      <c r="R6" s="104" t="s">
        <v>29</v>
      </c>
      <c r="S6" s="105"/>
      <c r="U6" s="55" t="s">
        <v>36</v>
      </c>
      <c r="V6" s="56" t="s">
        <v>53</v>
      </c>
    </row>
    <row r="7" spans="1:22" ht="15" thickBot="1">
      <c r="B7" s="8" t="s">
        <v>16</v>
      </c>
      <c r="C7" s="9">
        <v>1000</v>
      </c>
      <c r="D7" s="9">
        <v>1000</v>
      </c>
      <c r="E7" s="9">
        <v>1000</v>
      </c>
      <c r="F7" s="9">
        <v>1000</v>
      </c>
      <c r="G7" s="9">
        <v>1000</v>
      </c>
      <c r="H7" s="9">
        <v>1000</v>
      </c>
      <c r="I7" s="9">
        <v>1000</v>
      </c>
      <c r="J7" s="9">
        <v>1000</v>
      </c>
      <c r="K7" s="9">
        <v>1000</v>
      </c>
      <c r="L7" s="9">
        <v>1000</v>
      </c>
      <c r="M7" s="9">
        <v>1000</v>
      </c>
      <c r="N7" s="9">
        <v>1000</v>
      </c>
      <c r="O7" s="54">
        <f t="shared" si="0"/>
        <v>12000</v>
      </c>
      <c r="Q7" s="12"/>
      <c r="R7" s="17" t="s">
        <v>35</v>
      </c>
      <c r="S7" s="82">
        <f>'2033'!U7</f>
        <v>11101707.431238629</v>
      </c>
      <c r="T7" s="11"/>
      <c r="U7" s="57">
        <f>S7-T22</f>
        <v>11089695.431238629</v>
      </c>
      <c r="V7" s="60">
        <f>U7/T22</f>
        <v>923.21806786868376</v>
      </c>
    </row>
    <row r="8" spans="1:22" ht="16" thickTop="1" thickBot="1">
      <c r="B8" s="33" t="s">
        <v>12</v>
      </c>
      <c r="C8" s="33">
        <f t="shared" ref="C8:O8" si="1">SUM(C5:C7)</f>
        <v>6500</v>
      </c>
      <c r="D8" s="33">
        <f t="shared" si="1"/>
        <v>7000</v>
      </c>
      <c r="E8" s="33">
        <f t="shared" si="1"/>
        <v>7000</v>
      </c>
      <c r="F8" s="33">
        <f t="shared" si="1"/>
        <v>7000</v>
      </c>
      <c r="G8" s="33">
        <f t="shared" si="1"/>
        <v>7000</v>
      </c>
      <c r="H8" s="33">
        <f t="shared" si="1"/>
        <v>7000</v>
      </c>
      <c r="I8" s="33">
        <f t="shared" si="1"/>
        <v>7000</v>
      </c>
      <c r="J8" s="33">
        <f t="shared" si="1"/>
        <v>7000</v>
      </c>
      <c r="K8" s="33">
        <f t="shared" si="1"/>
        <v>7000</v>
      </c>
      <c r="L8" s="33">
        <f t="shared" si="1"/>
        <v>7000</v>
      </c>
      <c r="M8" s="33">
        <f t="shared" si="1"/>
        <v>7000</v>
      </c>
      <c r="N8" s="34">
        <f t="shared" si="1"/>
        <v>7000</v>
      </c>
      <c r="O8" s="33">
        <f t="shared" si="1"/>
        <v>83500</v>
      </c>
      <c r="Q8" s="12"/>
      <c r="R8" s="18" t="s">
        <v>34</v>
      </c>
      <c r="S8" s="83">
        <f>'2033'!U8</f>
        <v>4629830.6185151516</v>
      </c>
      <c r="T8" s="11"/>
      <c r="U8" s="58">
        <f>S8-((O6*S2)-O16*S4)</f>
        <v>4630513.1185151516</v>
      </c>
      <c r="V8" s="61">
        <f>U8/U9</f>
        <v>-6784.6346058830059</v>
      </c>
    </row>
    <row r="9" spans="1:22" ht="15" thickBot="1">
      <c r="B9" s="41" t="s">
        <v>40</v>
      </c>
      <c r="C9" s="42">
        <f t="shared" ref="C9:N9" si="2">IF(C8&gt;0,(C5+C6)/C8,"")</f>
        <v>0.84615384615384615</v>
      </c>
      <c r="D9" s="42">
        <f t="shared" si="2"/>
        <v>0.8571428571428571</v>
      </c>
      <c r="E9" s="42">
        <f t="shared" si="2"/>
        <v>0.8571428571428571</v>
      </c>
      <c r="F9" s="42">
        <f t="shared" si="2"/>
        <v>0.8571428571428571</v>
      </c>
      <c r="G9" s="42">
        <f t="shared" si="2"/>
        <v>0.8571428571428571</v>
      </c>
      <c r="H9" s="42">
        <f t="shared" si="2"/>
        <v>0.8571428571428571</v>
      </c>
      <c r="I9" s="42">
        <f t="shared" si="2"/>
        <v>0.8571428571428571</v>
      </c>
      <c r="J9" s="42">
        <f t="shared" si="2"/>
        <v>0.8571428571428571</v>
      </c>
      <c r="K9" s="42">
        <f t="shared" si="2"/>
        <v>0.8571428571428571</v>
      </c>
      <c r="L9" s="42">
        <f t="shared" si="2"/>
        <v>0.8571428571428571</v>
      </c>
      <c r="M9" s="42">
        <f t="shared" si="2"/>
        <v>0.8571428571428571</v>
      </c>
      <c r="N9" s="42">
        <f t="shared" si="2"/>
        <v>0.8571428571428571</v>
      </c>
      <c r="O9" s="46">
        <f>(O5+O6)/O8</f>
        <v>0.85628742514970058</v>
      </c>
      <c r="Q9" s="2"/>
      <c r="U9" s="65">
        <f>S8-U8</f>
        <v>-682.5</v>
      </c>
    </row>
    <row r="10" spans="1:22">
      <c r="B10" s="43" t="s">
        <v>41</v>
      </c>
      <c r="C10" s="40">
        <f t="shared" ref="C10:O10" si="3">IF(C8&gt;0,(C5+C6)/C18,"")</f>
        <v>0.11695657721260579</v>
      </c>
      <c r="D10" s="40">
        <f t="shared" si="3"/>
        <v>9.5348578511608689E-2</v>
      </c>
      <c r="E10" s="40">
        <f t="shared" si="3"/>
        <v>5.957345406886691E-2</v>
      </c>
      <c r="F10" s="40">
        <f t="shared" si="3"/>
        <v>4.4987628402189395E-2</v>
      </c>
      <c r="G10" s="40">
        <f t="shared" si="3"/>
        <v>3.7766727513060996E-2</v>
      </c>
      <c r="H10" s="40">
        <f t="shared" si="3"/>
        <v>3.5855145213338116E-2</v>
      </c>
      <c r="I10" s="40">
        <f t="shared" si="3"/>
        <v>3.5366306519778609E-2</v>
      </c>
      <c r="J10" s="40">
        <f t="shared" si="3"/>
        <v>4.2042126210462882E-2</v>
      </c>
      <c r="K10" s="40">
        <f t="shared" si="3"/>
        <v>5.3049459779667914E-2</v>
      </c>
      <c r="L10" s="40">
        <f t="shared" si="3"/>
        <v>6.9679936823523941E-2</v>
      </c>
      <c r="M10" s="40">
        <f t="shared" si="3"/>
        <v>0.13226930029540143</v>
      </c>
      <c r="N10" s="40">
        <f t="shared" si="3"/>
        <v>0.16237280796709244</v>
      </c>
      <c r="O10" s="47">
        <f t="shared" si="3"/>
        <v>5.6560191118072367E-2</v>
      </c>
      <c r="Q10" s="2"/>
      <c r="R10" s="97" t="s">
        <v>30</v>
      </c>
      <c r="S10" s="98"/>
    </row>
    <row r="11" spans="1:22" ht="15" thickBot="1">
      <c r="B11" s="44" t="s">
        <v>42</v>
      </c>
      <c r="C11" s="45">
        <f t="shared" ref="C11:N11" si="4">IF(C8&gt;0,C5*$S$2+C6*$S$2+C17*$S$4,"")</f>
        <v>1001</v>
      </c>
      <c r="D11" s="45">
        <f t="shared" si="4"/>
        <v>1001</v>
      </c>
      <c r="E11" s="45">
        <f t="shared" si="4"/>
        <v>1001</v>
      </c>
      <c r="F11" s="45">
        <f t="shared" si="4"/>
        <v>1001</v>
      </c>
      <c r="G11" s="45">
        <f t="shared" si="4"/>
        <v>1001</v>
      </c>
      <c r="H11" s="45">
        <f t="shared" si="4"/>
        <v>1001</v>
      </c>
      <c r="I11" s="45">
        <f t="shared" si="4"/>
        <v>1001</v>
      </c>
      <c r="J11" s="45">
        <f t="shared" si="4"/>
        <v>1001</v>
      </c>
      <c r="K11" s="45">
        <f t="shared" si="4"/>
        <v>1001</v>
      </c>
      <c r="L11" s="45">
        <f t="shared" si="4"/>
        <v>1001</v>
      </c>
      <c r="M11" s="45">
        <f t="shared" si="4"/>
        <v>1001</v>
      </c>
      <c r="N11" s="45">
        <f t="shared" si="4"/>
        <v>1001</v>
      </c>
      <c r="O11" s="48">
        <f>SUM(C11:N11)</f>
        <v>12012</v>
      </c>
      <c r="Q11" s="2"/>
      <c r="R11" s="19" t="s">
        <v>0</v>
      </c>
      <c r="S11" s="20">
        <f>P5/O8</f>
        <v>0.85628742514970058</v>
      </c>
    </row>
    <row r="12" spans="1:22" ht="15" thickBot="1">
      <c r="Q12" s="2"/>
      <c r="R12" s="21" t="s">
        <v>1</v>
      </c>
      <c r="S12" s="22">
        <f>P5/O18</f>
        <v>5.6560191118072367E-2</v>
      </c>
    </row>
    <row r="13" spans="1:22" ht="25">
      <c r="B13" s="95" t="s">
        <v>38</v>
      </c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Q13" s="2"/>
    </row>
    <row r="14" spans="1:22" ht="15" thickBot="1">
      <c r="B14" s="5"/>
      <c r="C14" s="5" t="s">
        <v>2</v>
      </c>
      <c r="D14" s="5" t="s">
        <v>3</v>
      </c>
      <c r="E14" s="5" t="s">
        <v>4</v>
      </c>
      <c r="F14" s="5" t="s">
        <v>5</v>
      </c>
      <c r="G14" s="5" t="s">
        <v>6</v>
      </c>
      <c r="H14" s="5" t="s">
        <v>7</v>
      </c>
      <c r="I14" s="5" t="s">
        <v>8</v>
      </c>
      <c r="J14" s="5" t="s">
        <v>9</v>
      </c>
      <c r="K14" s="5" t="s">
        <v>27</v>
      </c>
      <c r="L14" s="5" t="s">
        <v>10</v>
      </c>
      <c r="M14" s="5" t="s">
        <v>26</v>
      </c>
      <c r="N14" s="5" t="s">
        <v>25</v>
      </c>
      <c r="O14" s="5" t="s">
        <v>11</v>
      </c>
      <c r="Q14" s="2"/>
      <c r="S14" s="11"/>
    </row>
    <row r="15" spans="1:22">
      <c r="B15" s="3" t="s">
        <v>13</v>
      </c>
      <c r="C15" s="123">
        <v>35401</v>
      </c>
      <c r="D15" s="123">
        <v>51302</v>
      </c>
      <c r="E15" s="123">
        <v>89091</v>
      </c>
      <c r="F15" s="123">
        <v>121745</v>
      </c>
      <c r="G15" s="123">
        <v>147245</v>
      </c>
      <c r="H15" s="123">
        <v>155715</v>
      </c>
      <c r="I15" s="123">
        <v>158028</v>
      </c>
      <c r="J15" s="123">
        <v>131089</v>
      </c>
      <c r="K15" s="123">
        <v>101477</v>
      </c>
      <c r="L15" s="123">
        <v>74483</v>
      </c>
      <c r="M15" s="123">
        <v>33737</v>
      </c>
      <c r="N15" s="123">
        <v>25327</v>
      </c>
      <c r="O15" s="5">
        <f t="shared" ref="O15:O17" si="5">SUM(C15:N15)</f>
        <v>1124640</v>
      </c>
      <c r="Q15" s="2"/>
      <c r="R15" s="99" t="s">
        <v>31</v>
      </c>
      <c r="S15" s="100"/>
    </row>
    <row r="16" spans="1:22">
      <c r="B16" s="1" t="s">
        <v>15</v>
      </c>
      <c r="C16" s="37">
        <v>625</v>
      </c>
      <c r="D16" s="37">
        <v>625</v>
      </c>
      <c r="E16" s="37">
        <v>625</v>
      </c>
      <c r="F16" s="37">
        <v>625</v>
      </c>
      <c r="G16" s="37">
        <v>625</v>
      </c>
      <c r="H16" s="37">
        <v>625</v>
      </c>
      <c r="I16" s="37">
        <v>625</v>
      </c>
      <c r="J16" s="37">
        <v>625</v>
      </c>
      <c r="K16" s="37">
        <v>625</v>
      </c>
      <c r="L16" s="37">
        <v>625</v>
      </c>
      <c r="M16" s="37">
        <v>625</v>
      </c>
      <c r="N16" s="37">
        <v>625</v>
      </c>
      <c r="O16" s="5">
        <f t="shared" si="5"/>
        <v>7500</v>
      </c>
      <c r="Q16" s="2"/>
      <c r="R16" s="23" t="s">
        <v>19</v>
      </c>
      <c r="S16" s="24">
        <f>O16</f>
        <v>7500</v>
      </c>
      <c r="U16" s="59" t="s">
        <v>48</v>
      </c>
    </row>
    <row r="17" spans="2:21" ht="15" thickBot="1">
      <c r="B17" s="10" t="s">
        <v>17</v>
      </c>
      <c r="C17" s="9">
        <v>11000</v>
      </c>
      <c r="D17" s="9">
        <v>11000</v>
      </c>
      <c r="E17" s="9">
        <v>11000</v>
      </c>
      <c r="F17" s="9">
        <v>11000</v>
      </c>
      <c r="G17" s="9">
        <v>11000</v>
      </c>
      <c r="H17" s="9">
        <v>11000</v>
      </c>
      <c r="I17" s="9">
        <v>11000</v>
      </c>
      <c r="J17" s="9">
        <v>11000</v>
      </c>
      <c r="K17" s="9">
        <v>11000</v>
      </c>
      <c r="L17" s="9">
        <v>11000</v>
      </c>
      <c r="M17" s="9">
        <v>11000</v>
      </c>
      <c r="N17" s="9">
        <v>11000</v>
      </c>
      <c r="O17" s="54">
        <f t="shared" si="5"/>
        <v>132000</v>
      </c>
      <c r="Q17" s="2"/>
      <c r="R17" s="23" t="s">
        <v>18</v>
      </c>
      <c r="S17" s="24">
        <f>O6</f>
        <v>55500</v>
      </c>
      <c r="U17" s="66" t="s">
        <v>49</v>
      </c>
    </row>
    <row r="18" spans="2:21" ht="16" thickTop="1" thickBot="1">
      <c r="B18" s="6" t="s">
        <v>12</v>
      </c>
      <c r="C18" s="6">
        <f>SUM(C15:C17)</f>
        <v>47026</v>
      </c>
      <c r="D18" s="6">
        <f t="shared" ref="D18:N18" si="6">SUM(D15:D17)</f>
        <v>62927</v>
      </c>
      <c r="E18" s="6">
        <f t="shared" si="6"/>
        <v>100716</v>
      </c>
      <c r="F18" s="6">
        <f t="shared" si="6"/>
        <v>133370</v>
      </c>
      <c r="G18" s="6">
        <f t="shared" si="6"/>
        <v>158870</v>
      </c>
      <c r="H18" s="6">
        <f t="shared" si="6"/>
        <v>167340</v>
      </c>
      <c r="I18" s="6">
        <f t="shared" si="6"/>
        <v>169653</v>
      </c>
      <c r="J18" s="6">
        <f t="shared" si="6"/>
        <v>142714</v>
      </c>
      <c r="K18" s="6">
        <f t="shared" si="6"/>
        <v>113102</v>
      </c>
      <c r="L18" s="6">
        <f t="shared" si="6"/>
        <v>86108</v>
      </c>
      <c r="M18" s="6">
        <f t="shared" si="6"/>
        <v>45362</v>
      </c>
      <c r="N18" s="7">
        <f t="shared" si="6"/>
        <v>36952</v>
      </c>
      <c r="O18" s="6">
        <f>SUM(O15:O17)</f>
        <v>1264140</v>
      </c>
      <c r="Q18" s="2"/>
      <c r="R18" s="23" t="s">
        <v>20</v>
      </c>
      <c r="S18" s="24">
        <f>100/S16*S17</f>
        <v>740</v>
      </c>
      <c r="U18" s="59" t="s">
        <v>50</v>
      </c>
    </row>
    <row r="19" spans="2:21" ht="15" thickBot="1">
      <c r="B19" s="41" t="s">
        <v>44</v>
      </c>
      <c r="C19" s="50">
        <f>IF(C18&gt;0,C18/$S$3,"")</f>
        <v>4.7026000000000003</v>
      </c>
      <c r="D19" s="50">
        <f t="shared" ref="D19:N19" si="7">IF(D18&gt;0,D18/$S$3,"")</f>
        <v>6.2927</v>
      </c>
      <c r="E19" s="50">
        <f t="shared" si="7"/>
        <v>10.0716</v>
      </c>
      <c r="F19" s="50">
        <f t="shared" si="7"/>
        <v>13.337</v>
      </c>
      <c r="G19" s="50">
        <f t="shared" si="7"/>
        <v>15.887</v>
      </c>
      <c r="H19" s="50">
        <f t="shared" si="7"/>
        <v>16.734000000000002</v>
      </c>
      <c r="I19" s="50">
        <f t="shared" si="7"/>
        <v>16.965299999999999</v>
      </c>
      <c r="J19" s="50">
        <f t="shared" si="7"/>
        <v>14.2714</v>
      </c>
      <c r="K19" s="50">
        <f t="shared" si="7"/>
        <v>11.3102</v>
      </c>
      <c r="L19" s="50">
        <f t="shared" si="7"/>
        <v>8.6107999999999993</v>
      </c>
      <c r="M19" s="50">
        <f t="shared" si="7"/>
        <v>4.5362</v>
      </c>
      <c r="N19" s="50">
        <f t="shared" si="7"/>
        <v>3.6951999999999998</v>
      </c>
      <c r="O19" s="53">
        <f>SUM(C19:N19)</f>
        <v>126.41399999999999</v>
      </c>
      <c r="Q19" s="2"/>
      <c r="R19" s="25" t="s">
        <v>21</v>
      </c>
      <c r="S19" s="26">
        <f>100-S18</f>
        <v>-640</v>
      </c>
    </row>
    <row r="20" spans="2:21" ht="15" thickBot="1">
      <c r="B20" s="43" t="s">
        <v>46</v>
      </c>
      <c r="C20" s="51">
        <f>IF(C8&gt;0,C16/31,"")</f>
        <v>20.161290322580644</v>
      </c>
      <c r="D20" s="51">
        <f>IF(D8&gt;0,D16/28,"")</f>
        <v>22.321428571428573</v>
      </c>
      <c r="E20" s="51">
        <f>IF(E8&gt;0,E16/31,"")</f>
        <v>20.161290322580644</v>
      </c>
      <c r="F20" s="51">
        <f>IF(F8&gt;0,F16/30,"")</f>
        <v>20.833333333333332</v>
      </c>
      <c r="G20" s="51">
        <f>IF(G8&gt;0,G16/31,"")</f>
        <v>20.161290322580644</v>
      </c>
      <c r="H20" s="51">
        <f>IF(H8&gt;0,H16/30,"")</f>
        <v>20.833333333333332</v>
      </c>
      <c r="I20" s="51">
        <f>IF(I8&gt;0,I16/31,"")</f>
        <v>20.161290322580644</v>
      </c>
      <c r="J20" s="51">
        <f>IF(J8&gt;0,J16/31,"")</f>
        <v>20.161290322580644</v>
      </c>
      <c r="K20" s="51">
        <f>IF(K8&gt;0,K16/30,"")</f>
        <v>20.833333333333332</v>
      </c>
      <c r="L20" s="51">
        <f>IF(L8&gt;0,L16/31,"")</f>
        <v>20.161290322580644</v>
      </c>
      <c r="M20" s="51">
        <f>IF(M8&gt;0,M16/30,"")</f>
        <v>20.833333333333332</v>
      </c>
      <c r="N20" s="51">
        <f>IF(N8&gt;0,N16/31,"")</f>
        <v>20.161290322580644</v>
      </c>
      <c r="O20" s="52">
        <f>SUM(C20:N20)/COUNT(C20:N20)</f>
        <v>20.565316180235534</v>
      </c>
      <c r="Q20" s="2"/>
    </row>
    <row r="21" spans="2:21" ht="15" thickBot="1">
      <c r="B21" s="43" t="s">
        <v>47</v>
      </c>
      <c r="C21" s="40">
        <f>IF(C18&gt;0,C17/C18,"")</f>
        <v>0.23391315442521157</v>
      </c>
      <c r="D21" s="40">
        <f t="shared" ref="D21:N21" si="8">IF(D18&gt;0,D17/D18,"")</f>
        <v>0.1748057272712826</v>
      </c>
      <c r="E21" s="40">
        <f t="shared" si="8"/>
        <v>0.109217999126256</v>
      </c>
      <c r="F21" s="40">
        <f t="shared" si="8"/>
        <v>8.2477318737347233E-2</v>
      </c>
      <c r="G21" s="40">
        <f t="shared" si="8"/>
        <v>6.923900044061182E-2</v>
      </c>
      <c r="H21" s="40">
        <f t="shared" si="8"/>
        <v>6.5734432891119882E-2</v>
      </c>
      <c r="I21" s="40">
        <f t="shared" si="8"/>
        <v>6.483822861959411E-2</v>
      </c>
      <c r="J21" s="40">
        <f t="shared" si="8"/>
        <v>7.7077231385848627E-2</v>
      </c>
      <c r="K21" s="40">
        <f t="shared" si="8"/>
        <v>9.7257342929391172E-2</v>
      </c>
      <c r="L21" s="40">
        <f t="shared" si="8"/>
        <v>0.12774655084312725</v>
      </c>
      <c r="M21" s="40">
        <f t="shared" si="8"/>
        <v>0.24249371720823598</v>
      </c>
      <c r="N21" s="40">
        <f t="shared" si="8"/>
        <v>0.29768348127300281</v>
      </c>
      <c r="O21" s="47">
        <f>O17/O18</f>
        <v>0.1044188143718259</v>
      </c>
      <c r="Q21" s="2"/>
      <c r="R21" s="101" t="s">
        <v>32</v>
      </c>
      <c r="S21" s="102"/>
    </row>
    <row r="22" spans="2:21" ht="15" thickBot="1">
      <c r="B22" s="44" t="s">
        <v>51</v>
      </c>
      <c r="C22" s="74">
        <f t="shared" ref="C22:O22" si="9">IF(C8&gt;0,100/C16*C6-100,"")</f>
        <v>-20</v>
      </c>
      <c r="D22" s="74">
        <f t="shared" si="9"/>
        <v>700</v>
      </c>
      <c r="E22" s="74">
        <f t="shared" si="9"/>
        <v>700</v>
      </c>
      <c r="F22" s="74">
        <f t="shared" si="9"/>
        <v>700</v>
      </c>
      <c r="G22" s="74">
        <f t="shared" si="9"/>
        <v>700</v>
      </c>
      <c r="H22" s="74">
        <f t="shared" si="9"/>
        <v>700</v>
      </c>
      <c r="I22" s="74">
        <f t="shared" si="9"/>
        <v>700</v>
      </c>
      <c r="J22" s="74">
        <f t="shared" si="9"/>
        <v>700</v>
      </c>
      <c r="K22" s="74">
        <f t="shared" si="9"/>
        <v>700</v>
      </c>
      <c r="L22" s="74">
        <f t="shared" si="9"/>
        <v>700</v>
      </c>
      <c r="M22" s="74">
        <f t="shared" si="9"/>
        <v>700</v>
      </c>
      <c r="N22" s="74">
        <f t="shared" si="9"/>
        <v>700</v>
      </c>
      <c r="O22" s="75">
        <f t="shared" si="9"/>
        <v>640</v>
      </c>
      <c r="Q22" s="2"/>
      <c r="R22" s="27" t="s">
        <v>22</v>
      </c>
      <c r="S22" s="28">
        <f>O5*S2</f>
        <v>0</v>
      </c>
      <c r="T22" s="106">
        <f>SUM(S22:S24)</f>
        <v>12012</v>
      </c>
      <c r="U22" s="39" t="s">
        <v>43</v>
      </c>
    </row>
    <row r="23" spans="2:21">
      <c r="Q23" s="2"/>
      <c r="R23" s="27" t="s">
        <v>54</v>
      </c>
      <c r="S23" s="28">
        <f>O6*S2</f>
        <v>0</v>
      </c>
      <c r="T23" s="107"/>
      <c r="U23" s="85">
        <f>1/'2025'!S7*T22</f>
        <v>1.0010000000000002E-3</v>
      </c>
    </row>
    <row r="24" spans="2:21" ht="15" thickBot="1">
      <c r="Q24" s="2"/>
      <c r="R24" s="29" t="s">
        <v>24</v>
      </c>
      <c r="S24" s="30">
        <f>O17*S4</f>
        <v>12012</v>
      </c>
      <c r="T24" s="91"/>
      <c r="U24" s="86"/>
    </row>
    <row r="25" spans="2:21" ht="15" thickBot="1">
      <c r="Q25" s="2"/>
    </row>
    <row r="26" spans="2:21">
      <c r="Q26" s="2"/>
      <c r="R26" s="87" t="s">
        <v>33</v>
      </c>
      <c r="S26" s="88"/>
    </row>
    <row r="27" spans="2:21" ht="15" thickBot="1">
      <c r="Q27" s="2"/>
      <c r="R27" s="31" t="s">
        <v>23</v>
      </c>
      <c r="S27" s="32">
        <f>O7*S2</f>
        <v>0</v>
      </c>
      <c r="U27" s="38"/>
    </row>
    <row r="28" spans="2:21">
      <c r="Q28" s="2"/>
    </row>
    <row r="29" spans="2:21">
      <c r="Q29" s="2"/>
    </row>
    <row r="30" spans="2:21">
      <c r="Q30" s="2"/>
    </row>
    <row r="31" spans="2:21">
      <c r="Q31" s="2"/>
    </row>
    <row r="32" spans="2:21">
      <c r="Q32" s="2"/>
    </row>
    <row r="33" spans="2:17">
      <c r="Q33" s="2"/>
    </row>
    <row r="34" spans="2:17">
      <c r="Q34" s="2"/>
    </row>
    <row r="35" spans="2:17">
      <c r="Q35" s="2"/>
    </row>
    <row r="36" spans="2:17">
      <c r="Q36" s="2"/>
    </row>
    <row r="37" spans="2:17">
      <c r="Q37" s="2"/>
    </row>
    <row r="38" spans="2:17">
      <c r="Q38" s="2"/>
    </row>
    <row r="39" spans="2:17">
      <c r="Q39" s="2"/>
    </row>
    <row r="40" spans="2:17">
      <c r="Q40" s="2"/>
    </row>
    <row r="43" spans="2:17">
      <c r="B43" s="5" t="s">
        <v>65</v>
      </c>
      <c r="C43" s="5">
        <f>C8</f>
        <v>6500</v>
      </c>
      <c r="D43" s="5">
        <f t="shared" ref="D43:O43" si="10">D8</f>
        <v>7000</v>
      </c>
      <c r="E43" s="5">
        <f t="shared" si="10"/>
        <v>7000</v>
      </c>
      <c r="F43" s="5">
        <f t="shared" si="10"/>
        <v>7000</v>
      </c>
      <c r="G43" s="5">
        <f t="shared" si="10"/>
        <v>7000</v>
      </c>
      <c r="H43" s="5">
        <f t="shared" si="10"/>
        <v>7000</v>
      </c>
      <c r="I43" s="5">
        <f t="shared" si="10"/>
        <v>7000</v>
      </c>
      <c r="J43" s="5">
        <f t="shared" si="10"/>
        <v>7000</v>
      </c>
      <c r="K43" s="5">
        <f t="shared" si="10"/>
        <v>7000</v>
      </c>
      <c r="L43" s="5">
        <f t="shared" si="10"/>
        <v>7000</v>
      </c>
      <c r="M43" s="5">
        <f t="shared" si="10"/>
        <v>7000</v>
      </c>
      <c r="N43" s="5">
        <f t="shared" si="10"/>
        <v>7000</v>
      </c>
      <c r="O43" s="5">
        <f t="shared" si="10"/>
        <v>83500</v>
      </c>
    </row>
    <row r="44" spans="2:17">
      <c r="B44" s="5" t="s">
        <v>62</v>
      </c>
      <c r="C44" s="5" t="s">
        <v>2</v>
      </c>
      <c r="D44" s="5" t="s">
        <v>3</v>
      </c>
      <c r="E44" s="5" t="s">
        <v>4</v>
      </c>
      <c r="F44" s="5" t="s">
        <v>5</v>
      </c>
      <c r="G44" s="5" t="s">
        <v>6</v>
      </c>
      <c r="H44" s="5" t="s">
        <v>7</v>
      </c>
      <c r="I44" s="5" t="s">
        <v>8</v>
      </c>
      <c r="J44" s="5" t="s">
        <v>9</v>
      </c>
      <c r="K44" s="5" t="s">
        <v>27</v>
      </c>
      <c r="L44" s="5" t="s">
        <v>10</v>
      </c>
      <c r="M44" s="5" t="s">
        <v>26</v>
      </c>
      <c r="N44" s="5" t="s">
        <v>25</v>
      </c>
      <c r="O44" s="5" t="s">
        <v>11</v>
      </c>
    </row>
    <row r="45" spans="2:17">
      <c r="B45" s="76" t="s">
        <v>63</v>
      </c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>
        <f>SUM(C45:N45)</f>
        <v>0</v>
      </c>
    </row>
    <row r="46" spans="2:17">
      <c r="B46" s="76" t="s">
        <v>64</v>
      </c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>
        <f t="shared" ref="O46:O53" si="11">SUM(C46:N46)</f>
        <v>0</v>
      </c>
    </row>
    <row r="47" spans="2:17">
      <c r="B47" s="76" t="s">
        <v>66</v>
      </c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>
        <f t="shared" si="11"/>
        <v>0</v>
      </c>
    </row>
    <row r="48" spans="2:17">
      <c r="B48" s="76" t="s">
        <v>67</v>
      </c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>
        <f t="shared" si="11"/>
        <v>0</v>
      </c>
    </row>
    <row r="49" spans="2:15">
      <c r="B49" s="76" t="s">
        <v>68</v>
      </c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>
        <f t="shared" si="11"/>
        <v>0</v>
      </c>
    </row>
    <row r="50" spans="2:15">
      <c r="B50" s="76" t="s">
        <v>69</v>
      </c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>
        <f t="shared" si="11"/>
        <v>0</v>
      </c>
    </row>
    <row r="51" spans="2:15">
      <c r="B51" s="76" t="s">
        <v>71</v>
      </c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>
        <f t="shared" si="11"/>
        <v>0</v>
      </c>
    </row>
    <row r="52" spans="2:15">
      <c r="B52" s="77" t="s">
        <v>72</v>
      </c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6">
        <f t="shared" si="11"/>
        <v>0</v>
      </c>
    </row>
    <row r="53" spans="2:15" ht="15" thickBot="1">
      <c r="B53" s="77" t="s">
        <v>70</v>
      </c>
      <c r="C53" s="77">
        <f>C43-C45-C46-C47-C48-C49-C50-C51-C52</f>
        <v>6500</v>
      </c>
      <c r="D53" s="77">
        <f t="shared" ref="D53:N53" si="12">D43-D45-D46-D47-D48-D49-D50-D51-D52</f>
        <v>7000</v>
      </c>
      <c r="E53" s="77">
        <f t="shared" si="12"/>
        <v>7000</v>
      </c>
      <c r="F53" s="77">
        <f>(F43-F45-F46-F47-F48-F49-F50-F51-F52)</f>
        <v>7000</v>
      </c>
      <c r="G53" s="77">
        <f t="shared" si="12"/>
        <v>7000</v>
      </c>
      <c r="H53" s="77">
        <f t="shared" si="12"/>
        <v>7000</v>
      </c>
      <c r="I53" s="77">
        <f t="shared" si="12"/>
        <v>7000</v>
      </c>
      <c r="J53" s="77">
        <f t="shared" si="12"/>
        <v>7000</v>
      </c>
      <c r="K53" s="77">
        <f t="shared" si="12"/>
        <v>7000</v>
      </c>
      <c r="L53" s="77">
        <f t="shared" si="12"/>
        <v>7000</v>
      </c>
      <c r="M53" s="77">
        <f t="shared" si="12"/>
        <v>7000</v>
      </c>
      <c r="N53" s="77">
        <f t="shared" si="12"/>
        <v>7000</v>
      </c>
      <c r="O53" s="76">
        <f t="shared" si="11"/>
        <v>83500</v>
      </c>
    </row>
    <row r="54" spans="2:15" ht="15" thickBot="1">
      <c r="B54" s="78" t="s">
        <v>11</v>
      </c>
      <c r="C54" s="79">
        <f>SUM(C45:C53)</f>
        <v>6500</v>
      </c>
      <c r="D54" s="79">
        <f t="shared" ref="D54:O54" si="13">SUM(D45:D53)</f>
        <v>7000</v>
      </c>
      <c r="E54" s="79">
        <f t="shared" si="13"/>
        <v>7000</v>
      </c>
      <c r="F54" s="79">
        <f t="shared" si="13"/>
        <v>7000</v>
      </c>
      <c r="G54" s="79">
        <f t="shared" si="13"/>
        <v>7000</v>
      </c>
      <c r="H54" s="79">
        <f t="shared" si="13"/>
        <v>7000</v>
      </c>
      <c r="I54" s="79">
        <f t="shared" si="13"/>
        <v>7000</v>
      </c>
      <c r="J54" s="79">
        <f t="shared" si="13"/>
        <v>7000</v>
      </c>
      <c r="K54" s="79">
        <f t="shared" si="13"/>
        <v>7000</v>
      </c>
      <c r="L54" s="79">
        <f t="shared" si="13"/>
        <v>7000</v>
      </c>
      <c r="M54" s="79">
        <f t="shared" si="13"/>
        <v>7000</v>
      </c>
      <c r="N54" s="79">
        <f t="shared" si="13"/>
        <v>7000</v>
      </c>
      <c r="O54" s="79">
        <f t="shared" si="13"/>
        <v>83500</v>
      </c>
    </row>
  </sheetData>
  <mergeCells count="12">
    <mergeCell ref="T22:T24"/>
    <mergeCell ref="U23:U24"/>
    <mergeCell ref="R26:S26"/>
    <mergeCell ref="A1:P1"/>
    <mergeCell ref="R1:S1"/>
    <mergeCell ref="B3:O3"/>
    <mergeCell ref="P5:P6"/>
    <mergeCell ref="R6:S6"/>
    <mergeCell ref="R10:S10"/>
    <mergeCell ref="B13:O13"/>
    <mergeCell ref="R15:S15"/>
    <mergeCell ref="R21:S21"/>
  </mergeCells>
  <pageMargins left="0.7" right="0.7" top="0.78740157499999996" bottom="0.78740157499999996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workbookViewId="0">
      <selection activeCell="C15" sqref="C15:N15"/>
    </sheetView>
  </sheetViews>
  <sheetFormatPr baseColWidth="10" defaultRowHeight="14" x14ac:dyDescent="0"/>
  <cols>
    <col min="1" max="1" width="10.83203125" style="37"/>
    <col min="2" max="2" width="11.83203125" style="37" customWidth="1"/>
    <col min="3" max="14" width="9.5" style="37" customWidth="1"/>
    <col min="15" max="15" width="10.83203125" style="37"/>
    <col min="16" max="16" width="9.83203125" style="37" customWidth="1"/>
    <col min="17" max="17" width="2.83203125" style="37" customWidth="1"/>
    <col min="18" max="18" width="29.5" style="37" bestFit="1" customWidth="1"/>
    <col min="19" max="19" width="10.83203125" style="37"/>
    <col min="20" max="20" width="10.33203125" style="37" bestFit="1" customWidth="1"/>
    <col min="21" max="21" width="23.5" style="37" bestFit="1" customWidth="1"/>
    <col min="22" max="22" width="25.83203125" style="37" customWidth="1"/>
    <col min="23" max="16384" width="10.83203125" style="37"/>
  </cols>
  <sheetData>
    <row r="1" spans="1:22" ht="25">
      <c r="A1" s="92">
        <v>2035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2"/>
      <c r="R1" s="93" t="s">
        <v>28</v>
      </c>
      <c r="S1" s="94"/>
    </row>
    <row r="2" spans="1:22">
      <c r="Q2" s="2"/>
      <c r="R2" s="14" t="s">
        <v>78</v>
      </c>
      <c r="S2" s="15">
        <v>0</v>
      </c>
    </row>
    <row r="3" spans="1:22" ht="25">
      <c r="B3" s="96" t="s">
        <v>37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Q3" s="2"/>
      <c r="R3" s="112" t="s">
        <v>86</v>
      </c>
      <c r="S3" s="49">
        <f>'2034'!S3</f>
        <v>10000</v>
      </c>
    </row>
    <row r="4" spans="1:22" ht="15" thickBot="1">
      <c r="B4" s="5"/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27</v>
      </c>
      <c r="L4" s="5" t="s">
        <v>10</v>
      </c>
      <c r="M4" s="5" t="s">
        <v>26</v>
      </c>
      <c r="N4" s="5" t="s">
        <v>25</v>
      </c>
      <c r="O4" s="5" t="s">
        <v>11</v>
      </c>
      <c r="Q4" s="2"/>
      <c r="R4" s="16" t="s">
        <v>24</v>
      </c>
      <c r="S4" s="36">
        <f>'2034'!S4</f>
        <v>9.0999999999999998E-2</v>
      </c>
    </row>
    <row r="5" spans="1:22" ht="15" thickBot="1">
      <c r="B5" s="3" t="s">
        <v>13</v>
      </c>
      <c r="C5" s="37">
        <v>5000</v>
      </c>
      <c r="D5" s="37">
        <v>1000</v>
      </c>
      <c r="E5" s="37">
        <v>1000</v>
      </c>
      <c r="F5" s="37">
        <v>1000</v>
      </c>
      <c r="G5" s="37">
        <v>1000</v>
      </c>
      <c r="H5" s="37">
        <v>1000</v>
      </c>
      <c r="I5" s="37">
        <v>1000</v>
      </c>
      <c r="J5" s="37">
        <v>1000</v>
      </c>
      <c r="K5" s="37">
        <v>1000</v>
      </c>
      <c r="L5" s="37">
        <v>1000</v>
      </c>
      <c r="M5" s="37">
        <v>1000</v>
      </c>
      <c r="N5" s="37">
        <v>1000</v>
      </c>
      <c r="O5" s="5">
        <f t="shared" ref="O5:O7" si="0">SUM(C5:N5)</f>
        <v>16000</v>
      </c>
      <c r="P5" s="103">
        <f>O6+O5</f>
        <v>71500</v>
      </c>
      <c r="Q5" s="2"/>
    </row>
    <row r="6" spans="1:22" ht="15" thickTop="1">
      <c r="B6" s="4" t="s">
        <v>14</v>
      </c>
      <c r="C6" s="37">
        <v>500</v>
      </c>
      <c r="D6" s="37">
        <v>5000</v>
      </c>
      <c r="E6" s="37">
        <v>5000</v>
      </c>
      <c r="F6" s="37">
        <v>5000</v>
      </c>
      <c r="G6" s="37">
        <v>5000</v>
      </c>
      <c r="H6" s="37">
        <v>5000</v>
      </c>
      <c r="I6" s="37">
        <v>5000</v>
      </c>
      <c r="J6" s="37">
        <v>5000</v>
      </c>
      <c r="K6" s="37">
        <v>5000</v>
      </c>
      <c r="L6" s="37">
        <v>5000</v>
      </c>
      <c r="M6" s="37">
        <v>5000</v>
      </c>
      <c r="N6" s="37">
        <v>5000</v>
      </c>
      <c r="O6" s="5">
        <f t="shared" si="0"/>
        <v>55500</v>
      </c>
      <c r="P6" s="103"/>
      <c r="Q6" s="2"/>
      <c r="R6" s="104" t="s">
        <v>29</v>
      </c>
      <c r="S6" s="105"/>
      <c r="U6" s="55" t="s">
        <v>36</v>
      </c>
      <c r="V6" s="56" t="s">
        <v>53</v>
      </c>
    </row>
    <row r="7" spans="1:22" ht="15" thickBot="1">
      <c r="B7" s="8" t="s">
        <v>16</v>
      </c>
      <c r="C7" s="9">
        <v>1000</v>
      </c>
      <c r="D7" s="9">
        <v>1000</v>
      </c>
      <c r="E7" s="9">
        <v>1000</v>
      </c>
      <c r="F7" s="9">
        <v>1000</v>
      </c>
      <c r="G7" s="9">
        <v>1000</v>
      </c>
      <c r="H7" s="9">
        <v>1000</v>
      </c>
      <c r="I7" s="9">
        <v>1000</v>
      </c>
      <c r="J7" s="9">
        <v>1000</v>
      </c>
      <c r="K7" s="9">
        <v>1000</v>
      </c>
      <c r="L7" s="9">
        <v>1000</v>
      </c>
      <c r="M7" s="9">
        <v>1000</v>
      </c>
      <c r="N7" s="9">
        <v>1000</v>
      </c>
      <c r="O7" s="54">
        <f t="shared" si="0"/>
        <v>12000</v>
      </c>
      <c r="Q7" s="12"/>
      <c r="R7" s="17" t="s">
        <v>35</v>
      </c>
      <c r="S7" s="82">
        <f>'2034'!U7</f>
        <v>11089695.431238629</v>
      </c>
      <c r="T7" s="11"/>
      <c r="U7" s="57">
        <f>S7-T22</f>
        <v>11077683.431238629</v>
      </c>
      <c r="V7" s="60">
        <f>U7/T22</f>
        <v>922.21806786868376</v>
      </c>
    </row>
    <row r="8" spans="1:22" ht="16" thickTop="1" thickBot="1">
      <c r="B8" s="33" t="s">
        <v>12</v>
      </c>
      <c r="C8" s="33">
        <f t="shared" ref="C8:O8" si="1">SUM(C5:C7)</f>
        <v>6500</v>
      </c>
      <c r="D8" s="33">
        <f t="shared" si="1"/>
        <v>7000</v>
      </c>
      <c r="E8" s="33">
        <f t="shared" si="1"/>
        <v>7000</v>
      </c>
      <c r="F8" s="33">
        <f t="shared" si="1"/>
        <v>7000</v>
      </c>
      <c r="G8" s="33">
        <f t="shared" si="1"/>
        <v>7000</v>
      </c>
      <c r="H8" s="33">
        <f t="shared" si="1"/>
        <v>7000</v>
      </c>
      <c r="I8" s="33">
        <f t="shared" si="1"/>
        <v>7000</v>
      </c>
      <c r="J8" s="33">
        <f t="shared" si="1"/>
        <v>7000</v>
      </c>
      <c r="K8" s="33">
        <f t="shared" si="1"/>
        <v>7000</v>
      </c>
      <c r="L8" s="33">
        <f t="shared" si="1"/>
        <v>7000</v>
      </c>
      <c r="M8" s="33">
        <f t="shared" si="1"/>
        <v>7000</v>
      </c>
      <c r="N8" s="34">
        <f t="shared" si="1"/>
        <v>7000</v>
      </c>
      <c r="O8" s="33">
        <f t="shared" si="1"/>
        <v>83500</v>
      </c>
      <c r="Q8" s="12"/>
      <c r="R8" s="18" t="s">
        <v>34</v>
      </c>
      <c r="S8" s="83">
        <f>'2034'!U8</f>
        <v>4630513.1185151516</v>
      </c>
      <c r="T8" s="11"/>
      <c r="U8" s="58">
        <f>S8-((O6*S2)-O16*S4)</f>
        <v>4631195.6185151516</v>
      </c>
      <c r="V8" s="61">
        <f>U8/U9</f>
        <v>-6785.6346058830059</v>
      </c>
    </row>
    <row r="9" spans="1:22" ht="15" thickBot="1">
      <c r="B9" s="41" t="s">
        <v>40</v>
      </c>
      <c r="C9" s="42">
        <f t="shared" ref="C9:N9" si="2">IF(C8&gt;0,(C5+C6)/C8,"")</f>
        <v>0.84615384615384615</v>
      </c>
      <c r="D9" s="42">
        <f t="shared" si="2"/>
        <v>0.8571428571428571</v>
      </c>
      <c r="E9" s="42">
        <f t="shared" si="2"/>
        <v>0.8571428571428571</v>
      </c>
      <c r="F9" s="42">
        <f t="shared" si="2"/>
        <v>0.8571428571428571</v>
      </c>
      <c r="G9" s="42">
        <f t="shared" si="2"/>
        <v>0.8571428571428571</v>
      </c>
      <c r="H9" s="42">
        <f t="shared" si="2"/>
        <v>0.8571428571428571</v>
      </c>
      <c r="I9" s="42">
        <f t="shared" si="2"/>
        <v>0.8571428571428571</v>
      </c>
      <c r="J9" s="42">
        <f t="shared" si="2"/>
        <v>0.8571428571428571</v>
      </c>
      <c r="K9" s="42">
        <f t="shared" si="2"/>
        <v>0.8571428571428571</v>
      </c>
      <c r="L9" s="42">
        <f t="shared" si="2"/>
        <v>0.8571428571428571</v>
      </c>
      <c r="M9" s="42">
        <f t="shared" si="2"/>
        <v>0.8571428571428571</v>
      </c>
      <c r="N9" s="42">
        <f t="shared" si="2"/>
        <v>0.8571428571428571</v>
      </c>
      <c r="O9" s="46">
        <f>(O5+O6)/O8</f>
        <v>0.85628742514970058</v>
      </c>
      <c r="Q9" s="2"/>
      <c r="U9" s="65">
        <f>S8-U8</f>
        <v>-682.5</v>
      </c>
    </row>
    <row r="10" spans="1:22">
      <c r="B10" s="43" t="s">
        <v>41</v>
      </c>
      <c r="C10" s="40">
        <f t="shared" ref="C10:O10" si="3">IF(C8&gt;0,(C5+C6)/C18,"")</f>
        <v>0.11695657721260579</v>
      </c>
      <c r="D10" s="40">
        <f t="shared" si="3"/>
        <v>9.5348578511608689E-2</v>
      </c>
      <c r="E10" s="40">
        <f t="shared" si="3"/>
        <v>5.957345406886691E-2</v>
      </c>
      <c r="F10" s="40">
        <f t="shared" si="3"/>
        <v>4.4987628402189395E-2</v>
      </c>
      <c r="G10" s="40">
        <f t="shared" si="3"/>
        <v>3.7766727513060996E-2</v>
      </c>
      <c r="H10" s="40">
        <f t="shared" si="3"/>
        <v>3.5855145213338116E-2</v>
      </c>
      <c r="I10" s="40">
        <f t="shared" si="3"/>
        <v>3.5366306519778609E-2</v>
      </c>
      <c r="J10" s="40">
        <f t="shared" si="3"/>
        <v>4.2042126210462882E-2</v>
      </c>
      <c r="K10" s="40">
        <f t="shared" si="3"/>
        <v>5.3049459779667914E-2</v>
      </c>
      <c r="L10" s="40">
        <f t="shared" si="3"/>
        <v>6.9679936823523941E-2</v>
      </c>
      <c r="M10" s="40">
        <f t="shared" si="3"/>
        <v>0.13226930029540143</v>
      </c>
      <c r="N10" s="40">
        <f t="shared" si="3"/>
        <v>0.16237280796709244</v>
      </c>
      <c r="O10" s="47">
        <f t="shared" si="3"/>
        <v>5.6560191118072367E-2</v>
      </c>
      <c r="Q10" s="2"/>
      <c r="R10" s="97" t="s">
        <v>30</v>
      </c>
      <c r="S10" s="98"/>
    </row>
    <row r="11" spans="1:22" ht="15" thickBot="1">
      <c r="B11" s="44" t="s">
        <v>42</v>
      </c>
      <c r="C11" s="45">
        <f t="shared" ref="C11:N11" si="4">IF(C8&gt;0,C5*$S$2+C6*$S$2+C17*$S$4,"")</f>
        <v>1001</v>
      </c>
      <c r="D11" s="45">
        <f t="shared" si="4"/>
        <v>1001</v>
      </c>
      <c r="E11" s="45">
        <f t="shared" si="4"/>
        <v>1001</v>
      </c>
      <c r="F11" s="45">
        <f t="shared" si="4"/>
        <v>1001</v>
      </c>
      <c r="G11" s="45">
        <f t="shared" si="4"/>
        <v>1001</v>
      </c>
      <c r="H11" s="45">
        <f t="shared" si="4"/>
        <v>1001</v>
      </c>
      <c r="I11" s="45">
        <f t="shared" si="4"/>
        <v>1001</v>
      </c>
      <c r="J11" s="45">
        <f t="shared" si="4"/>
        <v>1001</v>
      </c>
      <c r="K11" s="45">
        <f t="shared" si="4"/>
        <v>1001</v>
      </c>
      <c r="L11" s="45">
        <f t="shared" si="4"/>
        <v>1001</v>
      </c>
      <c r="M11" s="45">
        <f t="shared" si="4"/>
        <v>1001</v>
      </c>
      <c r="N11" s="45">
        <f t="shared" si="4"/>
        <v>1001</v>
      </c>
      <c r="O11" s="48">
        <f>SUM(C11:N11)</f>
        <v>12012</v>
      </c>
      <c r="Q11" s="2"/>
      <c r="R11" s="19" t="s">
        <v>0</v>
      </c>
      <c r="S11" s="20">
        <f>P5/O8</f>
        <v>0.85628742514970058</v>
      </c>
    </row>
    <row r="12" spans="1:22" ht="15" thickBot="1">
      <c r="Q12" s="2"/>
      <c r="R12" s="21" t="s">
        <v>1</v>
      </c>
      <c r="S12" s="22">
        <f>P5/O18</f>
        <v>5.6560191118072367E-2</v>
      </c>
    </row>
    <row r="13" spans="1:22" ht="25">
      <c r="B13" s="95" t="s">
        <v>38</v>
      </c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Q13" s="2"/>
    </row>
    <row r="14" spans="1:22" ht="15" thickBot="1">
      <c r="B14" s="5"/>
      <c r="C14" s="5" t="s">
        <v>2</v>
      </c>
      <c r="D14" s="5" t="s">
        <v>3</v>
      </c>
      <c r="E14" s="5" t="s">
        <v>4</v>
      </c>
      <c r="F14" s="5" t="s">
        <v>5</v>
      </c>
      <c r="G14" s="5" t="s">
        <v>6</v>
      </c>
      <c r="H14" s="5" t="s">
        <v>7</v>
      </c>
      <c r="I14" s="5" t="s">
        <v>8</v>
      </c>
      <c r="J14" s="5" t="s">
        <v>9</v>
      </c>
      <c r="K14" s="5" t="s">
        <v>27</v>
      </c>
      <c r="L14" s="5" t="s">
        <v>10</v>
      </c>
      <c r="M14" s="5" t="s">
        <v>26</v>
      </c>
      <c r="N14" s="5" t="s">
        <v>25</v>
      </c>
      <c r="O14" s="5" t="s">
        <v>11</v>
      </c>
      <c r="Q14" s="2"/>
      <c r="S14" s="11"/>
    </row>
    <row r="15" spans="1:22">
      <c r="B15" s="3" t="s">
        <v>13</v>
      </c>
      <c r="C15" s="123">
        <v>35401</v>
      </c>
      <c r="D15" s="123">
        <v>51302</v>
      </c>
      <c r="E15" s="123">
        <v>89091</v>
      </c>
      <c r="F15" s="123">
        <v>121745</v>
      </c>
      <c r="G15" s="123">
        <v>147245</v>
      </c>
      <c r="H15" s="123">
        <v>155715</v>
      </c>
      <c r="I15" s="123">
        <v>158028</v>
      </c>
      <c r="J15" s="123">
        <v>131089</v>
      </c>
      <c r="K15" s="123">
        <v>101477</v>
      </c>
      <c r="L15" s="123">
        <v>74483</v>
      </c>
      <c r="M15" s="123">
        <v>33737</v>
      </c>
      <c r="N15" s="123">
        <v>25327</v>
      </c>
      <c r="O15" s="5">
        <f t="shared" ref="O15:O17" si="5">SUM(C15:N15)</f>
        <v>1124640</v>
      </c>
      <c r="Q15" s="2"/>
      <c r="R15" s="99" t="s">
        <v>31</v>
      </c>
      <c r="S15" s="100"/>
    </row>
    <row r="16" spans="1:22">
      <c r="B16" s="1" t="s">
        <v>15</v>
      </c>
      <c r="C16" s="37">
        <v>625</v>
      </c>
      <c r="D16" s="37">
        <v>625</v>
      </c>
      <c r="E16" s="37">
        <v>625</v>
      </c>
      <c r="F16" s="37">
        <v>625</v>
      </c>
      <c r="G16" s="37">
        <v>625</v>
      </c>
      <c r="H16" s="37">
        <v>625</v>
      </c>
      <c r="I16" s="37">
        <v>625</v>
      </c>
      <c r="J16" s="37">
        <v>625</v>
      </c>
      <c r="K16" s="37">
        <v>625</v>
      </c>
      <c r="L16" s="37">
        <v>625</v>
      </c>
      <c r="M16" s="37">
        <v>625</v>
      </c>
      <c r="N16" s="37">
        <v>625</v>
      </c>
      <c r="O16" s="5">
        <f t="shared" si="5"/>
        <v>7500</v>
      </c>
      <c r="Q16" s="2"/>
      <c r="R16" s="23" t="s">
        <v>19</v>
      </c>
      <c r="S16" s="24">
        <f>O16</f>
        <v>7500</v>
      </c>
      <c r="U16" s="59" t="s">
        <v>48</v>
      </c>
    </row>
    <row r="17" spans="2:21" ht="15" thickBot="1">
      <c r="B17" s="10" t="s">
        <v>17</v>
      </c>
      <c r="C17" s="9">
        <v>11000</v>
      </c>
      <c r="D17" s="9">
        <v>11000</v>
      </c>
      <c r="E17" s="9">
        <v>11000</v>
      </c>
      <c r="F17" s="9">
        <v>11000</v>
      </c>
      <c r="G17" s="9">
        <v>11000</v>
      </c>
      <c r="H17" s="9">
        <v>11000</v>
      </c>
      <c r="I17" s="9">
        <v>11000</v>
      </c>
      <c r="J17" s="9">
        <v>11000</v>
      </c>
      <c r="K17" s="9">
        <v>11000</v>
      </c>
      <c r="L17" s="9">
        <v>11000</v>
      </c>
      <c r="M17" s="9">
        <v>11000</v>
      </c>
      <c r="N17" s="9">
        <v>11000</v>
      </c>
      <c r="O17" s="54">
        <f t="shared" si="5"/>
        <v>132000</v>
      </c>
      <c r="Q17" s="2"/>
      <c r="R17" s="23" t="s">
        <v>18</v>
      </c>
      <c r="S17" s="24">
        <f>O6</f>
        <v>55500</v>
      </c>
      <c r="U17" s="66" t="s">
        <v>49</v>
      </c>
    </row>
    <row r="18" spans="2:21" ht="16" thickTop="1" thickBot="1">
      <c r="B18" s="6" t="s">
        <v>12</v>
      </c>
      <c r="C18" s="6">
        <f>SUM(C15:C17)</f>
        <v>47026</v>
      </c>
      <c r="D18" s="6">
        <f t="shared" ref="D18:N18" si="6">SUM(D15:D17)</f>
        <v>62927</v>
      </c>
      <c r="E18" s="6">
        <f t="shared" si="6"/>
        <v>100716</v>
      </c>
      <c r="F18" s="6">
        <f t="shared" si="6"/>
        <v>133370</v>
      </c>
      <c r="G18" s="6">
        <f t="shared" si="6"/>
        <v>158870</v>
      </c>
      <c r="H18" s="6">
        <f t="shared" si="6"/>
        <v>167340</v>
      </c>
      <c r="I18" s="6">
        <f t="shared" si="6"/>
        <v>169653</v>
      </c>
      <c r="J18" s="6">
        <f t="shared" si="6"/>
        <v>142714</v>
      </c>
      <c r="K18" s="6">
        <f t="shared" si="6"/>
        <v>113102</v>
      </c>
      <c r="L18" s="6">
        <f t="shared" si="6"/>
        <v>86108</v>
      </c>
      <c r="M18" s="6">
        <f t="shared" si="6"/>
        <v>45362</v>
      </c>
      <c r="N18" s="7">
        <f t="shared" si="6"/>
        <v>36952</v>
      </c>
      <c r="O18" s="6">
        <f>SUM(O15:O17)</f>
        <v>1264140</v>
      </c>
      <c r="Q18" s="2"/>
      <c r="R18" s="23" t="s">
        <v>20</v>
      </c>
      <c r="S18" s="24">
        <f>100/S16*S17</f>
        <v>740</v>
      </c>
      <c r="U18" s="59" t="s">
        <v>50</v>
      </c>
    </row>
    <row r="19" spans="2:21" ht="15" thickBot="1">
      <c r="B19" s="41" t="s">
        <v>44</v>
      </c>
      <c r="C19" s="50">
        <f>IF(C18&gt;0,C18/$S$3,"")</f>
        <v>4.7026000000000003</v>
      </c>
      <c r="D19" s="50">
        <f t="shared" ref="D19:N19" si="7">IF(D18&gt;0,D18/$S$3,"")</f>
        <v>6.2927</v>
      </c>
      <c r="E19" s="50">
        <f t="shared" si="7"/>
        <v>10.0716</v>
      </c>
      <c r="F19" s="50">
        <f t="shared" si="7"/>
        <v>13.337</v>
      </c>
      <c r="G19" s="50">
        <f t="shared" si="7"/>
        <v>15.887</v>
      </c>
      <c r="H19" s="50">
        <f t="shared" si="7"/>
        <v>16.734000000000002</v>
      </c>
      <c r="I19" s="50">
        <f t="shared" si="7"/>
        <v>16.965299999999999</v>
      </c>
      <c r="J19" s="50">
        <f t="shared" si="7"/>
        <v>14.2714</v>
      </c>
      <c r="K19" s="50">
        <f t="shared" si="7"/>
        <v>11.3102</v>
      </c>
      <c r="L19" s="50">
        <f t="shared" si="7"/>
        <v>8.6107999999999993</v>
      </c>
      <c r="M19" s="50">
        <f t="shared" si="7"/>
        <v>4.5362</v>
      </c>
      <c r="N19" s="50">
        <f t="shared" si="7"/>
        <v>3.6951999999999998</v>
      </c>
      <c r="O19" s="53">
        <f>SUM(C19:N19)</f>
        <v>126.41399999999999</v>
      </c>
      <c r="Q19" s="2"/>
      <c r="R19" s="25" t="s">
        <v>21</v>
      </c>
      <c r="S19" s="26">
        <f>100-S18</f>
        <v>-640</v>
      </c>
    </row>
    <row r="20" spans="2:21" ht="15" thickBot="1">
      <c r="B20" s="43" t="s">
        <v>46</v>
      </c>
      <c r="C20" s="51">
        <f>IF(C8&gt;0,C16/31,"")</f>
        <v>20.161290322580644</v>
      </c>
      <c r="D20" s="51">
        <f>IF(D8&gt;0,D16/28,"")</f>
        <v>22.321428571428573</v>
      </c>
      <c r="E20" s="51">
        <f>IF(E8&gt;0,E16/31,"")</f>
        <v>20.161290322580644</v>
      </c>
      <c r="F20" s="51">
        <f>IF(F8&gt;0,F16/30,"")</f>
        <v>20.833333333333332</v>
      </c>
      <c r="G20" s="51">
        <f>IF(G8&gt;0,G16/31,"")</f>
        <v>20.161290322580644</v>
      </c>
      <c r="H20" s="51">
        <f>IF(H8&gt;0,H16/30,"")</f>
        <v>20.833333333333332</v>
      </c>
      <c r="I20" s="51">
        <f>IF(I8&gt;0,I16/31,"")</f>
        <v>20.161290322580644</v>
      </c>
      <c r="J20" s="51">
        <f>IF(J8&gt;0,J16/31,"")</f>
        <v>20.161290322580644</v>
      </c>
      <c r="K20" s="51">
        <f>IF(K8&gt;0,K16/30,"")</f>
        <v>20.833333333333332</v>
      </c>
      <c r="L20" s="51">
        <f>IF(L8&gt;0,L16/31,"")</f>
        <v>20.161290322580644</v>
      </c>
      <c r="M20" s="51">
        <f>IF(M8&gt;0,M16/30,"")</f>
        <v>20.833333333333332</v>
      </c>
      <c r="N20" s="51">
        <f>IF(N8&gt;0,N16/31,"")</f>
        <v>20.161290322580644</v>
      </c>
      <c r="O20" s="52">
        <f>SUM(C20:N20)/COUNT(C20:N20)</f>
        <v>20.565316180235534</v>
      </c>
      <c r="Q20" s="2"/>
    </row>
    <row r="21" spans="2:21" ht="15" thickBot="1">
      <c r="B21" s="43" t="s">
        <v>47</v>
      </c>
      <c r="C21" s="40">
        <f>IF(C18&gt;0,C17/C18,"")</f>
        <v>0.23391315442521157</v>
      </c>
      <c r="D21" s="40">
        <f t="shared" ref="D21:N21" si="8">IF(D18&gt;0,D17/D18,"")</f>
        <v>0.1748057272712826</v>
      </c>
      <c r="E21" s="40">
        <f t="shared" si="8"/>
        <v>0.109217999126256</v>
      </c>
      <c r="F21" s="40">
        <f t="shared" si="8"/>
        <v>8.2477318737347233E-2</v>
      </c>
      <c r="G21" s="40">
        <f t="shared" si="8"/>
        <v>6.923900044061182E-2</v>
      </c>
      <c r="H21" s="40">
        <f t="shared" si="8"/>
        <v>6.5734432891119882E-2</v>
      </c>
      <c r="I21" s="40">
        <f t="shared" si="8"/>
        <v>6.483822861959411E-2</v>
      </c>
      <c r="J21" s="40">
        <f t="shared" si="8"/>
        <v>7.7077231385848627E-2</v>
      </c>
      <c r="K21" s="40">
        <f t="shared" si="8"/>
        <v>9.7257342929391172E-2</v>
      </c>
      <c r="L21" s="40">
        <f t="shared" si="8"/>
        <v>0.12774655084312725</v>
      </c>
      <c r="M21" s="40">
        <f t="shared" si="8"/>
        <v>0.24249371720823598</v>
      </c>
      <c r="N21" s="40">
        <f t="shared" si="8"/>
        <v>0.29768348127300281</v>
      </c>
      <c r="O21" s="47">
        <f>O17/O18</f>
        <v>0.1044188143718259</v>
      </c>
      <c r="Q21" s="2"/>
      <c r="R21" s="101" t="s">
        <v>32</v>
      </c>
      <c r="S21" s="102"/>
    </row>
    <row r="22" spans="2:21" ht="15" thickBot="1">
      <c r="B22" s="44" t="s">
        <v>51</v>
      </c>
      <c r="C22" s="74">
        <f t="shared" ref="C22:O22" si="9">IF(C8&gt;0,100/C16*C6-100,"")</f>
        <v>-20</v>
      </c>
      <c r="D22" s="74">
        <f t="shared" si="9"/>
        <v>700</v>
      </c>
      <c r="E22" s="74">
        <f t="shared" si="9"/>
        <v>700</v>
      </c>
      <c r="F22" s="74">
        <f t="shared" si="9"/>
        <v>700</v>
      </c>
      <c r="G22" s="74">
        <f t="shared" si="9"/>
        <v>700</v>
      </c>
      <c r="H22" s="74">
        <f t="shared" si="9"/>
        <v>700</v>
      </c>
      <c r="I22" s="74">
        <f t="shared" si="9"/>
        <v>700</v>
      </c>
      <c r="J22" s="74">
        <f t="shared" si="9"/>
        <v>700</v>
      </c>
      <c r="K22" s="74">
        <f t="shared" si="9"/>
        <v>700</v>
      </c>
      <c r="L22" s="74">
        <f t="shared" si="9"/>
        <v>700</v>
      </c>
      <c r="M22" s="74">
        <f t="shared" si="9"/>
        <v>700</v>
      </c>
      <c r="N22" s="74">
        <f t="shared" si="9"/>
        <v>700</v>
      </c>
      <c r="O22" s="75">
        <f t="shared" si="9"/>
        <v>640</v>
      </c>
      <c r="Q22" s="2"/>
      <c r="R22" s="27" t="s">
        <v>22</v>
      </c>
      <c r="S22" s="28">
        <f>O5*S2</f>
        <v>0</v>
      </c>
      <c r="T22" s="106">
        <f>SUM(S22:S24)</f>
        <v>12012</v>
      </c>
      <c r="U22" s="39" t="s">
        <v>43</v>
      </c>
    </row>
    <row r="23" spans="2:21">
      <c r="Q23" s="2"/>
      <c r="R23" s="27" t="s">
        <v>54</v>
      </c>
      <c r="S23" s="28">
        <f>O6*S2</f>
        <v>0</v>
      </c>
      <c r="T23" s="107"/>
      <c r="U23" s="85">
        <f>1/'2025'!S7*T22</f>
        <v>1.0010000000000002E-3</v>
      </c>
    </row>
    <row r="24" spans="2:21" ht="15" thickBot="1">
      <c r="Q24" s="2"/>
      <c r="R24" s="29" t="s">
        <v>24</v>
      </c>
      <c r="S24" s="30">
        <f>O17*S4</f>
        <v>12012</v>
      </c>
      <c r="T24" s="91"/>
      <c r="U24" s="86"/>
    </row>
    <row r="25" spans="2:21" ht="15" thickBot="1">
      <c r="Q25" s="2"/>
    </row>
    <row r="26" spans="2:21">
      <c r="Q26" s="2"/>
      <c r="R26" s="87" t="s">
        <v>33</v>
      </c>
      <c r="S26" s="88"/>
    </row>
    <row r="27" spans="2:21" ht="15" thickBot="1">
      <c r="Q27" s="2"/>
      <c r="R27" s="31" t="s">
        <v>23</v>
      </c>
      <c r="S27" s="32">
        <f>O7*S2</f>
        <v>0</v>
      </c>
      <c r="U27" s="38"/>
    </row>
    <row r="28" spans="2:21">
      <c r="Q28" s="2"/>
    </row>
    <row r="29" spans="2:21">
      <c r="Q29" s="2"/>
    </row>
    <row r="30" spans="2:21">
      <c r="Q30" s="2"/>
    </row>
    <row r="31" spans="2:21">
      <c r="Q31" s="2"/>
    </row>
    <row r="32" spans="2:21">
      <c r="Q32" s="2"/>
    </row>
    <row r="33" spans="2:17">
      <c r="Q33" s="2"/>
    </row>
    <row r="34" spans="2:17">
      <c r="Q34" s="2"/>
    </row>
    <row r="35" spans="2:17">
      <c r="Q35" s="2"/>
    </row>
    <row r="36" spans="2:17">
      <c r="Q36" s="2"/>
    </row>
    <row r="37" spans="2:17">
      <c r="Q37" s="2"/>
    </row>
    <row r="38" spans="2:17">
      <c r="Q38" s="2"/>
    </row>
    <row r="39" spans="2:17">
      <c r="Q39" s="2"/>
    </row>
    <row r="40" spans="2:17">
      <c r="Q40" s="2"/>
    </row>
    <row r="43" spans="2:17">
      <c r="B43" s="5" t="s">
        <v>65</v>
      </c>
      <c r="C43" s="5">
        <f>C8</f>
        <v>6500</v>
      </c>
      <c r="D43" s="5">
        <f t="shared" ref="D43:O43" si="10">D8</f>
        <v>7000</v>
      </c>
      <c r="E43" s="5">
        <f t="shared" si="10"/>
        <v>7000</v>
      </c>
      <c r="F43" s="5">
        <f t="shared" si="10"/>
        <v>7000</v>
      </c>
      <c r="G43" s="5">
        <f t="shared" si="10"/>
        <v>7000</v>
      </c>
      <c r="H43" s="5">
        <f t="shared" si="10"/>
        <v>7000</v>
      </c>
      <c r="I43" s="5">
        <f t="shared" si="10"/>
        <v>7000</v>
      </c>
      <c r="J43" s="5">
        <f t="shared" si="10"/>
        <v>7000</v>
      </c>
      <c r="K43" s="5">
        <f t="shared" si="10"/>
        <v>7000</v>
      </c>
      <c r="L43" s="5">
        <f t="shared" si="10"/>
        <v>7000</v>
      </c>
      <c r="M43" s="5">
        <f t="shared" si="10"/>
        <v>7000</v>
      </c>
      <c r="N43" s="5">
        <f t="shared" si="10"/>
        <v>7000</v>
      </c>
      <c r="O43" s="5">
        <f t="shared" si="10"/>
        <v>83500</v>
      </c>
    </row>
    <row r="44" spans="2:17">
      <c r="B44" s="5" t="s">
        <v>62</v>
      </c>
      <c r="C44" s="5" t="s">
        <v>2</v>
      </c>
      <c r="D44" s="5" t="s">
        <v>3</v>
      </c>
      <c r="E44" s="5" t="s">
        <v>4</v>
      </c>
      <c r="F44" s="5" t="s">
        <v>5</v>
      </c>
      <c r="G44" s="5" t="s">
        <v>6</v>
      </c>
      <c r="H44" s="5" t="s">
        <v>7</v>
      </c>
      <c r="I44" s="5" t="s">
        <v>8</v>
      </c>
      <c r="J44" s="5" t="s">
        <v>9</v>
      </c>
      <c r="K44" s="5" t="s">
        <v>27</v>
      </c>
      <c r="L44" s="5" t="s">
        <v>10</v>
      </c>
      <c r="M44" s="5" t="s">
        <v>26</v>
      </c>
      <c r="N44" s="5" t="s">
        <v>25</v>
      </c>
      <c r="O44" s="5" t="s">
        <v>11</v>
      </c>
    </row>
    <row r="45" spans="2:17">
      <c r="B45" s="76" t="s">
        <v>63</v>
      </c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>
        <f>SUM(C45:N45)</f>
        <v>0</v>
      </c>
    </row>
    <row r="46" spans="2:17">
      <c r="B46" s="76" t="s">
        <v>64</v>
      </c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>
        <f t="shared" ref="O46:O53" si="11">SUM(C46:N46)</f>
        <v>0</v>
      </c>
    </row>
    <row r="47" spans="2:17">
      <c r="B47" s="76" t="s">
        <v>66</v>
      </c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>
        <f t="shared" si="11"/>
        <v>0</v>
      </c>
    </row>
    <row r="48" spans="2:17">
      <c r="B48" s="76" t="s">
        <v>67</v>
      </c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>
        <f t="shared" si="11"/>
        <v>0</v>
      </c>
    </row>
    <row r="49" spans="2:15">
      <c r="B49" s="76" t="s">
        <v>68</v>
      </c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>
        <f t="shared" si="11"/>
        <v>0</v>
      </c>
    </row>
    <row r="50" spans="2:15">
      <c r="B50" s="76" t="s">
        <v>69</v>
      </c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>
        <f t="shared" si="11"/>
        <v>0</v>
      </c>
    </row>
    <row r="51" spans="2:15">
      <c r="B51" s="76" t="s">
        <v>71</v>
      </c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>
        <f t="shared" si="11"/>
        <v>0</v>
      </c>
    </row>
    <row r="52" spans="2:15">
      <c r="B52" s="77" t="s">
        <v>72</v>
      </c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6">
        <f t="shared" si="11"/>
        <v>0</v>
      </c>
    </row>
    <row r="53" spans="2:15" ht="15" thickBot="1">
      <c r="B53" s="77" t="s">
        <v>70</v>
      </c>
      <c r="C53" s="77">
        <f>C43-C45-C46-C47-C48-C49-C50-C51-C52</f>
        <v>6500</v>
      </c>
      <c r="D53" s="77">
        <f t="shared" ref="D53:N53" si="12">D43-D45-D46-D47-D48-D49-D50-D51-D52</f>
        <v>7000</v>
      </c>
      <c r="E53" s="77">
        <f t="shared" si="12"/>
        <v>7000</v>
      </c>
      <c r="F53" s="77">
        <f>(F43-F45-F46-F47-F48-F49-F50-F51-F52)</f>
        <v>7000</v>
      </c>
      <c r="G53" s="77">
        <f t="shared" si="12"/>
        <v>7000</v>
      </c>
      <c r="H53" s="77">
        <f t="shared" si="12"/>
        <v>7000</v>
      </c>
      <c r="I53" s="77">
        <f t="shared" si="12"/>
        <v>7000</v>
      </c>
      <c r="J53" s="77">
        <f t="shared" si="12"/>
        <v>7000</v>
      </c>
      <c r="K53" s="77">
        <f t="shared" si="12"/>
        <v>7000</v>
      </c>
      <c r="L53" s="77">
        <f t="shared" si="12"/>
        <v>7000</v>
      </c>
      <c r="M53" s="77">
        <f t="shared" si="12"/>
        <v>7000</v>
      </c>
      <c r="N53" s="77">
        <f t="shared" si="12"/>
        <v>7000</v>
      </c>
      <c r="O53" s="76">
        <f t="shared" si="11"/>
        <v>83500</v>
      </c>
    </row>
    <row r="54" spans="2:15" ht="15" thickBot="1">
      <c r="B54" s="78" t="s">
        <v>11</v>
      </c>
      <c r="C54" s="79">
        <f>SUM(C45:C53)</f>
        <v>6500</v>
      </c>
      <c r="D54" s="79">
        <f t="shared" ref="D54:O54" si="13">SUM(D45:D53)</f>
        <v>7000</v>
      </c>
      <c r="E54" s="79">
        <f t="shared" si="13"/>
        <v>7000</v>
      </c>
      <c r="F54" s="79">
        <f t="shared" si="13"/>
        <v>7000</v>
      </c>
      <c r="G54" s="79">
        <f t="shared" si="13"/>
        <v>7000</v>
      </c>
      <c r="H54" s="79">
        <f t="shared" si="13"/>
        <v>7000</v>
      </c>
      <c r="I54" s="79">
        <f t="shared" si="13"/>
        <v>7000</v>
      </c>
      <c r="J54" s="79">
        <f t="shared" si="13"/>
        <v>7000</v>
      </c>
      <c r="K54" s="79">
        <f t="shared" si="13"/>
        <v>7000</v>
      </c>
      <c r="L54" s="79">
        <f t="shared" si="13"/>
        <v>7000</v>
      </c>
      <c r="M54" s="79">
        <f t="shared" si="13"/>
        <v>7000</v>
      </c>
      <c r="N54" s="79">
        <f t="shared" si="13"/>
        <v>7000</v>
      </c>
      <c r="O54" s="79">
        <f t="shared" si="13"/>
        <v>83500</v>
      </c>
    </row>
  </sheetData>
  <mergeCells count="12">
    <mergeCell ref="T22:T24"/>
    <mergeCell ref="U23:U24"/>
    <mergeCell ref="R26:S26"/>
    <mergeCell ref="A1:P1"/>
    <mergeCell ref="R1:S1"/>
    <mergeCell ref="B3:O3"/>
    <mergeCell ref="P5:P6"/>
    <mergeCell ref="R6:S6"/>
    <mergeCell ref="R10:S10"/>
    <mergeCell ref="B13:O13"/>
    <mergeCell ref="R15:S15"/>
    <mergeCell ref="R21:S21"/>
  </mergeCells>
  <pageMargins left="0.7" right="0.7" top="0.78740157499999996" bottom="0.78740157499999996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workbookViewId="0">
      <selection activeCell="C15" sqref="C15:N15"/>
    </sheetView>
  </sheetViews>
  <sheetFormatPr baseColWidth="10" defaultRowHeight="14" x14ac:dyDescent="0"/>
  <cols>
    <col min="1" max="1" width="10.83203125" style="37"/>
    <col min="2" max="2" width="11.83203125" style="37" customWidth="1"/>
    <col min="3" max="14" width="9.5" style="37" customWidth="1"/>
    <col min="15" max="15" width="10.83203125" style="37"/>
    <col min="16" max="16" width="9.83203125" style="37" customWidth="1"/>
    <col min="17" max="17" width="2.83203125" style="37" customWidth="1"/>
    <col min="18" max="18" width="29.5" style="37" bestFit="1" customWidth="1"/>
    <col min="19" max="19" width="10.83203125" style="37"/>
    <col min="20" max="20" width="10.33203125" style="37" bestFit="1" customWidth="1"/>
    <col min="21" max="21" width="23.5" style="37" bestFit="1" customWidth="1"/>
    <col min="22" max="22" width="25.83203125" style="37" customWidth="1"/>
    <col min="23" max="16384" width="10.83203125" style="37"/>
  </cols>
  <sheetData>
    <row r="1" spans="1:22" ht="25">
      <c r="A1" s="92">
        <v>2036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2"/>
      <c r="R1" s="93" t="s">
        <v>28</v>
      </c>
      <c r="S1" s="94"/>
    </row>
    <row r="2" spans="1:22">
      <c r="Q2" s="2"/>
      <c r="R2" s="14" t="s">
        <v>77</v>
      </c>
      <c r="S2" s="15">
        <v>0</v>
      </c>
    </row>
    <row r="3" spans="1:22" ht="25">
      <c r="B3" s="96" t="s">
        <v>37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Q3" s="2"/>
      <c r="R3" s="112" t="s">
        <v>86</v>
      </c>
      <c r="S3" s="49">
        <f>'2035'!S3</f>
        <v>10000</v>
      </c>
    </row>
    <row r="4" spans="1:22" ht="15" thickBot="1">
      <c r="B4" s="5"/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27</v>
      </c>
      <c r="L4" s="5" t="s">
        <v>10</v>
      </c>
      <c r="M4" s="5" t="s">
        <v>26</v>
      </c>
      <c r="N4" s="5" t="s">
        <v>25</v>
      </c>
      <c r="O4" s="5" t="s">
        <v>11</v>
      </c>
      <c r="Q4" s="2"/>
      <c r="R4" s="16" t="s">
        <v>24</v>
      </c>
      <c r="S4" s="36">
        <f>'2035'!S4</f>
        <v>9.0999999999999998E-2</v>
      </c>
    </row>
    <row r="5" spans="1:22" ht="15" thickBot="1">
      <c r="B5" s="3" t="s">
        <v>13</v>
      </c>
      <c r="C5" s="37">
        <v>5000</v>
      </c>
      <c r="D5" s="37">
        <v>1000</v>
      </c>
      <c r="E5" s="37">
        <v>1000</v>
      </c>
      <c r="F5" s="37">
        <v>1000</v>
      </c>
      <c r="G5" s="37">
        <v>1000</v>
      </c>
      <c r="H5" s="37">
        <v>1000</v>
      </c>
      <c r="I5" s="37">
        <v>1000</v>
      </c>
      <c r="J5" s="37">
        <v>1000</v>
      </c>
      <c r="K5" s="37">
        <v>1000</v>
      </c>
      <c r="L5" s="37">
        <v>1000</v>
      </c>
      <c r="M5" s="37">
        <v>1000</v>
      </c>
      <c r="N5" s="37">
        <v>1000</v>
      </c>
      <c r="O5" s="5">
        <f t="shared" ref="O5:O7" si="0">SUM(C5:N5)</f>
        <v>16000</v>
      </c>
      <c r="P5" s="103">
        <f>O6+O5</f>
        <v>71500</v>
      </c>
      <c r="Q5" s="2"/>
    </row>
    <row r="6" spans="1:22" ht="15" thickTop="1">
      <c r="B6" s="4" t="s">
        <v>14</v>
      </c>
      <c r="C6" s="37">
        <v>500</v>
      </c>
      <c r="D6" s="37">
        <v>5000</v>
      </c>
      <c r="E6" s="37">
        <v>5000</v>
      </c>
      <c r="F6" s="37">
        <v>5000</v>
      </c>
      <c r="G6" s="37">
        <v>5000</v>
      </c>
      <c r="H6" s="37">
        <v>5000</v>
      </c>
      <c r="I6" s="37">
        <v>5000</v>
      </c>
      <c r="J6" s="37">
        <v>5000</v>
      </c>
      <c r="K6" s="37">
        <v>5000</v>
      </c>
      <c r="L6" s="37">
        <v>5000</v>
      </c>
      <c r="M6" s="37">
        <v>5000</v>
      </c>
      <c r="N6" s="37">
        <v>5000</v>
      </c>
      <c r="O6" s="5">
        <f t="shared" si="0"/>
        <v>55500</v>
      </c>
      <c r="P6" s="103"/>
      <c r="Q6" s="2"/>
      <c r="R6" s="104" t="s">
        <v>29</v>
      </c>
      <c r="S6" s="105"/>
      <c r="U6" s="55" t="s">
        <v>36</v>
      </c>
      <c r="V6" s="56" t="s">
        <v>53</v>
      </c>
    </row>
    <row r="7" spans="1:22" ht="15" thickBot="1">
      <c r="B7" s="8" t="s">
        <v>16</v>
      </c>
      <c r="C7" s="9">
        <v>1000</v>
      </c>
      <c r="D7" s="9">
        <v>1000</v>
      </c>
      <c r="E7" s="9">
        <v>1000</v>
      </c>
      <c r="F7" s="9">
        <v>1000</v>
      </c>
      <c r="G7" s="9">
        <v>1000</v>
      </c>
      <c r="H7" s="9">
        <v>1000</v>
      </c>
      <c r="I7" s="9">
        <v>1000</v>
      </c>
      <c r="J7" s="9">
        <v>1000</v>
      </c>
      <c r="K7" s="9">
        <v>1000</v>
      </c>
      <c r="L7" s="9">
        <v>1000</v>
      </c>
      <c r="M7" s="9">
        <v>1000</v>
      </c>
      <c r="N7" s="9">
        <v>1000</v>
      </c>
      <c r="O7" s="54">
        <f t="shared" si="0"/>
        <v>12000</v>
      </c>
      <c r="Q7" s="12"/>
      <c r="R7" s="17" t="s">
        <v>35</v>
      </c>
      <c r="S7" s="82">
        <f>'2035'!U7</f>
        <v>11077683.431238629</v>
      </c>
      <c r="T7" s="11"/>
      <c r="U7" s="57">
        <f>S7-T22</f>
        <v>11065671.431238629</v>
      </c>
      <c r="V7" s="60">
        <f>U7/T22</f>
        <v>921.21806786868376</v>
      </c>
    </row>
    <row r="8" spans="1:22" ht="16" thickTop="1" thickBot="1">
      <c r="B8" s="33" t="s">
        <v>12</v>
      </c>
      <c r="C8" s="33">
        <f t="shared" ref="C8:O8" si="1">SUM(C5:C7)</f>
        <v>6500</v>
      </c>
      <c r="D8" s="33">
        <f t="shared" si="1"/>
        <v>7000</v>
      </c>
      <c r="E8" s="33">
        <f t="shared" si="1"/>
        <v>7000</v>
      </c>
      <c r="F8" s="33">
        <f t="shared" si="1"/>
        <v>7000</v>
      </c>
      <c r="G8" s="33">
        <f t="shared" si="1"/>
        <v>7000</v>
      </c>
      <c r="H8" s="33">
        <f t="shared" si="1"/>
        <v>7000</v>
      </c>
      <c r="I8" s="33">
        <f t="shared" si="1"/>
        <v>7000</v>
      </c>
      <c r="J8" s="33">
        <f t="shared" si="1"/>
        <v>7000</v>
      </c>
      <c r="K8" s="33">
        <f t="shared" si="1"/>
        <v>7000</v>
      </c>
      <c r="L8" s="33">
        <f t="shared" si="1"/>
        <v>7000</v>
      </c>
      <c r="M8" s="33">
        <f t="shared" si="1"/>
        <v>7000</v>
      </c>
      <c r="N8" s="34">
        <f t="shared" si="1"/>
        <v>7000</v>
      </c>
      <c r="O8" s="33">
        <f t="shared" si="1"/>
        <v>83500</v>
      </c>
      <c r="Q8" s="12"/>
      <c r="R8" s="18" t="s">
        <v>34</v>
      </c>
      <c r="S8" s="83">
        <f>'2035'!U8</f>
        <v>4631195.6185151516</v>
      </c>
      <c r="T8" s="11"/>
      <c r="U8" s="58">
        <f>S8-((O6*S2)-O16*S4)</f>
        <v>4631878.1185151516</v>
      </c>
      <c r="V8" s="61">
        <f>U8/U9</f>
        <v>-6786.6346058830059</v>
      </c>
    </row>
    <row r="9" spans="1:22" ht="15" thickBot="1">
      <c r="B9" s="41" t="s">
        <v>40</v>
      </c>
      <c r="C9" s="42">
        <f t="shared" ref="C9:N9" si="2">IF(C8&gt;0,(C5+C6)/C8,"")</f>
        <v>0.84615384615384615</v>
      </c>
      <c r="D9" s="42">
        <f t="shared" si="2"/>
        <v>0.8571428571428571</v>
      </c>
      <c r="E9" s="42">
        <f t="shared" si="2"/>
        <v>0.8571428571428571</v>
      </c>
      <c r="F9" s="42">
        <f t="shared" si="2"/>
        <v>0.8571428571428571</v>
      </c>
      <c r="G9" s="42">
        <f t="shared" si="2"/>
        <v>0.8571428571428571</v>
      </c>
      <c r="H9" s="42">
        <f t="shared" si="2"/>
        <v>0.8571428571428571</v>
      </c>
      <c r="I9" s="42">
        <f t="shared" si="2"/>
        <v>0.8571428571428571</v>
      </c>
      <c r="J9" s="42">
        <f t="shared" si="2"/>
        <v>0.8571428571428571</v>
      </c>
      <c r="K9" s="42">
        <f t="shared" si="2"/>
        <v>0.8571428571428571</v>
      </c>
      <c r="L9" s="42">
        <f t="shared" si="2"/>
        <v>0.8571428571428571</v>
      </c>
      <c r="M9" s="42">
        <f t="shared" si="2"/>
        <v>0.8571428571428571</v>
      </c>
      <c r="N9" s="42">
        <f t="shared" si="2"/>
        <v>0.8571428571428571</v>
      </c>
      <c r="O9" s="46">
        <f>(O5+O6)/O8</f>
        <v>0.85628742514970058</v>
      </c>
      <c r="Q9" s="2"/>
      <c r="U9" s="65">
        <f>S8-U8</f>
        <v>-682.5</v>
      </c>
    </row>
    <row r="10" spans="1:22">
      <c r="B10" s="43" t="s">
        <v>41</v>
      </c>
      <c r="C10" s="40">
        <f t="shared" ref="C10:O10" si="3">IF(C8&gt;0,(C5+C6)/C18,"")</f>
        <v>0.11695657721260579</v>
      </c>
      <c r="D10" s="40">
        <f t="shared" si="3"/>
        <v>9.5348578511608689E-2</v>
      </c>
      <c r="E10" s="40">
        <f t="shared" si="3"/>
        <v>5.957345406886691E-2</v>
      </c>
      <c r="F10" s="40">
        <f t="shared" si="3"/>
        <v>4.4987628402189395E-2</v>
      </c>
      <c r="G10" s="40">
        <f t="shared" si="3"/>
        <v>3.7766727513060996E-2</v>
      </c>
      <c r="H10" s="40">
        <f t="shared" si="3"/>
        <v>3.5855145213338116E-2</v>
      </c>
      <c r="I10" s="40">
        <f t="shared" si="3"/>
        <v>3.5366306519778609E-2</v>
      </c>
      <c r="J10" s="40">
        <f t="shared" si="3"/>
        <v>4.2042126210462882E-2</v>
      </c>
      <c r="K10" s="40">
        <f t="shared" si="3"/>
        <v>5.3049459779667914E-2</v>
      </c>
      <c r="L10" s="40">
        <f t="shared" si="3"/>
        <v>6.9679936823523941E-2</v>
      </c>
      <c r="M10" s="40">
        <f t="shared" si="3"/>
        <v>0.13226930029540143</v>
      </c>
      <c r="N10" s="40">
        <f t="shared" si="3"/>
        <v>0.16237280796709244</v>
      </c>
      <c r="O10" s="47">
        <f t="shared" si="3"/>
        <v>5.6560191118072367E-2</v>
      </c>
      <c r="Q10" s="2"/>
      <c r="R10" s="97" t="s">
        <v>30</v>
      </c>
      <c r="S10" s="98"/>
    </row>
    <row r="11" spans="1:22" ht="15" thickBot="1">
      <c r="B11" s="44" t="s">
        <v>42</v>
      </c>
      <c r="C11" s="45">
        <f t="shared" ref="C11:N11" si="4">IF(C8&gt;0,C5*$S$2+C6*$S$2+C17*$S$4,"")</f>
        <v>1001</v>
      </c>
      <c r="D11" s="45">
        <f t="shared" si="4"/>
        <v>1001</v>
      </c>
      <c r="E11" s="45">
        <f t="shared" si="4"/>
        <v>1001</v>
      </c>
      <c r="F11" s="45">
        <f t="shared" si="4"/>
        <v>1001</v>
      </c>
      <c r="G11" s="45">
        <f t="shared" si="4"/>
        <v>1001</v>
      </c>
      <c r="H11" s="45">
        <f t="shared" si="4"/>
        <v>1001</v>
      </c>
      <c r="I11" s="45">
        <f t="shared" si="4"/>
        <v>1001</v>
      </c>
      <c r="J11" s="45">
        <f t="shared" si="4"/>
        <v>1001</v>
      </c>
      <c r="K11" s="45">
        <f t="shared" si="4"/>
        <v>1001</v>
      </c>
      <c r="L11" s="45">
        <f t="shared" si="4"/>
        <v>1001</v>
      </c>
      <c r="M11" s="45">
        <f t="shared" si="4"/>
        <v>1001</v>
      </c>
      <c r="N11" s="45">
        <f t="shared" si="4"/>
        <v>1001</v>
      </c>
      <c r="O11" s="48">
        <f>SUM(C11:N11)</f>
        <v>12012</v>
      </c>
      <c r="Q11" s="2"/>
      <c r="R11" s="19" t="s">
        <v>0</v>
      </c>
      <c r="S11" s="20">
        <f>P5/O8</f>
        <v>0.85628742514970058</v>
      </c>
    </row>
    <row r="12" spans="1:22" ht="15" thickBot="1">
      <c r="Q12" s="2"/>
      <c r="R12" s="21" t="s">
        <v>1</v>
      </c>
      <c r="S12" s="22">
        <f>P5/O18</f>
        <v>5.6560191118072367E-2</v>
      </c>
    </row>
    <row r="13" spans="1:22" ht="25">
      <c r="B13" s="95" t="s">
        <v>38</v>
      </c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Q13" s="2"/>
    </row>
    <row r="14" spans="1:22" ht="15" thickBot="1">
      <c r="B14" s="5"/>
      <c r="C14" s="5" t="s">
        <v>2</v>
      </c>
      <c r="D14" s="5" t="s">
        <v>3</v>
      </c>
      <c r="E14" s="5" t="s">
        <v>4</v>
      </c>
      <c r="F14" s="5" t="s">
        <v>5</v>
      </c>
      <c r="G14" s="5" t="s">
        <v>6</v>
      </c>
      <c r="H14" s="5" t="s">
        <v>7</v>
      </c>
      <c r="I14" s="5" t="s">
        <v>8</v>
      </c>
      <c r="J14" s="5" t="s">
        <v>9</v>
      </c>
      <c r="K14" s="5" t="s">
        <v>27</v>
      </c>
      <c r="L14" s="5" t="s">
        <v>10</v>
      </c>
      <c r="M14" s="5" t="s">
        <v>26</v>
      </c>
      <c r="N14" s="5" t="s">
        <v>25</v>
      </c>
      <c r="O14" s="5" t="s">
        <v>11</v>
      </c>
      <c r="Q14" s="2"/>
      <c r="S14" s="11"/>
    </row>
    <row r="15" spans="1:22">
      <c r="B15" s="3" t="s">
        <v>13</v>
      </c>
      <c r="C15" s="123">
        <v>35401</v>
      </c>
      <c r="D15" s="123">
        <v>51302</v>
      </c>
      <c r="E15" s="123">
        <v>89091</v>
      </c>
      <c r="F15" s="123">
        <v>121745</v>
      </c>
      <c r="G15" s="123">
        <v>147245</v>
      </c>
      <c r="H15" s="123">
        <v>155715</v>
      </c>
      <c r="I15" s="123">
        <v>158028</v>
      </c>
      <c r="J15" s="123">
        <v>131089</v>
      </c>
      <c r="K15" s="123">
        <v>101477</v>
      </c>
      <c r="L15" s="123">
        <v>74483</v>
      </c>
      <c r="M15" s="123">
        <v>33737</v>
      </c>
      <c r="N15" s="123">
        <v>25327</v>
      </c>
      <c r="O15" s="5">
        <f t="shared" ref="O15:O17" si="5">SUM(C15:N15)</f>
        <v>1124640</v>
      </c>
      <c r="Q15" s="2"/>
      <c r="R15" s="99" t="s">
        <v>31</v>
      </c>
      <c r="S15" s="100"/>
    </row>
    <row r="16" spans="1:22">
      <c r="B16" s="1" t="s">
        <v>15</v>
      </c>
      <c r="C16" s="37">
        <v>625</v>
      </c>
      <c r="D16" s="37">
        <v>625</v>
      </c>
      <c r="E16" s="37">
        <v>625</v>
      </c>
      <c r="F16" s="37">
        <v>625</v>
      </c>
      <c r="G16" s="37">
        <v>625</v>
      </c>
      <c r="H16" s="37">
        <v>625</v>
      </c>
      <c r="I16" s="37">
        <v>625</v>
      </c>
      <c r="J16" s="37">
        <v>625</v>
      </c>
      <c r="K16" s="37">
        <v>625</v>
      </c>
      <c r="L16" s="37">
        <v>625</v>
      </c>
      <c r="M16" s="37">
        <v>625</v>
      </c>
      <c r="N16" s="37">
        <v>625</v>
      </c>
      <c r="O16" s="5">
        <f t="shared" si="5"/>
        <v>7500</v>
      </c>
      <c r="Q16" s="2"/>
      <c r="R16" s="23" t="s">
        <v>19</v>
      </c>
      <c r="S16" s="24">
        <f>O16</f>
        <v>7500</v>
      </c>
      <c r="U16" s="59" t="s">
        <v>48</v>
      </c>
    </row>
    <row r="17" spans="2:21" ht="15" thickBot="1">
      <c r="B17" s="10" t="s">
        <v>17</v>
      </c>
      <c r="C17" s="9">
        <v>11000</v>
      </c>
      <c r="D17" s="9">
        <v>11000</v>
      </c>
      <c r="E17" s="9">
        <v>11000</v>
      </c>
      <c r="F17" s="9">
        <v>11000</v>
      </c>
      <c r="G17" s="9">
        <v>11000</v>
      </c>
      <c r="H17" s="9">
        <v>11000</v>
      </c>
      <c r="I17" s="9">
        <v>11000</v>
      </c>
      <c r="J17" s="9">
        <v>11000</v>
      </c>
      <c r="K17" s="9">
        <v>11000</v>
      </c>
      <c r="L17" s="9">
        <v>11000</v>
      </c>
      <c r="M17" s="9">
        <v>11000</v>
      </c>
      <c r="N17" s="9">
        <v>11000</v>
      </c>
      <c r="O17" s="54">
        <f t="shared" si="5"/>
        <v>132000</v>
      </c>
      <c r="Q17" s="2"/>
      <c r="R17" s="23" t="s">
        <v>18</v>
      </c>
      <c r="S17" s="24">
        <f>O6</f>
        <v>55500</v>
      </c>
      <c r="U17" s="66" t="s">
        <v>49</v>
      </c>
    </row>
    <row r="18" spans="2:21" ht="16" thickTop="1" thickBot="1">
      <c r="B18" s="6" t="s">
        <v>12</v>
      </c>
      <c r="C18" s="6">
        <f>SUM(C15:C17)</f>
        <v>47026</v>
      </c>
      <c r="D18" s="6">
        <f t="shared" ref="D18:N18" si="6">SUM(D15:D17)</f>
        <v>62927</v>
      </c>
      <c r="E18" s="6">
        <f t="shared" si="6"/>
        <v>100716</v>
      </c>
      <c r="F18" s="6">
        <f t="shared" si="6"/>
        <v>133370</v>
      </c>
      <c r="G18" s="6">
        <f t="shared" si="6"/>
        <v>158870</v>
      </c>
      <c r="H18" s="6">
        <f t="shared" si="6"/>
        <v>167340</v>
      </c>
      <c r="I18" s="6">
        <f t="shared" si="6"/>
        <v>169653</v>
      </c>
      <c r="J18" s="6">
        <f t="shared" si="6"/>
        <v>142714</v>
      </c>
      <c r="K18" s="6">
        <f t="shared" si="6"/>
        <v>113102</v>
      </c>
      <c r="L18" s="6">
        <f t="shared" si="6"/>
        <v>86108</v>
      </c>
      <c r="M18" s="6">
        <f t="shared" si="6"/>
        <v>45362</v>
      </c>
      <c r="N18" s="7">
        <f t="shared" si="6"/>
        <v>36952</v>
      </c>
      <c r="O18" s="6">
        <f>SUM(O15:O17)</f>
        <v>1264140</v>
      </c>
      <c r="Q18" s="2"/>
      <c r="R18" s="23" t="s">
        <v>20</v>
      </c>
      <c r="S18" s="24">
        <f>100/S16*S17</f>
        <v>740</v>
      </c>
      <c r="U18" s="59" t="s">
        <v>50</v>
      </c>
    </row>
    <row r="19" spans="2:21" ht="15" thickBot="1">
      <c r="B19" s="41" t="s">
        <v>44</v>
      </c>
      <c r="C19" s="50">
        <f>IF(C18&gt;0,C18/$S$3,"")</f>
        <v>4.7026000000000003</v>
      </c>
      <c r="D19" s="50">
        <f t="shared" ref="D19:N19" si="7">IF(D18&gt;0,D18/$S$3,"")</f>
        <v>6.2927</v>
      </c>
      <c r="E19" s="50">
        <f t="shared" si="7"/>
        <v>10.0716</v>
      </c>
      <c r="F19" s="50">
        <f t="shared" si="7"/>
        <v>13.337</v>
      </c>
      <c r="G19" s="50">
        <f t="shared" si="7"/>
        <v>15.887</v>
      </c>
      <c r="H19" s="50">
        <f t="shared" si="7"/>
        <v>16.734000000000002</v>
      </c>
      <c r="I19" s="50">
        <f t="shared" si="7"/>
        <v>16.965299999999999</v>
      </c>
      <c r="J19" s="50">
        <f t="shared" si="7"/>
        <v>14.2714</v>
      </c>
      <c r="K19" s="50">
        <f t="shared" si="7"/>
        <v>11.3102</v>
      </c>
      <c r="L19" s="50">
        <f t="shared" si="7"/>
        <v>8.6107999999999993</v>
      </c>
      <c r="M19" s="50">
        <f t="shared" si="7"/>
        <v>4.5362</v>
      </c>
      <c r="N19" s="50">
        <f t="shared" si="7"/>
        <v>3.6951999999999998</v>
      </c>
      <c r="O19" s="53">
        <f>SUM(C19:N19)</f>
        <v>126.41399999999999</v>
      </c>
      <c r="Q19" s="2"/>
      <c r="R19" s="25" t="s">
        <v>21</v>
      </c>
      <c r="S19" s="26">
        <f>100-S18</f>
        <v>-640</v>
      </c>
    </row>
    <row r="20" spans="2:21" ht="15" thickBot="1">
      <c r="B20" s="43" t="s">
        <v>46</v>
      </c>
      <c r="C20" s="51">
        <f>IF(C8&gt;0,C16/31,"")</f>
        <v>20.161290322580644</v>
      </c>
      <c r="D20" s="51">
        <f>IF(D8&gt;0,D16/28,"")</f>
        <v>22.321428571428573</v>
      </c>
      <c r="E20" s="51">
        <f>IF(E8&gt;0,E16/31,"")</f>
        <v>20.161290322580644</v>
      </c>
      <c r="F20" s="51">
        <f>IF(F8&gt;0,F16/30,"")</f>
        <v>20.833333333333332</v>
      </c>
      <c r="G20" s="51">
        <f>IF(G8&gt;0,G16/31,"")</f>
        <v>20.161290322580644</v>
      </c>
      <c r="H20" s="51">
        <f>IF(H8&gt;0,H16/30,"")</f>
        <v>20.833333333333332</v>
      </c>
      <c r="I20" s="51">
        <f>IF(I8&gt;0,I16/31,"")</f>
        <v>20.161290322580644</v>
      </c>
      <c r="J20" s="51">
        <f>IF(J8&gt;0,J16/31,"")</f>
        <v>20.161290322580644</v>
      </c>
      <c r="K20" s="51">
        <f>IF(K8&gt;0,K16/30,"")</f>
        <v>20.833333333333332</v>
      </c>
      <c r="L20" s="51">
        <f>IF(L8&gt;0,L16/31,"")</f>
        <v>20.161290322580644</v>
      </c>
      <c r="M20" s="51">
        <f>IF(M8&gt;0,M16/30,"")</f>
        <v>20.833333333333332</v>
      </c>
      <c r="N20" s="51">
        <f>IF(N8&gt;0,N16/31,"")</f>
        <v>20.161290322580644</v>
      </c>
      <c r="O20" s="52">
        <f>SUM(C20:N20)/COUNT(C20:N20)</f>
        <v>20.565316180235534</v>
      </c>
      <c r="Q20" s="2"/>
    </row>
    <row r="21" spans="2:21" ht="15" thickBot="1">
      <c r="B21" s="43" t="s">
        <v>47</v>
      </c>
      <c r="C21" s="40">
        <f>IF(C18&gt;0,C17/C18,"")</f>
        <v>0.23391315442521157</v>
      </c>
      <c r="D21" s="40">
        <f t="shared" ref="D21:N21" si="8">IF(D18&gt;0,D17/D18,"")</f>
        <v>0.1748057272712826</v>
      </c>
      <c r="E21" s="40">
        <f t="shared" si="8"/>
        <v>0.109217999126256</v>
      </c>
      <c r="F21" s="40">
        <f t="shared" si="8"/>
        <v>8.2477318737347233E-2</v>
      </c>
      <c r="G21" s="40">
        <f t="shared" si="8"/>
        <v>6.923900044061182E-2</v>
      </c>
      <c r="H21" s="40">
        <f t="shared" si="8"/>
        <v>6.5734432891119882E-2</v>
      </c>
      <c r="I21" s="40">
        <f t="shared" si="8"/>
        <v>6.483822861959411E-2</v>
      </c>
      <c r="J21" s="40">
        <f t="shared" si="8"/>
        <v>7.7077231385848627E-2</v>
      </c>
      <c r="K21" s="40">
        <f t="shared" si="8"/>
        <v>9.7257342929391172E-2</v>
      </c>
      <c r="L21" s="40">
        <f t="shared" si="8"/>
        <v>0.12774655084312725</v>
      </c>
      <c r="M21" s="40">
        <f t="shared" si="8"/>
        <v>0.24249371720823598</v>
      </c>
      <c r="N21" s="40">
        <f t="shared" si="8"/>
        <v>0.29768348127300281</v>
      </c>
      <c r="O21" s="47">
        <f>O17/O18</f>
        <v>0.1044188143718259</v>
      </c>
      <c r="Q21" s="2"/>
      <c r="R21" s="101" t="s">
        <v>32</v>
      </c>
      <c r="S21" s="102"/>
    </row>
    <row r="22" spans="2:21" ht="15" thickBot="1">
      <c r="B22" s="44" t="s">
        <v>51</v>
      </c>
      <c r="C22" s="74">
        <f t="shared" ref="C22:O22" si="9">IF(C8&gt;0,100/C16*C6-100,"")</f>
        <v>-20</v>
      </c>
      <c r="D22" s="74">
        <f t="shared" si="9"/>
        <v>700</v>
      </c>
      <c r="E22" s="74">
        <f t="shared" si="9"/>
        <v>700</v>
      </c>
      <c r="F22" s="74">
        <f t="shared" si="9"/>
        <v>700</v>
      </c>
      <c r="G22" s="74">
        <f t="shared" si="9"/>
        <v>700</v>
      </c>
      <c r="H22" s="74">
        <f t="shared" si="9"/>
        <v>700</v>
      </c>
      <c r="I22" s="74">
        <f t="shared" si="9"/>
        <v>700</v>
      </c>
      <c r="J22" s="74">
        <f t="shared" si="9"/>
        <v>700</v>
      </c>
      <c r="K22" s="74">
        <f t="shared" si="9"/>
        <v>700</v>
      </c>
      <c r="L22" s="74">
        <f t="shared" si="9"/>
        <v>700</v>
      </c>
      <c r="M22" s="74">
        <f t="shared" si="9"/>
        <v>700</v>
      </c>
      <c r="N22" s="74">
        <f t="shared" si="9"/>
        <v>700</v>
      </c>
      <c r="O22" s="75">
        <f t="shared" si="9"/>
        <v>640</v>
      </c>
      <c r="Q22" s="2"/>
      <c r="R22" s="27" t="s">
        <v>22</v>
      </c>
      <c r="S22" s="28">
        <f>O5*S2</f>
        <v>0</v>
      </c>
      <c r="T22" s="106">
        <f>SUM(S22:S24)</f>
        <v>12012</v>
      </c>
      <c r="U22" s="39" t="s">
        <v>43</v>
      </c>
    </row>
    <row r="23" spans="2:21">
      <c r="Q23" s="2"/>
      <c r="R23" s="27" t="s">
        <v>54</v>
      </c>
      <c r="S23" s="28">
        <f>O6*S2</f>
        <v>0</v>
      </c>
      <c r="T23" s="107"/>
      <c r="U23" s="85">
        <f>1/'2025'!S7*T22</f>
        <v>1.0010000000000002E-3</v>
      </c>
    </row>
    <row r="24" spans="2:21" ht="15" thickBot="1">
      <c r="Q24" s="2"/>
      <c r="R24" s="29" t="s">
        <v>24</v>
      </c>
      <c r="S24" s="30">
        <f>O17*S4</f>
        <v>12012</v>
      </c>
      <c r="T24" s="91"/>
      <c r="U24" s="86"/>
    </row>
    <row r="25" spans="2:21" ht="15" thickBot="1">
      <c r="Q25" s="2"/>
    </row>
    <row r="26" spans="2:21">
      <c r="Q26" s="2"/>
      <c r="R26" s="87" t="s">
        <v>33</v>
      </c>
      <c r="S26" s="88"/>
    </row>
    <row r="27" spans="2:21" ht="15" thickBot="1">
      <c r="Q27" s="2"/>
      <c r="R27" s="31" t="s">
        <v>23</v>
      </c>
      <c r="S27" s="32">
        <f>O7*S2</f>
        <v>0</v>
      </c>
      <c r="U27" s="38"/>
    </row>
    <row r="28" spans="2:21">
      <c r="Q28" s="2"/>
    </row>
    <row r="29" spans="2:21">
      <c r="Q29" s="2"/>
    </row>
    <row r="30" spans="2:21">
      <c r="Q30" s="2"/>
    </row>
    <row r="31" spans="2:21">
      <c r="Q31" s="2"/>
    </row>
    <row r="32" spans="2:21">
      <c r="Q32" s="2"/>
    </row>
    <row r="33" spans="2:17">
      <c r="Q33" s="2"/>
    </row>
    <row r="34" spans="2:17">
      <c r="Q34" s="2"/>
    </row>
    <row r="35" spans="2:17">
      <c r="Q35" s="2"/>
    </row>
    <row r="36" spans="2:17">
      <c r="Q36" s="2"/>
    </row>
    <row r="37" spans="2:17">
      <c r="Q37" s="2"/>
    </row>
    <row r="38" spans="2:17">
      <c r="Q38" s="2"/>
    </row>
    <row r="39" spans="2:17">
      <c r="Q39" s="2"/>
    </row>
    <row r="40" spans="2:17">
      <c r="Q40" s="2"/>
    </row>
    <row r="43" spans="2:17">
      <c r="B43" s="5" t="s">
        <v>65</v>
      </c>
      <c r="C43" s="5">
        <f>C8</f>
        <v>6500</v>
      </c>
      <c r="D43" s="5">
        <f t="shared" ref="D43:O43" si="10">D8</f>
        <v>7000</v>
      </c>
      <c r="E43" s="5">
        <f t="shared" si="10"/>
        <v>7000</v>
      </c>
      <c r="F43" s="5">
        <f t="shared" si="10"/>
        <v>7000</v>
      </c>
      <c r="G43" s="5">
        <f t="shared" si="10"/>
        <v>7000</v>
      </c>
      <c r="H43" s="5">
        <f t="shared" si="10"/>
        <v>7000</v>
      </c>
      <c r="I43" s="5">
        <f t="shared" si="10"/>
        <v>7000</v>
      </c>
      <c r="J43" s="5">
        <f t="shared" si="10"/>
        <v>7000</v>
      </c>
      <c r="K43" s="5">
        <f t="shared" si="10"/>
        <v>7000</v>
      </c>
      <c r="L43" s="5">
        <f t="shared" si="10"/>
        <v>7000</v>
      </c>
      <c r="M43" s="5">
        <f t="shared" si="10"/>
        <v>7000</v>
      </c>
      <c r="N43" s="5">
        <f t="shared" si="10"/>
        <v>7000</v>
      </c>
      <c r="O43" s="5">
        <f t="shared" si="10"/>
        <v>83500</v>
      </c>
    </row>
    <row r="44" spans="2:17">
      <c r="B44" s="5" t="s">
        <v>62</v>
      </c>
      <c r="C44" s="5" t="s">
        <v>2</v>
      </c>
      <c r="D44" s="5" t="s">
        <v>3</v>
      </c>
      <c r="E44" s="5" t="s">
        <v>4</v>
      </c>
      <c r="F44" s="5" t="s">
        <v>5</v>
      </c>
      <c r="G44" s="5" t="s">
        <v>6</v>
      </c>
      <c r="H44" s="5" t="s">
        <v>7</v>
      </c>
      <c r="I44" s="5" t="s">
        <v>8</v>
      </c>
      <c r="J44" s="5" t="s">
        <v>9</v>
      </c>
      <c r="K44" s="5" t="s">
        <v>27</v>
      </c>
      <c r="L44" s="5" t="s">
        <v>10</v>
      </c>
      <c r="M44" s="5" t="s">
        <v>26</v>
      </c>
      <c r="N44" s="5" t="s">
        <v>25</v>
      </c>
      <c r="O44" s="5" t="s">
        <v>11</v>
      </c>
    </row>
    <row r="45" spans="2:17">
      <c r="B45" s="76" t="s">
        <v>63</v>
      </c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>
        <f>SUM(C45:N45)</f>
        <v>0</v>
      </c>
    </row>
    <row r="46" spans="2:17">
      <c r="B46" s="76" t="s">
        <v>64</v>
      </c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>
        <f t="shared" ref="O46:O53" si="11">SUM(C46:N46)</f>
        <v>0</v>
      </c>
    </row>
    <row r="47" spans="2:17">
      <c r="B47" s="76" t="s">
        <v>66</v>
      </c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>
        <f t="shared" si="11"/>
        <v>0</v>
      </c>
    </row>
    <row r="48" spans="2:17">
      <c r="B48" s="76" t="s">
        <v>67</v>
      </c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>
        <f t="shared" si="11"/>
        <v>0</v>
      </c>
    </row>
    <row r="49" spans="2:15">
      <c r="B49" s="76" t="s">
        <v>68</v>
      </c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>
        <f t="shared" si="11"/>
        <v>0</v>
      </c>
    </row>
    <row r="50" spans="2:15">
      <c r="B50" s="76" t="s">
        <v>69</v>
      </c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>
        <f t="shared" si="11"/>
        <v>0</v>
      </c>
    </row>
    <row r="51" spans="2:15">
      <c r="B51" s="76" t="s">
        <v>71</v>
      </c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>
        <f t="shared" si="11"/>
        <v>0</v>
      </c>
    </row>
    <row r="52" spans="2:15">
      <c r="B52" s="77" t="s">
        <v>72</v>
      </c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6">
        <f t="shared" si="11"/>
        <v>0</v>
      </c>
    </row>
    <row r="53" spans="2:15" ht="15" thickBot="1">
      <c r="B53" s="77" t="s">
        <v>70</v>
      </c>
      <c r="C53" s="77">
        <f>C43-C45-C46-C47-C48-C49-C50-C51-C52</f>
        <v>6500</v>
      </c>
      <c r="D53" s="77">
        <f t="shared" ref="D53:N53" si="12">D43-D45-D46-D47-D48-D49-D50-D51-D52</f>
        <v>7000</v>
      </c>
      <c r="E53" s="77">
        <f t="shared" si="12"/>
        <v>7000</v>
      </c>
      <c r="F53" s="77">
        <f>(F43-F45-F46-F47-F48-F49-F50-F51-F52)</f>
        <v>7000</v>
      </c>
      <c r="G53" s="77">
        <f t="shared" si="12"/>
        <v>7000</v>
      </c>
      <c r="H53" s="77">
        <f t="shared" si="12"/>
        <v>7000</v>
      </c>
      <c r="I53" s="77">
        <f t="shared" si="12"/>
        <v>7000</v>
      </c>
      <c r="J53" s="77">
        <f t="shared" si="12"/>
        <v>7000</v>
      </c>
      <c r="K53" s="77">
        <f t="shared" si="12"/>
        <v>7000</v>
      </c>
      <c r="L53" s="77">
        <f t="shared" si="12"/>
        <v>7000</v>
      </c>
      <c r="M53" s="77">
        <f t="shared" si="12"/>
        <v>7000</v>
      </c>
      <c r="N53" s="77">
        <f t="shared" si="12"/>
        <v>7000</v>
      </c>
      <c r="O53" s="76">
        <f t="shared" si="11"/>
        <v>83500</v>
      </c>
    </row>
    <row r="54" spans="2:15" ht="15" thickBot="1">
      <c r="B54" s="78" t="s">
        <v>11</v>
      </c>
      <c r="C54" s="79">
        <f>SUM(C45:C53)</f>
        <v>6500</v>
      </c>
      <c r="D54" s="79">
        <f t="shared" ref="D54:O54" si="13">SUM(D45:D53)</f>
        <v>7000</v>
      </c>
      <c r="E54" s="79">
        <f t="shared" si="13"/>
        <v>7000</v>
      </c>
      <c r="F54" s="79">
        <f t="shared" si="13"/>
        <v>7000</v>
      </c>
      <c r="G54" s="79">
        <f t="shared" si="13"/>
        <v>7000</v>
      </c>
      <c r="H54" s="79">
        <f t="shared" si="13"/>
        <v>7000</v>
      </c>
      <c r="I54" s="79">
        <f t="shared" si="13"/>
        <v>7000</v>
      </c>
      <c r="J54" s="79">
        <f t="shared" si="13"/>
        <v>7000</v>
      </c>
      <c r="K54" s="79">
        <f t="shared" si="13"/>
        <v>7000</v>
      </c>
      <c r="L54" s="79">
        <f t="shared" si="13"/>
        <v>7000</v>
      </c>
      <c r="M54" s="79">
        <f t="shared" si="13"/>
        <v>7000</v>
      </c>
      <c r="N54" s="79">
        <f t="shared" si="13"/>
        <v>7000</v>
      </c>
      <c r="O54" s="79">
        <f t="shared" si="13"/>
        <v>83500</v>
      </c>
    </row>
  </sheetData>
  <mergeCells count="12">
    <mergeCell ref="T22:T24"/>
    <mergeCell ref="U23:U24"/>
    <mergeCell ref="R26:S26"/>
    <mergeCell ref="A1:P1"/>
    <mergeCell ref="R1:S1"/>
    <mergeCell ref="B3:O3"/>
    <mergeCell ref="P5:P6"/>
    <mergeCell ref="R6:S6"/>
    <mergeCell ref="R10:S10"/>
    <mergeCell ref="B13:O13"/>
    <mergeCell ref="R15:S15"/>
    <mergeCell ref="R21:S21"/>
  </mergeCells>
  <pageMargins left="0.7" right="0.7" top="0.78740157499999996" bottom="0.78740157499999996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workbookViewId="0">
      <selection activeCell="C15" sqref="C15:N15"/>
    </sheetView>
  </sheetViews>
  <sheetFormatPr baseColWidth="10" defaultRowHeight="14" x14ac:dyDescent="0"/>
  <cols>
    <col min="1" max="1" width="10.83203125" style="37"/>
    <col min="2" max="2" width="11.83203125" style="37" customWidth="1"/>
    <col min="3" max="14" width="9.5" style="37" customWidth="1"/>
    <col min="15" max="15" width="10.83203125" style="37"/>
    <col min="16" max="16" width="9.83203125" style="37" customWidth="1"/>
    <col min="17" max="17" width="2.83203125" style="37" customWidth="1"/>
    <col min="18" max="18" width="29.5" style="37" bestFit="1" customWidth="1"/>
    <col min="19" max="19" width="10.83203125" style="37"/>
    <col min="20" max="20" width="10.33203125" style="37" bestFit="1" customWidth="1"/>
    <col min="21" max="21" width="23.5" style="37" bestFit="1" customWidth="1"/>
    <col min="22" max="22" width="25.83203125" style="37" customWidth="1"/>
    <col min="23" max="16384" width="10.83203125" style="37"/>
  </cols>
  <sheetData>
    <row r="1" spans="1:22" ht="25">
      <c r="A1" s="92">
        <v>2037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2"/>
      <c r="R1" s="93" t="s">
        <v>28</v>
      </c>
      <c r="S1" s="94"/>
    </row>
    <row r="2" spans="1:22">
      <c r="Q2" s="2"/>
      <c r="R2" s="14" t="s">
        <v>76</v>
      </c>
      <c r="S2" s="15">
        <v>0</v>
      </c>
    </row>
    <row r="3" spans="1:22" ht="25">
      <c r="B3" s="96" t="s">
        <v>37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Q3" s="2"/>
      <c r="R3" s="112" t="s">
        <v>86</v>
      </c>
      <c r="S3" s="49">
        <f>'2036'!S3</f>
        <v>10000</v>
      </c>
    </row>
    <row r="4" spans="1:22" ht="15" thickBot="1">
      <c r="B4" s="5"/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27</v>
      </c>
      <c r="L4" s="5" t="s">
        <v>10</v>
      </c>
      <c r="M4" s="5" t="s">
        <v>26</v>
      </c>
      <c r="N4" s="5" t="s">
        <v>25</v>
      </c>
      <c r="O4" s="5" t="s">
        <v>11</v>
      </c>
      <c r="Q4" s="2"/>
      <c r="R4" s="16" t="s">
        <v>24</v>
      </c>
      <c r="S4" s="36">
        <f>'2036'!S4</f>
        <v>9.0999999999999998E-2</v>
      </c>
    </row>
    <row r="5" spans="1:22" ht="15" thickBot="1">
      <c r="B5" s="3" t="s">
        <v>13</v>
      </c>
      <c r="C5" s="37">
        <v>5000</v>
      </c>
      <c r="D5" s="37">
        <v>1000</v>
      </c>
      <c r="E5" s="37">
        <v>1000</v>
      </c>
      <c r="F5" s="37">
        <v>1000</v>
      </c>
      <c r="G5" s="37">
        <v>1000</v>
      </c>
      <c r="H5" s="37">
        <v>1000</v>
      </c>
      <c r="I5" s="37">
        <v>1000</v>
      </c>
      <c r="J5" s="37">
        <v>1000</v>
      </c>
      <c r="K5" s="37">
        <v>1000</v>
      </c>
      <c r="L5" s="37">
        <v>1000</v>
      </c>
      <c r="M5" s="37">
        <v>1000</v>
      </c>
      <c r="N5" s="37">
        <v>1000</v>
      </c>
      <c r="O5" s="5">
        <f t="shared" ref="O5:O7" si="0">SUM(C5:N5)</f>
        <v>16000</v>
      </c>
      <c r="P5" s="103">
        <f>O6+O5</f>
        <v>71500</v>
      </c>
      <c r="Q5" s="2"/>
    </row>
    <row r="6" spans="1:22" ht="15" thickTop="1">
      <c r="B6" s="4" t="s">
        <v>14</v>
      </c>
      <c r="C6" s="37">
        <v>500</v>
      </c>
      <c r="D6" s="37">
        <v>5000</v>
      </c>
      <c r="E6" s="37">
        <v>5000</v>
      </c>
      <c r="F6" s="37">
        <v>5000</v>
      </c>
      <c r="G6" s="37">
        <v>5000</v>
      </c>
      <c r="H6" s="37">
        <v>5000</v>
      </c>
      <c r="I6" s="37">
        <v>5000</v>
      </c>
      <c r="J6" s="37">
        <v>5000</v>
      </c>
      <c r="K6" s="37">
        <v>5000</v>
      </c>
      <c r="L6" s="37">
        <v>5000</v>
      </c>
      <c r="M6" s="37">
        <v>5000</v>
      </c>
      <c r="N6" s="37">
        <v>5000</v>
      </c>
      <c r="O6" s="5">
        <f t="shared" si="0"/>
        <v>55500</v>
      </c>
      <c r="P6" s="103"/>
      <c r="Q6" s="2"/>
      <c r="R6" s="104" t="s">
        <v>29</v>
      </c>
      <c r="S6" s="105"/>
      <c r="U6" s="55" t="s">
        <v>36</v>
      </c>
      <c r="V6" s="56" t="s">
        <v>53</v>
      </c>
    </row>
    <row r="7" spans="1:22" ht="15" thickBot="1">
      <c r="B7" s="8" t="s">
        <v>16</v>
      </c>
      <c r="C7" s="9">
        <v>1000</v>
      </c>
      <c r="D7" s="9">
        <v>1000</v>
      </c>
      <c r="E7" s="9">
        <v>1000</v>
      </c>
      <c r="F7" s="9">
        <v>1000</v>
      </c>
      <c r="G7" s="9">
        <v>1000</v>
      </c>
      <c r="H7" s="9">
        <v>1000</v>
      </c>
      <c r="I7" s="9">
        <v>1000</v>
      </c>
      <c r="J7" s="9">
        <v>1000</v>
      </c>
      <c r="K7" s="9">
        <v>1000</v>
      </c>
      <c r="L7" s="9">
        <v>1000</v>
      </c>
      <c r="M7" s="9">
        <v>1000</v>
      </c>
      <c r="N7" s="9">
        <v>1000</v>
      </c>
      <c r="O7" s="54">
        <f t="shared" si="0"/>
        <v>12000</v>
      </c>
      <c r="Q7" s="12"/>
      <c r="R7" s="17" t="s">
        <v>35</v>
      </c>
      <c r="S7" s="82">
        <f>'2036'!U7</f>
        <v>11065671.431238629</v>
      </c>
      <c r="T7" s="11"/>
      <c r="U7" s="57">
        <f>S7-T22</f>
        <v>11053659.431238629</v>
      </c>
      <c r="V7" s="60">
        <f>U7/T22</f>
        <v>920.21806786868376</v>
      </c>
    </row>
    <row r="8" spans="1:22" ht="16" thickTop="1" thickBot="1">
      <c r="B8" s="33" t="s">
        <v>12</v>
      </c>
      <c r="C8" s="33">
        <f t="shared" ref="C8:O8" si="1">SUM(C5:C7)</f>
        <v>6500</v>
      </c>
      <c r="D8" s="33">
        <f t="shared" si="1"/>
        <v>7000</v>
      </c>
      <c r="E8" s="33">
        <f t="shared" si="1"/>
        <v>7000</v>
      </c>
      <c r="F8" s="33">
        <f t="shared" si="1"/>
        <v>7000</v>
      </c>
      <c r="G8" s="33">
        <f t="shared" si="1"/>
        <v>7000</v>
      </c>
      <c r="H8" s="33">
        <f t="shared" si="1"/>
        <v>7000</v>
      </c>
      <c r="I8" s="33">
        <f t="shared" si="1"/>
        <v>7000</v>
      </c>
      <c r="J8" s="33">
        <f t="shared" si="1"/>
        <v>7000</v>
      </c>
      <c r="K8" s="33">
        <f t="shared" si="1"/>
        <v>7000</v>
      </c>
      <c r="L8" s="33">
        <f t="shared" si="1"/>
        <v>7000</v>
      </c>
      <c r="M8" s="33">
        <f t="shared" si="1"/>
        <v>7000</v>
      </c>
      <c r="N8" s="34">
        <f t="shared" si="1"/>
        <v>7000</v>
      </c>
      <c r="O8" s="33">
        <f t="shared" si="1"/>
        <v>83500</v>
      </c>
      <c r="Q8" s="12"/>
      <c r="R8" s="18" t="s">
        <v>34</v>
      </c>
      <c r="S8" s="83">
        <f>'2036'!U8</f>
        <v>4631878.1185151516</v>
      </c>
      <c r="T8" s="11"/>
      <c r="U8" s="58">
        <f>S8-((O6*S2)-O16*S4)</f>
        <v>4632560.6185151516</v>
      </c>
      <c r="V8" s="61">
        <f>U8/U9</f>
        <v>-6787.6346058830059</v>
      </c>
    </row>
    <row r="9" spans="1:22" ht="15" thickBot="1">
      <c r="B9" s="41" t="s">
        <v>40</v>
      </c>
      <c r="C9" s="42">
        <f t="shared" ref="C9:N9" si="2">IF(C8&gt;0,(C5+C6)/C8,"")</f>
        <v>0.84615384615384615</v>
      </c>
      <c r="D9" s="42">
        <f t="shared" si="2"/>
        <v>0.8571428571428571</v>
      </c>
      <c r="E9" s="42">
        <f t="shared" si="2"/>
        <v>0.8571428571428571</v>
      </c>
      <c r="F9" s="42">
        <f t="shared" si="2"/>
        <v>0.8571428571428571</v>
      </c>
      <c r="G9" s="42">
        <f t="shared" si="2"/>
        <v>0.8571428571428571</v>
      </c>
      <c r="H9" s="42">
        <f t="shared" si="2"/>
        <v>0.8571428571428571</v>
      </c>
      <c r="I9" s="42">
        <f t="shared" si="2"/>
        <v>0.8571428571428571</v>
      </c>
      <c r="J9" s="42">
        <f t="shared" si="2"/>
        <v>0.8571428571428571</v>
      </c>
      <c r="K9" s="42">
        <f t="shared" si="2"/>
        <v>0.8571428571428571</v>
      </c>
      <c r="L9" s="42">
        <f t="shared" si="2"/>
        <v>0.8571428571428571</v>
      </c>
      <c r="M9" s="42">
        <f t="shared" si="2"/>
        <v>0.8571428571428571</v>
      </c>
      <c r="N9" s="42">
        <f t="shared" si="2"/>
        <v>0.8571428571428571</v>
      </c>
      <c r="O9" s="46">
        <f>(O5+O6)/O8</f>
        <v>0.85628742514970058</v>
      </c>
      <c r="Q9" s="2"/>
      <c r="U9" s="65">
        <f>S8-U8</f>
        <v>-682.5</v>
      </c>
    </row>
    <row r="10" spans="1:22">
      <c r="B10" s="43" t="s">
        <v>41</v>
      </c>
      <c r="C10" s="40">
        <f t="shared" ref="C10:O10" si="3">IF(C8&gt;0,(C5+C6)/C18,"")</f>
        <v>0.11695657721260579</v>
      </c>
      <c r="D10" s="40">
        <f t="shared" si="3"/>
        <v>9.5348578511608689E-2</v>
      </c>
      <c r="E10" s="40">
        <f t="shared" si="3"/>
        <v>5.957345406886691E-2</v>
      </c>
      <c r="F10" s="40">
        <f t="shared" si="3"/>
        <v>4.4987628402189395E-2</v>
      </c>
      <c r="G10" s="40">
        <f t="shared" si="3"/>
        <v>3.7766727513060996E-2</v>
      </c>
      <c r="H10" s="40">
        <f t="shared" si="3"/>
        <v>3.5855145213338116E-2</v>
      </c>
      <c r="I10" s="40">
        <f t="shared" si="3"/>
        <v>3.5366306519778609E-2</v>
      </c>
      <c r="J10" s="40">
        <f t="shared" si="3"/>
        <v>4.2042126210462882E-2</v>
      </c>
      <c r="K10" s="40">
        <f t="shared" si="3"/>
        <v>5.3049459779667914E-2</v>
      </c>
      <c r="L10" s="40">
        <f t="shared" si="3"/>
        <v>6.9679936823523941E-2</v>
      </c>
      <c r="M10" s="40">
        <f t="shared" si="3"/>
        <v>0.13226930029540143</v>
      </c>
      <c r="N10" s="40">
        <f t="shared" si="3"/>
        <v>0.16237280796709244</v>
      </c>
      <c r="O10" s="47">
        <f t="shared" si="3"/>
        <v>5.6560191118072367E-2</v>
      </c>
      <c r="Q10" s="2"/>
      <c r="R10" s="97" t="s">
        <v>30</v>
      </c>
      <c r="S10" s="98"/>
    </row>
    <row r="11" spans="1:22" ht="15" thickBot="1">
      <c r="B11" s="44" t="s">
        <v>42</v>
      </c>
      <c r="C11" s="45">
        <f t="shared" ref="C11:N11" si="4">IF(C8&gt;0,C5*$S$2+C6*$S$2+C17*$S$4,"")</f>
        <v>1001</v>
      </c>
      <c r="D11" s="45">
        <f t="shared" si="4"/>
        <v>1001</v>
      </c>
      <c r="E11" s="45">
        <f t="shared" si="4"/>
        <v>1001</v>
      </c>
      <c r="F11" s="45">
        <f t="shared" si="4"/>
        <v>1001</v>
      </c>
      <c r="G11" s="45">
        <f t="shared" si="4"/>
        <v>1001</v>
      </c>
      <c r="H11" s="45">
        <f t="shared" si="4"/>
        <v>1001</v>
      </c>
      <c r="I11" s="45">
        <f t="shared" si="4"/>
        <v>1001</v>
      </c>
      <c r="J11" s="45">
        <f t="shared" si="4"/>
        <v>1001</v>
      </c>
      <c r="K11" s="45">
        <f t="shared" si="4"/>
        <v>1001</v>
      </c>
      <c r="L11" s="45">
        <f t="shared" si="4"/>
        <v>1001</v>
      </c>
      <c r="M11" s="45">
        <f t="shared" si="4"/>
        <v>1001</v>
      </c>
      <c r="N11" s="45">
        <f t="shared" si="4"/>
        <v>1001</v>
      </c>
      <c r="O11" s="48">
        <f>SUM(C11:N11)</f>
        <v>12012</v>
      </c>
      <c r="Q11" s="2"/>
      <c r="R11" s="19" t="s">
        <v>0</v>
      </c>
      <c r="S11" s="20">
        <f>P5/O8</f>
        <v>0.85628742514970058</v>
      </c>
    </row>
    <row r="12" spans="1:22" ht="15" thickBot="1">
      <c r="Q12" s="2"/>
      <c r="R12" s="21" t="s">
        <v>1</v>
      </c>
      <c r="S12" s="22">
        <f>P5/O18</f>
        <v>5.6560191118072367E-2</v>
      </c>
    </row>
    <row r="13" spans="1:22" ht="25">
      <c r="B13" s="95" t="s">
        <v>38</v>
      </c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Q13" s="2"/>
    </row>
    <row r="14" spans="1:22" ht="15" thickBot="1">
      <c r="B14" s="5"/>
      <c r="C14" s="5" t="s">
        <v>2</v>
      </c>
      <c r="D14" s="5" t="s">
        <v>3</v>
      </c>
      <c r="E14" s="5" t="s">
        <v>4</v>
      </c>
      <c r="F14" s="5" t="s">
        <v>5</v>
      </c>
      <c r="G14" s="5" t="s">
        <v>6</v>
      </c>
      <c r="H14" s="5" t="s">
        <v>7</v>
      </c>
      <c r="I14" s="5" t="s">
        <v>8</v>
      </c>
      <c r="J14" s="5" t="s">
        <v>9</v>
      </c>
      <c r="K14" s="5" t="s">
        <v>27</v>
      </c>
      <c r="L14" s="5" t="s">
        <v>10</v>
      </c>
      <c r="M14" s="5" t="s">
        <v>26</v>
      </c>
      <c r="N14" s="5" t="s">
        <v>25</v>
      </c>
      <c r="O14" s="5" t="s">
        <v>11</v>
      </c>
      <c r="Q14" s="2"/>
      <c r="S14" s="11"/>
    </row>
    <row r="15" spans="1:22">
      <c r="B15" s="3" t="s">
        <v>13</v>
      </c>
      <c r="C15" s="123">
        <v>35401</v>
      </c>
      <c r="D15" s="123">
        <v>51302</v>
      </c>
      <c r="E15" s="123">
        <v>89091</v>
      </c>
      <c r="F15" s="123">
        <v>121745</v>
      </c>
      <c r="G15" s="123">
        <v>147245</v>
      </c>
      <c r="H15" s="123">
        <v>155715</v>
      </c>
      <c r="I15" s="123">
        <v>158028</v>
      </c>
      <c r="J15" s="123">
        <v>131089</v>
      </c>
      <c r="K15" s="123">
        <v>101477</v>
      </c>
      <c r="L15" s="123">
        <v>74483</v>
      </c>
      <c r="M15" s="123">
        <v>33737</v>
      </c>
      <c r="N15" s="123">
        <v>25327</v>
      </c>
      <c r="O15" s="5">
        <f t="shared" ref="O15:O17" si="5">SUM(C15:N15)</f>
        <v>1124640</v>
      </c>
      <c r="Q15" s="2"/>
      <c r="R15" s="99" t="s">
        <v>31</v>
      </c>
      <c r="S15" s="100"/>
    </row>
    <row r="16" spans="1:22">
      <c r="B16" s="1" t="s">
        <v>15</v>
      </c>
      <c r="C16" s="37">
        <v>625</v>
      </c>
      <c r="D16" s="37">
        <v>625</v>
      </c>
      <c r="E16" s="37">
        <v>625</v>
      </c>
      <c r="F16" s="37">
        <v>625</v>
      </c>
      <c r="G16" s="37">
        <v>625</v>
      </c>
      <c r="H16" s="37">
        <v>625</v>
      </c>
      <c r="I16" s="37">
        <v>625</v>
      </c>
      <c r="J16" s="37">
        <v>625</v>
      </c>
      <c r="K16" s="37">
        <v>625</v>
      </c>
      <c r="L16" s="37">
        <v>625</v>
      </c>
      <c r="M16" s="37">
        <v>625</v>
      </c>
      <c r="N16" s="37">
        <v>625</v>
      </c>
      <c r="O16" s="5">
        <f t="shared" si="5"/>
        <v>7500</v>
      </c>
      <c r="Q16" s="2"/>
      <c r="R16" s="23" t="s">
        <v>19</v>
      </c>
      <c r="S16" s="24">
        <f>O16</f>
        <v>7500</v>
      </c>
      <c r="U16" s="59" t="s">
        <v>48</v>
      </c>
    </row>
    <row r="17" spans="2:21" ht="15" thickBot="1">
      <c r="B17" s="10" t="s">
        <v>17</v>
      </c>
      <c r="C17" s="9">
        <v>11000</v>
      </c>
      <c r="D17" s="9">
        <v>11000</v>
      </c>
      <c r="E17" s="9">
        <v>11000</v>
      </c>
      <c r="F17" s="9">
        <v>11000</v>
      </c>
      <c r="G17" s="9">
        <v>11000</v>
      </c>
      <c r="H17" s="9">
        <v>11000</v>
      </c>
      <c r="I17" s="9">
        <v>11000</v>
      </c>
      <c r="J17" s="9">
        <v>11000</v>
      </c>
      <c r="K17" s="9">
        <v>11000</v>
      </c>
      <c r="L17" s="9">
        <v>11000</v>
      </c>
      <c r="M17" s="9">
        <v>11000</v>
      </c>
      <c r="N17" s="9">
        <v>11000</v>
      </c>
      <c r="O17" s="54">
        <f t="shared" si="5"/>
        <v>132000</v>
      </c>
      <c r="Q17" s="2"/>
      <c r="R17" s="23" t="s">
        <v>18</v>
      </c>
      <c r="S17" s="24">
        <f>O6</f>
        <v>55500</v>
      </c>
      <c r="U17" s="66" t="s">
        <v>49</v>
      </c>
    </row>
    <row r="18" spans="2:21" ht="16" thickTop="1" thickBot="1">
      <c r="B18" s="6" t="s">
        <v>12</v>
      </c>
      <c r="C18" s="6">
        <f>SUM(C15:C17)</f>
        <v>47026</v>
      </c>
      <c r="D18" s="6">
        <f t="shared" ref="D18:N18" si="6">SUM(D15:D17)</f>
        <v>62927</v>
      </c>
      <c r="E18" s="6">
        <f t="shared" si="6"/>
        <v>100716</v>
      </c>
      <c r="F18" s="6">
        <f t="shared" si="6"/>
        <v>133370</v>
      </c>
      <c r="G18" s="6">
        <f t="shared" si="6"/>
        <v>158870</v>
      </c>
      <c r="H18" s="6">
        <f t="shared" si="6"/>
        <v>167340</v>
      </c>
      <c r="I18" s="6">
        <f t="shared" si="6"/>
        <v>169653</v>
      </c>
      <c r="J18" s="6">
        <f t="shared" si="6"/>
        <v>142714</v>
      </c>
      <c r="K18" s="6">
        <f t="shared" si="6"/>
        <v>113102</v>
      </c>
      <c r="L18" s="6">
        <f t="shared" si="6"/>
        <v>86108</v>
      </c>
      <c r="M18" s="6">
        <f t="shared" si="6"/>
        <v>45362</v>
      </c>
      <c r="N18" s="7">
        <f t="shared" si="6"/>
        <v>36952</v>
      </c>
      <c r="O18" s="6">
        <f>SUM(O15:O17)</f>
        <v>1264140</v>
      </c>
      <c r="Q18" s="2"/>
      <c r="R18" s="23" t="s">
        <v>20</v>
      </c>
      <c r="S18" s="24">
        <f>100/S16*S17</f>
        <v>740</v>
      </c>
      <c r="U18" s="59" t="s">
        <v>50</v>
      </c>
    </row>
    <row r="19" spans="2:21" ht="15" thickBot="1">
      <c r="B19" s="41" t="s">
        <v>44</v>
      </c>
      <c r="C19" s="50">
        <f>IF(C18&gt;0,C18/$S$3,"")</f>
        <v>4.7026000000000003</v>
      </c>
      <c r="D19" s="50">
        <f t="shared" ref="D19:N19" si="7">IF(D18&gt;0,D18/$S$3,"")</f>
        <v>6.2927</v>
      </c>
      <c r="E19" s="50">
        <f t="shared" si="7"/>
        <v>10.0716</v>
      </c>
      <c r="F19" s="50">
        <f t="shared" si="7"/>
        <v>13.337</v>
      </c>
      <c r="G19" s="50">
        <f t="shared" si="7"/>
        <v>15.887</v>
      </c>
      <c r="H19" s="50">
        <f t="shared" si="7"/>
        <v>16.734000000000002</v>
      </c>
      <c r="I19" s="50">
        <f t="shared" si="7"/>
        <v>16.965299999999999</v>
      </c>
      <c r="J19" s="50">
        <f t="shared" si="7"/>
        <v>14.2714</v>
      </c>
      <c r="K19" s="50">
        <f t="shared" si="7"/>
        <v>11.3102</v>
      </c>
      <c r="L19" s="50">
        <f t="shared" si="7"/>
        <v>8.6107999999999993</v>
      </c>
      <c r="M19" s="50">
        <f t="shared" si="7"/>
        <v>4.5362</v>
      </c>
      <c r="N19" s="50">
        <f t="shared" si="7"/>
        <v>3.6951999999999998</v>
      </c>
      <c r="O19" s="53">
        <f>SUM(C19:N19)</f>
        <v>126.41399999999999</v>
      </c>
      <c r="Q19" s="2"/>
      <c r="R19" s="25" t="s">
        <v>21</v>
      </c>
      <c r="S19" s="26">
        <f>100-S18</f>
        <v>-640</v>
      </c>
    </row>
    <row r="20" spans="2:21" ht="15" thickBot="1">
      <c r="B20" s="43" t="s">
        <v>46</v>
      </c>
      <c r="C20" s="51">
        <f>IF(C8&gt;0,C16/31,"")</f>
        <v>20.161290322580644</v>
      </c>
      <c r="D20" s="51">
        <f>IF(D8&gt;0,D16/28,"")</f>
        <v>22.321428571428573</v>
      </c>
      <c r="E20" s="51">
        <f>IF(E8&gt;0,E16/31,"")</f>
        <v>20.161290322580644</v>
      </c>
      <c r="F20" s="51">
        <f>IF(F8&gt;0,F16/30,"")</f>
        <v>20.833333333333332</v>
      </c>
      <c r="G20" s="51">
        <f>IF(G8&gt;0,G16/31,"")</f>
        <v>20.161290322580644</v>
      </c>
      <c r="H20" s="51">
        <f>IF(H8&gt;0,H16/30,"")</f>
        <v>20.833333333333332</v>
      </c>
      <c r="I20" s="51">
        <f>IF(I8&gt;0,I16/31,"")</f>
        <v>20.161290322580644</v>
      </c>
      <c r="J20" s="51">
        <f>IF(J8&gt;0,J16/31,"")</f>
        <v>20.161290322580644</v>
      </c>
      <c r="K20" s="51">
        <f>IF(K8&gt;0,K16/30,"")</f>
        <v>20.833333333333332</v>
      </c>
      <c r="L20" s="51">
        <f>IF(L8&gt;0,L16/31,"")</f>
        <v>20.161290322580644</v>
      </c>
      <c r="M20" s="51">
        <f>IF(M8&gt;0,M16/30,"")</f>
        <v>20.833333333333332</v>
      </c>
      <c r="N20" s="51">
        <f>IF(N8&gt;0,N16/31,"")</f>
        <v>20.161290322580644</v>
      </c>
      <c r="O20" s="52">
        <f>SUM(C20:N20)/COUNT(C20:N20)</f>
        <v>20.565316180235534</v>
      </c>
      <c r="Q20" s="2"/>
    </row>
    <row r="21" spans="2:21" ht="15" thickBot="1">
      <c r="B21" s="43" t="s">
        <v>47</v>
      </c>
      <c r="C21" s="40">
        <f>IF(C18&gt;0,C17/C18,"")</f>
        <v>0.23391315442521157</v>
      </c>
      <c r="D21" s="40">
        <f t="shared" ref="D21:N21" si="8">IF(D18&gt;0,D17/D18,"")</f>
        <v>0.1748057272712826</v>
      </c>
      <c r="E21" s="40">
        <f t="shared" si="8"/>
        <v>0.109217999126256</v>
      </c>
      <c r="F21" s="40">
        <f t="shared" si="8"/>
        <v>8.2477318737347233E-2</v>
      </c>
      <c r="G21" s="40">
        <f t="shared" si="8"/>
        <v>6.923900044061182E-2</v>
      </c>
      <c r="H21" s="40">
        <f t="shared" si="8"/>
        <v>6.5734432891119882E-2</v>
      </c>
      <c r="I21" s="40">
        <f t="shared" si="8"/>
        <v>6.483822861959411E-2</v>
      </c>
      <c r="J21" s="40">
        <f t="shared" si="8"/>
        <v>7.7077231385848627E-2</v>
      </c>
      <c r="K21" s="40">
        <f t="shared" si="8"/>
        <v>9.7257342929391172E-2</v>
      </c>
      <c r="L21" s="40">
        <f t="shared" si="8"/>
        <v>0.12774655084312725</v>
      </c>
      <c r="M21" s="40">
        <f t="shared" si="8"/>
        <v>0.24249371720823598</v>
      </c>
      <c r="N21" s="40">
        <f t="shared" si="8"/>
        <v>0.29768348127300281</v>
      </c>
      <c r="O21" s="47">
        <f>O17/O18</f>
        <v>0.1044188143718259</v>
      </c>
      <c r="Q21" s="2"/>
      <c r="R21" s="101" t="s">
        <v>32</v>
      </c>
      <c r="S21" s="102"/>
    </row>
    <row r="22" spans="2:21" ht="15" thickBot="1">
      <c r="B22" s="44" t="s">
        <v>51</v>
      </c>
      <c r="C22" s="74">
        <f t="shared" ref="C22:O22" si="9">IF(C8&gt;0,100/C16*C6-100,"")</f>
        <v>-20</v>
      </c>
      <c r="D22" s="74">
        <f t="shared" si="9"/>
        <v>700</v>
      </c>
      <c r="E22" s="74">
        <f t="shared" si="9"/>
        <v>700</v>
      </c>
      <c r="F22" s="74">
        <f t="shared" si="9"/>
        <v>700</v>
      </c>
      <c r="G22" s="74">
        <f t="shared" si="9"/>
        <v>700</v>
      </c>
      <c r="H22" s="74">
        <f t="shared" si="9"/>
        <v>700</v>
      </c>
      <c r="I22" s="74">
        <f t="shared" si="9"/>
        <v>700</v>
      </c>
      <c r="J22" s="74">
        <f t="shared" si="9"/>
        <v>700</v>
      </c>
      <c r="K22" s="74">
        <f t="shared" si="9"/>
        <v>700</v>
      </c>
      <c r="L22" s="74">
        <f t="shared" si="9"/>
        <v>700</v>
      </c>
      <c r="M22" s="74">
        <f t="shared" si="9"/>
        <v>700</v>
      </c>
      <c r="N22" s="74">
        <f t="shared" si="9"/>
        <v>700</v>
      </c>
      <c r="O22" s="75">
        <f t="shared" si="9"/>
        <v>640</v>
      </c>
      <c r="Q22" s="2"/>
      <c r="R22" s="27" t="s">
        <v>22</v>
      </c>
      <c r="S22" s="28">
        <f>O5*S2</f>
        <v>0</v>
      </c>
      <c r="T22" s="106">
        <f>SUM(S22:S24)</f>
        <v>12012</v>
      </c>
      <c r="U22" s="39" t="s">
        <v>43</v>
      </c>
    </row>
    <row r="23" spans="2:21">
      <c r="Q23" s="2"/>
      <c r="R23" s="27" t="s">
        <v>54</v>
      </c>
      <c r="S23" s="28">
        <f>O6*S2</f>
        <v>0</v>
      </c>
      <c r="T23" s="107"/>
      <c r="U23" s="85">
        <f>1/'2025'!S7*T22</f>
        <v>1.0010000000000002E-3</v>
      </c>
    </row>
    <row r="24" spans="2:21" ht="15" thickBot="1">
      <c r="Q24" s="2"/>
      <c r="R24" s="29" t="s">
        <v>24</v>
      </c>
      <c r="S24" s="30">
        <f>O17*S4</f>
        <v>12012</v>
      </c>
      <c r="T24" s="91"/>
      <c r="U24" s="86"/>
    </row>
    <row r="25" spans="2:21" ht="15" thickBot="1">
      <c r="Q25" s="2"/>
    </row>
    <row r="26" spans="2:21">
      <c r="Q26" s="2"/>
      <c r="R26" s="87" t="s">
        <v>33</v>
      </c>
      <c r="S26" s="88"/>
    </row>
    <row r="27" spans="2:21" ht="15" thickBot="1">
      <c r="Q27" s="2"/>
      <c r="R27" s="31" t="s">
        <v>23</v>
      </c>
      <c r="S27" s="32">
        <f>O7*S2</f>
        <v>0</v>
      </c>
      <c r="U27" s="38"/>
    </row>
    <row r="28" spans="2:21">
      <c r="Q28" s="2"/>
    </row>
    <row r="29" spans="2:21">
      <c r="Q29" s="2"/>
    </row>
    <row r="30" spans="2:21">
      <c r="Q30" s="2"/>
    </row>
    <row r="31" spans="2:21">
      <c r="Q31" s="2"/>
    </row>
    <row r="32" spans="2:21">
      <c r="Q32" s="2"/>
    </row>
    <row r="33" spans="2:17">
      <c r="Q33" s="2"/>
    </row>
    <row r="34" spans="2:17">
      <c r="Q34" s="2"/>
    </row>
    <row r="35" spans="2:17">
      <c r="Q35" s="2"/>
    </row>
    <row r="36" spans="2:17">
      <c r="Q36" s="2"/>
    </row>
    <row r="37" spans="2:17">
      <c r="Q37" s="2"/>
    </row>
    <row r="38" spans="2:17">
      <c r="Q38" s="2"/>
    </row>
    <row r="39" spans="2:17">
      <c r="Q39" s="2"/>
    </row>
    <row r="40" spans="2:17">
      <c r="Q40" s="2"/>
    </row>
    <row r="43" spans="2:17">
      <c r="B43" s="5" t="s">
        <v>65</v>
      </c>
      <c r="C43" s="5">
        <f>C8</f>
        <v>6500</v>
      </c>
      <c r="D43" s="5">
        <f t="shared" ref="D43:O43" si="10">D8</f>
        <v>7000</v>
      </c>
      <c r="E43" s="5">
        <f t="shared" si="10"/>
        <v>7000</v>
      </c>
      <c r="F43" s="5">
        <f t="shared" si="10"/>
        <v>7000</v>
      </c>
      <c r="G43" s="5">
        <f t="shared" si="10"/>
        <v>7000</v>
      </c>
      <c r="H43" s="5">
        <f t="shared" si="10"/>
        <v>7000</v>
      </c>
      <c r="I43" s="5">
        <f t="shared" si="10"/>
        <v>7000</v>
      </c>
      <c r="J43" s="5">
        <f t="shared" si="10"/>
        <v>7000</v>
      </c>
      <c r="K43" s="5">
        <f t="shared" si="10"/>
        <v>7000</v>
      </c>
      <c r="L43" s="5">
        <f t="shared" si="10"/>
        <v>7000</v>
      </c>
      <c r="M43" s="5">
        <f t="shared" si="10"/>
        <v>7000</v>
      </c>
      <c r="N43" s="5">
        <f t="shared" si="10"/>
        <v>7000</v>
      </c>
      <c r="O43" s="5">
        <f t="shared" si="10"/>
        <v>83500</v>
      </c>
    </row>
    <row r="44" spans="2:17">
      <c r="B44" s="5" t="s">
        <v>62</v>
      </c>
      <c r="C44" s="5" t="s">
        <v>2</v>
      </c>
      <c r="D44" s="5" t="s">
        <v>3</v>
      </c>
      <c r="E44" s="5" t="s">
        <v>4</v>
      </c>
      <c r="F44" s="5" t="s">
        <v>5</v>
      </c>
      <c r="G44" s="5" t="s">
        <v>6</v>
      </c>
      <c r="H44" s="5" t="s">
        <v>7</v>
      </c>
      <c r="I44" s="5" t="s">
        <v>8</v>
      </c>
      <c r="J44" s="5" t="s">
        <v>9</v>
      </c>
      <c r="K44" s="5" t="s">
        <v>27</v>
      </c>
      <c r="L44" s="5" t="s">
        <v>10</v>
      </c>
      <c r="M44" s="5" t="s">
        <v>26</v>
      </c>
      <c r="N44" s="5" t="s">
        <v>25</v>
      </c>
      <c r="O44" s="5" t="s">
        <v>11</v>
      </c>
    </row>
    <row r="45" spans="2:17">
      <c r="B45" s="76" t="s">
        <v>63</v>
      </c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>
        <f>SUM(C45:N45)</f>
        <v>0</v>
      </c>
    </row>
    <row r="46" spans="2:17">
      <c r="B46" s="76" t="s">
        <v>64</v>
      </c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>
        <f t="shared" ref="O46:O53" si="11">SUM(C46:N46)</f>
        <v>0</v>
      </c>
    </row>
    <row r="47" spans="2:17">
      <c r="B47" s="76" t="s">
        <v>66</v>
      </c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>
        <f t="shared" si="11"/>
        <v>0</v>
      </c>
    </row>
    <row r="48" spans="2:17">
      <c r="B48" s="76" t="s">
        <v>67</v>
      </c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>
        <f t="shared" si="11"/>
        <v>0</v>
      </c>
    </row>
    <row r="49" spans="2:15">
      <c r="B49" s="76" t="s">
        <v>68</v>
      </c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>
        <f t="shared" si="11"/>
        <v>0</v>
      </c>
    </row>
    <row r="50" spans="2:15">
      <c r="B50" s="76" t="s">
        <v>69</v>
      </c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>
        <f t="shared" si="11"/>
        <v>0</v>
      </c>
    </row>
    <row r="51" spans="2:15">
      <c r="B51" s="76" t="s">
        <v>71</v>
      </c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>
        <f t="shared" si="11"/>
        <v>0</v>
      </c>
    </row>
    <row r="52" spans="2:15">
      <c r="B52" s="77" t="s">
        <v>72</v>
      </c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6">
        <f t="shared" si="11"/>
        <v>0</v>
      </c>
    </row>
    <row r="53" spans="2:15" ht="15" thickBot="1">
      <c r="B53" s="77" t="s">
        <v>70</v>
      </c>
      <c r="C53" s="77">
        <f>C43-C45-C46-C47-C48-C49-C50-C51-C52</f>
        <v>6500</v>
      </c>
      <c r="D53" s="77">
        <f t="shared" ref="D53:N53" si="12">D43-D45-D46-D47-D48-D49-D50-D51-D52</f>
        <v>7000</v>
      </c>
      <c r="E53" s="77">
        <f t="shared" si="12"/>
        <v>7000</v>
      </c>
      <c r="F53" s="77">
        <f>(F43-F45-F46-F47-F48-F49-F50-F51-F52)</f>
        <v>7000</v>
      </c>
      <c r="G53" s="77">
        <f t="shared" si="12"/>
        <v>7000</v>
      </c>
      <c r="H53" s="77">
        <f t="shared" si="12"/>
        <v>7000</v>
      </c>
      <c r="I53" s="77">
        <f t="shared" si="12"/>
        <v>7000</v>
      </c>
      <c r="J53" s="77">
        <f t="shared" si="12"/>
        <v>7000</v>
      </c>
      <c r="K53" s="77">
        <f t="shared" si="12"/>
        <v>7000</v>
      </c>
      <c r="L53" s="77">
        <f t="shared" si="12"/>
        <v>7000</v>
      </c>
      <c r="M53" s="77">
        <f t="shared" si="12"/>
        <v>7000</v>
      </c>
      <c r="N53" s="77">
        <f t="shared" si="12"/>
        <v>7000</v>
      </c>
      <c r="O53" s="76">
        <f t="shared" si="11"/>
        <v>83500</v>
      </c>
    </row>
    <row r="54" spans="2:15" ht="15" thickBot="1">
      <c r="B54" s="78" t="s">
        <v>11</v>
      </c>
      <c r="C54" s="79">
        <f>SUM(C45:C53)</f>
        <v>6500</v>
      </c>
      <c r="D54" s="79">
        <f t="shared" ref="D54:O54" si="13">SUM(D45:D53)</f>
        <v>7000</v>
      </c>
      <c r="E54" s="79">
        <f t="shared" si="13"/>
        <v>7000</v>
      </c>
      <c r="F54" s="79">
        <f t="shared" si="13"/>
        <v>7000</v>
      </c>
      <c r="G54" s="79">
        <f t="shared" si="13"/>
        <v>7000</v>
      </c>
      <c r="H54" s="79">
        <f t="shared" si="13"/>
        <v>7000</v>
      </c>
      <c r="I54" s="79">
        <f t="shared" si="13"/>
        <v>7000</v>
      </c>
      <c r="J54" s="79">
        <f t="shared" si="13"/>
        <v>7000</v>
      </c>
      <c r="K54" s="79">
        <f t="shared" si="13"/>
        <v>7000</v>
      </c>
      <c r="L54" s="79">
        <f t="shared" si="13"/>
        <v>7000</v>
      </c>
      <c r="M54" s="79">
        <f t="shared" si="13"/>
        <v>7000</v>
      </c>
      <c r="N54" s="79">
        <f t="shared" si="13"/>
        <v>7000</v>
      </c>
      <c r="O54" s="79">
        <f t="shared" si="13"/>
        <v>83500</v>
      </c>
    </row>
  </sheetData>
  <mergeCells count="12">
    <mergeCell ref="T22:T24"/>
    <mergeCell ref="U23:U24"/>
    <mergeCell ref="R26:S26"/>
    <mergeCell ref="A1:P1"/>
    <mergeCell ref="R1:S1"/>
    <mergeCell ref="B3:O3"/>
    <mergeCell ref="P5:P6"/>
    <mergeCell ref="R6:S6"/>
    <mergeCell ref="R10:S10"/>
    <mergeCell ref="B13:O13"/>
    <mergeCell ref="R15:S15"/>
    <mergeCell ref="R21:S21"/>
  </mergeCells>
  <pageMargins left="0.7" right="0.7" top="0.78740157499999996" bottom="0.78740157499999996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workbookViewId="0">
      <selection activeCell="C15" sqref="C15:N15"/>
    </sheetView>
  </sheetViews>
  <sheetFormatPr baseColWidth="10" defaultRowHeight="14" x14ac:dyDescent="0"/>
  <cols>
    <col min="1" max="1" width="10.83203125" style="37"/>
    <col min="2" max="2" width="11.83203125" style="37" customWidth="1"/>
    <col min="3" max="14" width="9.5" style="37" customWidth="1"/>
    <col min="15" max="15" width="10.83203125" style="37"/>
    <col min="16" max="16" width="9.83203125" style="37" customWidth="1"/>
    <col min="17" max="17" width="2.83203125" style="37" customWidth="1"/>
    <col min="18" max="18" width="29.5" style="37" bestFit="1" customWidth="1"/>
    <col min="19" max="19" width="10.83203125" style="37"/>
    <col min="20" max="20" width="10.33203125" style="37" bestFit="1" customWidth="1"/>
    <col min="21" max="21" width="23.5" style="37" bestFit="1" customWidth="1"/>
    <col min="22" max="22" width="25.83203125" style="37" customWidth="1"/>
    <col min="23" max="16384" width="10.83203125" style="37"/>
  </cols>
  <sheetData>
    <row r="1" spans="1:22" ht="25">
      <c r="A1" s="92">
        <v>2038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2"/>
      <c r="R1" s="93" t="s">
        <v>28</v>
      </c>
      <c r="S1" s="94"/>
    </row>
    <row r="2" spans="1:22">
      <c r="Q2" s="2"/>
      <c r="R2" s="14" t="s">
        <v>75</v>
      </c>
      <c r="S2" s="15">
        <v>0</v>
      </c>
    </row>
    <row r="3" spans="1:22" ht="25">
      <c r="B3" s="96" t="s">
        <v>37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Q3" s="2"/>
      <c r="R3" s="112" t="s">
        <v>86</v>
      </c>
      <c r="S3" s="49">
        <f>'2037'!S3</f>
        <v>10000</v>
      </c>
    </row>
    <row r="4" spans="1:22" ht="15" thickBot="1">
      <c r="B4" s="5"/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27</v>
      </c>
      <c r="L4" s="5" t="s">
        <v>10</v>
      </c>
      <c r="M4" s="5" t="s">
        <v>26</v>
      </c>
      <c r="N4" s="5" t="s">
        <v>25</v>
      </c>
      <c r="O4" s="5" t="s">
        <v>11</v>
      </c>
      <c r="Q4" s="2"/>
      <c r="R4" s="16" t="s">
        <v>24</v>
      </c>
      <c r="S4" s="36">
        <f>'2037'!S4</f>
        <v>9.0999999999999998E-2</v>
      </c>
    </row>
    <row r="5" spans="1:22" ht="15" thickBot="1">
      <c r="B5" s="3" t="s">
        <v>13</v>
      </c>
      <c r="C5" s="37">
        <v>5000</v>
      </c>
      <c r="D5" s="37">
        <v>1000</v>
      </c>
      <c r="E5" s="37">
        <v>1000</v>
      </c>
      <c r="F5" s="37">
        <v>1000</v>
      </c>
      <c r="G5" s="37">
        <v>1000</v>
      </c>
      <c r="H5" s="37">
        <v>1000</v>
      </c>
      <c r="I5" s="37">
        <v>1000</v>
      </c>
      <c r="J5" s="37">
        <v>1000</v>
      </c>
      <c r="K5" s="37">
        <v>1000</v>
      </c>
      <c r="L5" s="37">
        <v>1000</v>
      </c>
      <c r="M5" s="37">
        <v>1000</v>
      </c>
      <c r="N5" s="37">
        <v>1000</v>
      </c>
      <c r="O5" s="5">
        <f t="shared" ref="O5:O7" si="0">SUM(C5:N5)</f>
        <v>16000</v>
      </c>
      <c r="P5" s="103">
        <f>O6+O5</f>
        <v>71500</v>
      </c>
      <c r="Q5" s="2"/>
    </row>
    <row r="6" spans="1:22" ht="15" thickTop="1">
      <c r="B6" s="4" t="s">
        <v>14</v>
      </c>
      <c r="C6" s="37">
        <v>500</v>
      </c>
      <c r="D6" s="37">
        <v>5000</v>
      </c>
      <c r="E6" s="37">
        <v>5000</v>
      </c>
      <c r="F6" s="37">
        <v>5000</v>
      </c>
      <c r="G6" s="37">
        <v>5000</v>
      </c>
      <c r="H6" s="37">
        <v>5000</v>
      </c>
      <c r="I6" s="37">
        <v>5000</v>
      </c>
      <c r="J6" s="37">
        <v>5000</v>
      </c>
      <c r="K6" s="37">
        <v>5000</v>
      </c>
      <c r="L6" s="37">
        <v>5000</v>
      </c>
      <c r="M6" s="37">
        <v>5000</v>
      </c>
      <c r="N6" s="37">
        <v>5000</v>
      </c>
      <c r="O6" s="5">
        <f t="shared" si="0"/>
        <v>55500</v>
      </c>
      <c r="P6" s="103"/>
      <c r="Q6" s="2"/>
      <c r="R6" s="104" t="s">
        <v>29</v>
      </c>
      <c r="S6" s="105"/>
      <c r="U6" s="55" t="s">
        <v>36</v>
      </c>
      <c r="V6" s="56" t="s">
        <v>53</v>
      </c>
    </row>
    <row r="7" spans="1:22" ht="15" thickBot="1">
      <c r="B7" s="8" t="s">
        <v>16</v>
      </c>
      <c r="C7" s="9">
        <v>1000</v>
      </c>
      <c r="D7" s="9">
        <v>1000</v>
      </c>
      <c r="E7" s="9">
        <v>1000</v>
      </c>
      <c r="F7" s="9">
        <v>1000</v>
      </c>
      <c r="G7" s="9">
        <v>1000</v>
      </c>
      <c r="H7" s="9">
        <v>1000</v>
      </c>
      <c r="I7" s="9">
        <v>1000</v>
      </c>
      <c r="J7" s="9">
        <v>1000</v>
      </c>
      <c r="K7" s="9">
        <v>1000</v>
      </c>
      <c r="L7" s="9">
        <v>1000</v>
      </c>
      <c r="M7" s="9">
        <v>1000</v>
      </c>
      <c r="N7" s="9">
        <v>1000</v>
      </c>
      <c r="O7" s="54">
        <f t="shared" si="0"/>
        <v>12000</v>
      </c>
      <c r="Q7" s="12"/>
      <c r="R7" s="17" t="s">
        <v>35</v>
      </c>
      <c r="S7" s="82">
        <f>'2037'!U7</f>
        <v>11053659.431238629</v>
      </c>
      <c r="T7" s="11"/>
      <c r="U7" s="57">
        <f>S7-T22</f>
        <v>11041647.431238629</v>
      </c>
      <c r="V7" s="60">
        <f>U7/T22</f>
        <v>919.21806786868376</v>
      </c>
    </row>
    <row r="8" spans="1:22" ht="16" thickTop="1" thickBot="1">
      <c r="B8" s="33" t="s">
        <v>12</v>
      </c>
      <c r="C8" s="33">
        <f t="shared" ref="C8:O8" si="1">SUM(C5:C7)</f>
        <v>6500</v>
      </c>
      <c r="D8" s="33">
        <f t="shared" si="1"/>
        <v>7000</v>
      </c>
      <c r="E8" s="33">
        <f t="shared" si="1"/>
        <v>7000</v>
      </c>
      <c r="F8" s="33">
        <f t="shared" si="1"/>
        <v>7000</v>
      </c>
      <c r="G8" s="33">
        <f t="shared" si="1"/>
        <v>7000</v>
      </c>
      <c r="H8" s="33">
        <f t="shared" si="1"/>
        <v>7000</v>
      </c>
      <c r="I8" s="33">
        <f t="shared" si="1"/>
        <v>7000</v>
      </c>
      <c r="J8" s="33">
        <f t="shared" si="1"/>
        <v>7000</v>
      </c>
      <c r="K8" s="33">
        <f t="shared" si="1"/>
        <v>7000</v>
      </c>
      <c r="L8" s="33">
        <f t="shared" si="1"/>
        <v>7000</v>
      </c>
      <c r="M8" s="33">
        <f t="shared" si="1"/>
        <v>7000</v>
      </c>
      <c r="N8" s="34">
        <f t="shared" si="1"/>
        <v>7000</v>
      </c>
      <c r="O8" s="33">
        <f t="shared" si="1"/>
        <v>83500</v>
      </c>
      <c r="Q8" s="12"/>
      <c r="R8" s="18" t="s">
        <v>34</v>
      </c>
      <c r="S8" s="83">
        <f>'2037'!U8</f>
        <v>4632560.6185151516</v>
      </c>
      <c r="T8" s="11"/>
      <c r="U8" s="58">
        <f>S8-((O6*S2)-O16*S4)</f>
        <v>4633243.1185151516</v>
      </c>
      <c r="V8" s="61">
        <f>U8/U9</f>
        <v>-6788.6346058830059</v>
      </c>
    </row>
    <row r="9" spans="1:22" ht="15" thickBot="1">
      <c r="B9" s="41" t="s">
        <v>40</v>
      </c>
      <c r="C9" s="42">
        <f t="shared" ref="C9:N9" si="2">IF(C8&gt;0,(C5+C6)/C8,"")</f>
        <v>0.84615384615384615</v>
      </c>
      <c r="D9" s="42">
        <f t="shared" si="2"/>
        <v>0.8571428571428571</v>
      </c>
      <c r="E9" s="42">
        <f t="shared" si="2"/>
        <v>0.8571428571428571</v>
      </c>
      <c r="F9" s="42">
        <f t="shared" si="2"/>
        <v>0.8571428571428571</v>
      </c>
      <c r="G9" s="42">
        <f t="shared" si="2"/>
        <v>0.8571428571428571</v>
      </c>
      <c r="H9" s="42">
        <f t="shared" si="2"/>
        <v>0.8571428571428571</v>
      </c>
      <c r="I9" s="42">
        <f t="shared" si="2"/>
        <v>0.8571428571428571</v>
      </c>
      <c r="J9" s="42">
        <f t="shared" si="2"/>
        <v>0.8571428571428571</v>
      </c>
      <c r="K9" s="42">
        <f t="shared" si="2"/>
        <v>0.8571428571428571</v>
      </c>
      <c r="L9" s="42">
        <f t="shared" si="2"/>
        <v>0.8571428571428571</v>
      </c>
      <c r="M9" s="42">
        <f t="shared" si="2"/>
        <v>0.8571428571428571</v>
      </c>
      <c r="N9" s="42">
        <f t="shared" si="2"/>
        <v>0.8571428571428571</v>
      </c>
      <c r="O9" s="46">
        <f>(O5+O6)/O8</f>
        <v>0.85628742514970058</v>
      </c>
      <c r="Q9" s="2"/>
      <c r="U9" s="65">
        <f>S8-U8</f>
        <v>-682.5</v>
      </c>
    </row>
    <row r="10" spans="1:22">
      <c r="B10" s="43" t="s">
        <v>41</v>
      </c>
      <c r="C10" s="40">
        <f t="shared" ref="C10:O10" si="3">IF(C8&gt;0,(C5+C6)/C18,"")</f>
        <v>0.11695657721260579</v>
      </c>
      <c r="D10" s="40">
        <f t="shared" si="3"/>
        <v>9.5348578511608689E-2</v>
      </c>
      <c r="E10" s="40">
        <f t="shared" si="3"/>
        <v>5.957345406886691E-2</v>
      </c>
      <c r="F10" s="40">
        <f t="shared" si="3"/>
        <v>4.4987628402189395E-2</v>
      </c>
      <c r="G10" s="40">
        <f t="shared" si="3"/>
        <v>3.7766727513060996E-2</v>
      </c>
      <c r="H10" s="40">
        <f t="shared" si="3"/>
        <v>3.5855145213338116E-2</v>
      </c>
      <c r="I10" s="40">
        <f t="shared" si="3"/>
        <v>3.5366306519778609E-2</v>
      </c>
      <c r="J10" s="40">
        <f t="shared" si="3"/>
        <v>4.2042126210462882E-2</v>
      </c>
      <c r="K10" s="40">
        <f t="shared" si="3"/>
        <v>5.3049459779667914E-2</v>
      </c>
      <c r="L10" s="40">
        <f t="shared" si="3"/>
        <v>6.9679936823523941E-2</v>
      </c>
      <c r="M10" s="40">
        <f t="shared" si="3"/>
        <v>0.13226930029540143</v>
      </c>
      <c r="N10" s="40">
        <f t="shared" si="3"/>
        <v>0.16237280796709244</v>
      </c>
      <c r="O10" s="47">
        <f t="shared" si="3"/>
        <v>5.6560191118072367E-2</v>
      </c>
      <c r="Q10" s="2"/>
      <c r="R10" s="97" t="s">
        <v>30</v>
      </c>
      <c r="S10" s="98"/>
    </row>
    <row r="11" spans="1:22" ht="15" thickBot="1">
      <c r="B11" s="44" t="s">
        <v>42</v>
      </c>
      <c r="C11" s="45">
        <f t="shared" ref="C11:N11" si="4">IF(C8&gt;0,C5*$S$2+C6*$S$2+C17*$S$4,"")</f>
        <v>1001</v>
      </c>
      <c r="D11" s="45">
        <f t="shared" si="4"/>
        <v>1001</v>
      </c>
      <c r="E11" s="45">
        <f t="shared" si="4"/>
        <v>1001</v>
      </c>
      <c r="F11" s="45">
        <f t="shared" si="4"/>
        <v>1001</v>
      </c>
      <c r="G11" s="45">
        <f t="shared" si="4"/>
        <v>1001</v>
      </c>
      <c r="H11" s="45">
        <f t="shared" si="4"/>
        <v>1001</v>
      </c>
      <c r="I11" s="45">
        <f t="shared" si="4"/>
        <v>1001</v>
      </c>
      <c r="J11" s="45">
        <f t="shared" si="4"/>
        <v>1001</v>
      </c>
      <c r="K11" s="45">
        <f t="shared" si="4"/>
        <v>1001</v>
      </c>
      <c r="L11" s="45">
        <f t="shared" si="4"/>
        <v>1001</v>
      </c>
      <c r="M11" s="45">
        <f t="shared" si="4"/>
        <v>1001</v>
      </c>
      <c r="N11" s="45">
        <f t="shared" si="4"/>
        <v>1001</v>
      </c>
      <c r="O11" s="48">
        <f>SUM(C11:N11)</f>
        <v>12012</v>
      </c>
      <c r="Q11" s="2"/>
      <c r="R11" s="19" t="s">
        <v>0</v>
      </c>
      <c r="S11" s="20">
        <f>P5/O8</f>
        <v>0.85628742514970058</v>
      </c>
    </row>
    <row r="12" spans="1:22" ht="15" thickBot="1">
      <c r="Q12" s="2"/>
      <c r="R12" s="21" t="s">
        <v>1</v>
      </c>
      <c r="S12" s="22">
        <f>P5/O18</f>
        <v>5.6560191118072367E-2</v>
      </c>
    </row>
    <row r="13" spans="1:22" ht="25">
      <c r="B13" s="95" t="s">
        <v>38</v>
      </c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Q13" s="2"/>
    </row>
    <row r="14" spans="1:22" ht="15" thickBot="1">
      <c r="B14" s="5"/>
      <c r="C14" s="5" t="s">
        <v>2</v>
      </c>
      <c r="D14" s="5" t="s">
        <v>3</v>
      </c>
      <c r="E14" s="5" t="s">
        <v>4</v>
      </c>
      <c r="F14" s="5" t="s">
        <v>5</v>
      </c>
      <c r="G14" s="5" t="s">
        <v>6</v>
      </c>
      <c r="H14" s="5" t="s">
        <v>7</v>
      </c>
      <c r="I14" s="5" t="s">
        <v>8</v>
      </c>
      <c r="J14" s="5" t="s">
        <v>9</v>
      </c>
      <c r="K14" s="5" t="s">
        <v>27</v>
      </c>
      <c r="L14" s="5" t="s">
        <v>10</v>
      </c>
      <c r="M14" s="5" t="s">
        <v>26</v>
      </c>
      <c r="N14" s="5" t="s">
        <v>25</v>
      </c>
      <c r="O14" s="5" t="s">
        <v>11</v>
      </c>
      <c r="Q14" s="2"/>
      <c r="S14" s="11"/>
    </row>
    <row r="15" spans="1:22">
      <c r="B15" s="3" t="s">
        <v>13</v>
      </c>
      <c r="C15" s="123">
        <v>35401</v>
      </c>
      <c r="D15" s="123">
        <v>51302</v>
      </c>
      <c r="E15" s="123">
        <v>89091</v>
      </c>
      <c r="F15" s="123">
        <v>121745</v>
      </c>
      <c r="G15" s="123">
        <v>147245</v>
      </c>
      <c r="H15" s="123">
        <v>155715</v>
      </c>
      <c r="I15" s="123">
        <v>158028</v>
      </c>
      <c r="J15" s="123">
        <v>131089</v>
      </c>
      <c r="K15" s="123">
        <v>101477</v>
      </c>
      <c r="L15" s="123">
        <v>74483</v>
      </c>
      <c r="M15" s="123">
        <v>33737</v>
      </c>
      <c r="N15" s="123">
        <v>25327</v>
      </c>
      <c r="O15" s="5">
        <f t="shared" ref="O15:O17" si="5">SUM(C15:N15)</f>
        <v>1124640</v>
      </c>
      <c r="Q15" s="2"/>
      <c r="R15" s="99" t="s">
        <v>31</v>
      </c>
      <c r="S15" s="100"/>
    </row>
    <row r="16" spans="1:22">
      <c r="B16" s="1" t="s">
        <v>15</v>
      </c>
      <c r="C16" s="37">
        <v>625</v>
      </c>
      <c r="D16" s="37">
        <v>625</v>
      </c>
      <c r="E16" s="37">
        <v>625</v>
      </c>
      <c r="F16" s="37">
        <v>625</v>
      </c>
      <c r="G16" s="37">
        <v>625</v>
      </c>
      <c r="H16" s="37">
        <v>625</v>
      </c>
      <c r="I16" s="37">
        <v>625</v>
      </c>
      <c r="J16" s="37">
        <v>625</v>
      </c>
      <c r="K16" s="37">
        <v>625</v>
      </c>
      <c r="L16" s="37">
        <v>625</v>
      </c>
      <c r="M16" s="37">
        <v>625</v>
      </c>
      <c r="N16" s="37">
        <v>625</v>
      </c>
      <c r="O16" s="5">
        <f t="shared" si="5"/>
        <v>7500</v>
      </c>
      <c r="Q16" s="2"/>
      <c r="R16" s="23" t="s">
        <v>19</v>
      </c>
      <c r="S16" s="24">
        <f>O16</f>
        <v>7500</v>
      </c>
      <c r="U16" s="59" t="s">
        <v>48</v>
      </c>
    </row>
    <row r="17" spans="2:21" ht="15" thickBot="1">
      <c r="B17" s="10" t="s">
        <v>17</v>
      </c>
      <c r="C17" s="9">
        <v>11000</v>
      </c>
      <c r="D17" s="9">
        <v>11000</v>
      </c>
      <c r="E17" s="9">
        <v>11000</v>
      </c>
      <c r="F17" s="9">
        <v>11000</v>
      </c>
      <c r="G17" s="9">
        <v>11000</v>
      </c>
      <c r="H17" s="9">
        <v>11000</v>
      </c>
      <c r="I17" s="9">
        <v>11000</v>
      </c>
      <c r="J17" s="9">
        <v>11000</v>
      </c>
      <c r="K17" s="9">
        <v>11000</v>
      </c>
      <c r="L17" s="9">
        <v>11000</v>
      </c>
      <c r="M17" s="9">
        <v>11000</v>
      </c>
      <c r="N17" s="9">
        <v>11000</v>
      </c>
      <c r="O17" s="54">
        <f t="shared" si="5"/>
        <v>132000</v>
      </c>
      <c r="Q17" s="2"/>
      <c r="R17" s="23" t="s">
        <v>18</v>
      </c>
      <c r="S17" s="24">
        <f>O6</f>
        <v>55500</v>
      </c>
      <c r="U17" s="66" t="s">
        <v>49</v>
      </c>
    </row>
    <row r="18" spans="2:21" ht="16" thickTop="1" thickBot="1">
      <c r="B18" s="6" t="s">
        <v>12</v>
      </c>
      <c r="C18" s="6">
        <f>SUM(C15:C17)</f>
        <v>47026</v>
      </c>
      <c r="D18" s="6">
        <f t="shared" ref="D18:N18" si="6">SUM(D15:D17)</f>
        <v>62927</v>
      </c>
      <c r="E18" s="6">
        <f t="shared" si="6"/>
        <v>100716</v>
      </c>
      <c r="F18" s="6">
        <f t="shared" si="6"/>
        <v>133370</v>
      </c>
      <c r="G18" s="6">
        <f t="shared" si="6"/>
        <v>158870</v>
      </c>
      <c r="H18" s="6">
        <f t="shared" si="6"/>
        <v>167340</v>
      </c>
      <c r="I18" s="6">
        <f t="shared" si="6"/>
        <v>169653</v>
      </c>
      <c r="J18" s="6">
        <f t="shared" si="6"/>
        <v>142714</v>
      </c>
      <c r="K18" s="6">
        <f t="shared" si="6"/>
        <v>113102</v>
      </c>
      <c r="L18" s="6">
        <f t="shared" si="6"/>
        <v>86108</v>
      </c>
      <c r="M18" s="6">
        <f t="shared" si="6"/>
        <v>45362</v>
      </c>
      <c r="N18" s="7">
        <f t="shared" si="6"/>
        <v>36952</v>
      </c>
      <c r="O18" s="6">
        <f>SUM(O15:O17)</f>
        <v>1264140</v>
      </c>
      <c r="Q18" s="2"/>
      <c r="R18" s="23" t="s">
        <v>20</v>
      </c>
      <c r="S18" s="24">
        <f>100/S16*S17</f>
        <v>740</v>
      </c>
      <c r="U18" s="59" t="s">
        <v>50</v>
      </c>
    </row>
    <row r="19" spans="2:21" ht="15" thickBot="1">
      <c r="B19" s="41" t="s">
        <v>44</v>
      </c>
      <c r="C19" s="50">
        <f>IF(C18&gt;0,C18/$S$3,"")</f>
        <v>4.7026000000000003</v>
      </c>
      <c r="D19" s="50">
        <f t="shared" ref="D19:N19" si="7">IF(D18&gt;0,D18/$S$3,"")</f>
        <v>6.2927</v>
      </c>
      <c r="E19" s="50">
        <f t="shared" si="7"/>
        <v>10.0716</v>
      </c>
      <c r="F19" s="50">
        <f t="shared" si="7"/>
        <v>13.337</v>
      </c>
      <c r="G19" s="50">
        <f t="shared" si="7"/>
        <v>15.887</v>
      </c>
      <c r="H19" s="50">
        <f t="shared" si="7"/>
        <v>16.734000000000002</v>
      </c>
      <c r="I19" s="50">
        <f t="shared" si="7"/>
        <v>16.965299999999999</v>
      </c>
      <c r="J19" s="50">
        <f t="shared" si="7"/>
        <v>14.2714</v>
      </c>
      <c r="K19" s="50">
        <f t="shared" si="7"/>
        <v>11.3102</v>
      </c>
      <c r="L19" s="50">
        <f t="shared" si="7"/>
        <v>8.6107999999999993</v>
      </c>
      <c r="M19" s="50">
        <f t="shared" si="7"/>
        <v>4.5362</v>
      </c>
      <c r="N19" s="50">
        <f t="shared" si="7"/>
        <v>3.6951999999999998</v>
      </c>
      <c r="O19" s="53">
        <f>SUM(C19:N19)</f>
        <v>126.41399999999999</v>
      </c>
      <c r="Q19" s="2"/>
      <c r="R19" s="25" t="s">
        <v>21</v>
      </c>
      <c r="S19" s="26">
        <f>100-S18</f>
        <v>-640</v>
      </c>
    </row>
    <row r="20" spans="2:21" ht="15" thickBot="1">
      <c r="B20" s="43" t="s">
        <v>46</v>
      </c>
      <c r="C20" s="51">
        <f>IF(C8&gt;0,C16/31,"")</f>
        <v>20.161290322580644</v>
      </c>
      <c r="D20" s="51">
        <f>IF(D8&gt;0,D16/28,"")</f>
        <v>22.321428571428573</v>
      </c>
      <c r="E20" s="51">
        <f>IF(E8&gt;0,E16/31,"")</f>
        <v>20.161290322580644</v>
      </c>
      <c r="F20" s="51">
        <f>IF(F8&gt;0,F16/30,"")</f>
        <v>20.833333333333332</v>
      </c>
      <c r="G20" s="51">
        <f>IF(G8&gt;0,G16/31,"")</f>
        <v>20.161290322580644</v>
      </c>
      <c r="H20" s="51">
        <f>IF(H8&gt;0,H16/30,"")</f>
        <v>20.833333333333332</v>
      </c>
      <c r="I20" s="51">
        <f>IF(I8&gt;0,I16/31,"")</f>
        <v>20.161290322580644</v>
      </c>
      <c r="J20" s="51">
        <f>IF(J8&gt;0,J16/31,"")</f>
        <v>20.161290322580644</v>
      </c>
      <c r="K20" s="51">
        <f>IF(K8&gt;0,K16/30,"")</f>
        <v>20.833333333333332</v>
      </c>
      <c r="L20" s="51">
        <f>IF(L8&gt;0,L16/31,"")</f>
        <v>20.161290322580644</v>
      </c>
      <c r="M20" s="51">
        <f>IF(M8&gt;0,M16/30,"")</f>
        <v>20.833333333333332</v>
      </c>
      <c r="N20" s="51">
        <f>IF(N8&gt;0,N16/31,"")</f>
        <v>20.161290322580644</v>
      </c>
      <c r="O20" s="52">
        <f>SUM(C20:N20)/COUNT(C20:N20)</f>
        <v>20.565316180235534</v>
      </c>
      <c r="Q20" s="2"/>
    </row>
    <row r="21" spans="2:21" ht="15" thickBot="1">
      <c r="B21" s="43" t="s">
        <v>47</v>
      </c>
      <c r="C21" s="40">
        <f>IF(C18&gt;0,C17/C18,"")</f>
        <v>0.23391315442521157</v>
      </c>
      <c r="D21" s="40">
        <f t="shared" ref="D21:N21" si="8">IF(D18&gt;0,D17/D18,"")</f>
        <v>0.1748057272712826</v>
      </c>
      <c r="E21" s="40">
        <f t="shared" si="8"/>
        <v>0.109217999126256</v>
      </c>
      <c r="F21" s="40">
        <f t="shared" si="8"/>
        <v>8.2477318737347233E-2</v>
      </c>
      <c r="G21" s="40">
        <f t="shared" si="8"/>
        <v>6.923900044061182E-2</v>
      </c>
      <c r="H21" s="40">
        <f t="shared" si="8"/>
        <v>6.5734432891119882E-2</v>
      </c>
      <c r="I21" s="40">
        <f t="shared" si="8"/>
        <v>6.483822861959411E-2</v>
      </c>
      <c r="J21" s="40">
        <f t="shared" si="8"/>
        <v>7.7077231385848627E-2</v>
      </c>
      <c r="K21" s="40">
        <f t="shared" si="8"/>
        <v>9.7257342929391172E-2</v>
      </c>
      <c r="L21" s="40">
        <f t="shared" si="8"/>
        <v>0.12774655084312725</v>
      </c>
      <c r="M21" s="40">
        <f t="shared" si="8"/>
        <v>0.24249371720823598</v>
      </c>
      <c r="N21" s="40">
        <f t="shared" si="8"/>
        <v>0.29768348127300281</v>
      </c>
      <c r="O21" s="47">
        <f>O17/O18</f>
        <v>0.1044188143718259</v>
      </c>
      <c r="Q21" s="2"/>
      <c r="R21" s="101" t="s">
        <v>32</v>
      </c>
      <c r="S21" s="102"/>
    </row>
    <row r="22" spans="2:21" ht="15" thickBot="1">
      <c r="B22" s="44" t="s">
        <v>51</v>
      </c>
      <c r="C22" s="74">
        <f t="shared" ref="C22:O22" si="9">IF(C8&gt;0,100/C16*C6-100,"")</f>
        <v>-20</v>
      </c>
      <c r="D22" s="74">
        <f t="shared" si="9"/>
        <v>700</v>
      </c>
      <c r="E22" s="74">
        <f t="shared" si="9"/>
        <v>700</v>
      </c>
      <c r="F22" s="74">
        <f t="shared" si="9"/>
        <v>700</v>
      </c>
      <c r="G22" s="74">
        <f t="shared" si="9"/>
        <v>700</v>
      </c>
      <c r="H22" s="74">
        <f t="shared" si="9"/>
        <v>700</v>
      </c>
      <c r="I22" s="74">
        <f t="shared" si="9"/>
        <v>700</v>
      </c>
      <c r="J22" s="74">
        <f t="shared" si="9"/>
        <v>700</v>
      </c>
      <c r="K22" s="74">
        <f t="shared" si="9"/>
        <v>700</v>
      </c>
      <c r="L22" s="74">
        <f t="shared" si="9"/>
        <v>700</v>
      </c>
      <c r="M22" s="74">
        <f t="shared" si="9"/>
        <v>700</v>
      </c>
      <c r="N22" s="74">
        <f t="shared" si="9"/>
        <v>700</v>
      </c>
      <c r="O22" s="75">
        <f t="shared" si="9"/>
        <v>640</v>
      </c>
      <c r="Q22" s="2"/>
      <c r="R22" s="27" t="s">
        <v>22</v>
      </c>
      <c r="S22" s="28">
        <f>O5*S2</f>
        <v>0</v>
      </c>
      <c r="T22" s="106">
        <f>SUM(S22:S24)</f>
        <v>12012</v>
      </c>
      <c r="U22" s="39" t="s">
        <v>43</v>
      </c>
    </row>
    <row r="23" spans="2:21">
      <c r="Q23" s="2"/>
      <c r="R23" s="27" t="s">
        <v>54</v>
      </c>
      <c r="S23" s="28">
        <f>O6*S2</f>
        <v>0</v>
      </c>
      <c r="T23" s="107"/>
      <c r="U23" s="85">
        <f>1/'2025'!S7*T22</f>
        <v>1.0010000000000002E-3</v>
      </c>
    </row>
    <row r="24" spans="2:21" ht="15" thickBot="1">
      <c r="Q24" s="2"/>
      <c r="R24" s="29" t="s">
        <v>24</v>
      </c>
      <c r="S24" s="30">
        <f>O17*S4</f>
        <v>12012</v>
      </c>
      <c r="T24" s="91"/>
      <c r="U24" s="86"/>
    </row>
    <row r="25" spans="2:21" ht="15" thickBot="1">
      <c r="Q25" s="2"/>
    </row>
    <row r="26" spans="2:21">
      <c r="Q26" s="2"/>
      <c r="R26" s="87" t="s">
        <v>33</v>
      </c>
      <c r="S26" s="88"/>
    </row>
    <row r="27" spans="2:21" ht="15" thickBot="1">
      <c r="Q27" s="2"/>
      <c r="R27" s="31" t="s">
        <v>23</v>
      </c>
      <c r="S27" s="32">
        <f>O7*S2</f>
        <v>0</v>
      </c>
      <c r="U27" s="38"/>
    </row>
    <row r="28" spans="2:21">
      <c r="Q28" s="2"/>
    </row>
    <row r="29" spans="2:21">
      <c r="Q29" s="2"/>
    </row>
    <row r="30" spans="2:21">
      <c r="Q30" s="2"/>
    </row>
    <row r="31" spans="2:21">
      <c r="Q31" s="2"/>
    </row>
    <row r="32" spans="2:21">
      <c r="Q32" s="2"/>
    </row>
    <row r="33" spans="2:17">
      <c r="Q33" s="2"/>
    </row>
    <row r="34" spans="2:17">
      <c r="Q34" s="2"/>
    </row>
    <row r="35" spans="2:17">
      <c r="Q35" s="2"/>
    </row>
    <row r="36" spans="2:17">
      <c r="Q36" s="2"/>
    </row>
    <row r="37" spans="2:17">
      <c r="Q37" s="2"/>
    </row>
    <row r="38" spans="2:17">
      <c r="Q38" s="2"/>
    </row>
    <row r="39" spans="2:17">
      <c r="Q39" s="2"/>
    </row>
    <row r="40" spans="2:17">
      <c r="Q40" s="2"/>
    </row>
    <row r="43" spans="2:17">
      <c r="B43" s="5" t="s">
        <v>65</v>
      </c>
      <c r="C43" s="5">
        <f>C8</f>
        <v>6500</v>
      </c>
      <c r="D43" s="5">
        <f t="shared" ref="D43:O43" si="10">D8</f>
        <v>7000</v>
      </c>
      <c r="E43" s="5">
        <f t="shared" si="10"/>
        <v>7000</v>
      </c>
      <c r="F43" s="5">
        <f t="shared" si="10"/>
        <v>7000</v>
      </c>
      <c r="G43" s="5">
        <f t="shared" si="10"/>
        <v>7000</v>
      </c>
      <c r="H43" s="5">
        <f t="shared" si="10"/>
        <v>7000</v>
      </c>
      <c r="I43" s="5">
        <f t="shared" si="10"/>
        <v>7000</v>
      </c>
      <c r="J43" s="5">
        <f t="shared" si="10"/>
        <v>7000</v>
      </c>
      <c r="K43" s="5">
        <f t="shared" si="10"/>
        <v>7000</v>
      </c>
      <c r="L43" s="5">
        <f t="shared" si="10"/>
        <v>7000</v>
      </c>
      <c r="M43" s="5">
        <f t="shared" si="10"/>
        <v>7000</v>
      </c>
      <c r="N43" s="5">
        <f t="shared" si="10"/>
        <v>7000</v>
      </c>
      <c r="O43" s="5">
        <f t="shared" si="10"/>
        <v>83500</v>
      </c>
    </row>
    <row r="44" spans="2:17">
      <c r="B44" s="5" t="s">
        <v>62</v>
      </c>
      <c r="C44" s="5" t="s">
        <v>2</v>
      </c>
      <c r="D44" s="5" t="s">
        <v>3</v>
      </c>
      <c r="E44" s="5" t="s">
        <v>4</v>
      </c>
      <c r="F44" s="5" t="s">
        <v>5</v>
      </c>
      <c r="G44" s="5" t="s">
        <v>6</v>
      </c>
      <c r="H44" s="5" t="s">
        <v>7</v>
      </c>
      <c r="I44" s="5" t="s">
        <v>8</v>
      </c>
      <c r="J44" s="5" t="s">
        <v>9</v>
      </c>
      <c r="K44" s="5" t="s">
        <v>27</v>
      </c>
      <c r="L44" s="5" t="s">
        <v>10</v>
      </c>
      <c r="M44" s="5" t="s">
        <v>26</v>
      </c>
      <c r="N44" s="5" t="s">
        <v>25</v>
      </c>
      <c r="O44" s="5" t="s">
        <v>11</v>
      </c>
    </row>
    <row r="45" spans="2:17">
      <c r="B45" s="76" t="s">
        <v>63</v>
      </c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>
        <f>SUM(C45:N45)</f>
        <v>0</v>
      </c>
    </row>
    <row r="46" spans="2:17">
      <c r="B46" s="76" t="s">
        <v>64</v>
      </c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>
        <f t="shared" ref="O46:O53" si="11">SUM(C46:N46)</f>
        <v>0</v>
      </c>
    </row>
    <row r="47" spans="2:17">
      <c r="B47" s="76" t="s">
        <v>66</v>
      </c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>
        <f t="shared" si="11"/>
        <v>0</v>
      </c>
    </row>
    <row r="48" spans="2:17">
      <c r="B48" s="76" t="s">
        <v>67</v>
      </c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>
        <f t="shared" si="11"/>
        <v>0</v>
      </c>
    </row>
    <row r="49" spans="2:15">
      <c r="B49" s="76" t="s">
        <v>68</v>
      </c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>
        <f t="shared" si="11"/>
        <v>0</v>
      </c>
    </row>
    <row r="50" spans="2:15">
      <c r="B50" s="76" t="s">
        <v>69</v>
      </c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>
        <f t="shared" si="11"/>
        <v>0</v>
      </c>
    </row>
    <row r="51" spans="2:15">
      <c r="B51" s="76" t="s">
        <v>71</v>
      </c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>
        <f t="shared" si="11"/>
        <v>0</v>
      </c>
    </row>
    <row r="52" spans="2:15">
      <c r="B52" s="77" t="s">
        <v>72</v>
      </c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6">
        <f t="shared" si="11"/>
        <v>0</v>
      </c>
    </row>
    <row r="53" spans="2:15" ht="15" thickBot="1">
      <c r="B53" s="77" t="s">
        <v>70</v>
      </c>
      <c r="C53" s="77">
        <f>C43-C45-C46-C47-C48-C49-C50-C51-C52</f>
        <v>6500</v>
      </c>
      <c r="D53" s="77">
        <f t="shared" ref="D53:N53" si="12">D43-D45-D46-D47-D48-D49-D50-D51-D52</f>
        <v>7000</v>
      </c>
      <c r="E53" s="77">
        <f t="shared" si="12"/>
        <v>7000</v>
      </c>
      <c r="F53" s="77">
        <f>(F43-F45-F46-F47-F48-F49-F50-F51-F52)</f>
        <v>7000</v>
      </c>
      <c r="G53" s="77">
        <f t="shared" si="12"/>
        <v>7000</v>
      </c>
      <c r="H53" s="77">
        <f t="shared" si="12"/>
        <v>7000</v>
      </c>
      <c r="I53" s="77">
        <f t="shared" si="12"/>
        <v>7000</v>
      </c>
      <c r="J53" s="77">
        <f t="shared" si="12"/>
        <v>7000</v>
      </c>
      <c r="K53" s="77">
        <f t="shared" si="12"/>
        <v>7000</v>
      </c>
      <c r="L53" s="77">
        <f t="shared" si="12"/>
        <v>7000</v>
      </c>
      <c r="M53" s="77">
        <f t="shared" si="12"/>
        <v>7000</v>
      </c>
      <c r="N53" s="77">
        <f t="shared" si="12"/>
        <v>7000</v>
      </c>
      <c r="O53" s="76">
        <f t="shared" si="11"/>
        <v>83500</v>
      </c>
    </row>
    <row r="54" spans="2:15" ht="15" thickBot="1">
      <c r="B54" s="78" t="s">
        <v>11</v>
      </c>
      <c r="C54" s="79">
        <f>SUM(C45:C53)</f>
        <v>6500</v>
      </c>
      <c r="D54" s="79">
        <f t="shared" ref="D54:O54" si="13">SUM(D45:D53)</f>
        <v>7000</v>
      </c>
      <c r="E54" s="79">
        <f t="shared" si="13"/>
        <v>7000</v>
      </c>
      <c r="F54" s="79">
        <f t="shared" si="13"/>
        <v>7000</v>
      </c>
      <c r="G54" s="79">
        <f t="shared" si="13"/>
        <v>7000</v>
      </c>
      <c r="H54" s="79">
        <f t="shared" si="13"/>
        <v>7000</v>
      </c>
      <c r="I54" s="79">
        <f t="shared" si="13"/>
        <v>7000</v>
      </c>
      <c r="J54" s="79">
        <f t="shared" si="13"/>
        <v>7000</v>
      </c>
      <c r="K54" s="79">
        <f t="shared" si="13"/>
        <v>7000</v>
      </c>
      <c r="L54" s="79">
        <f t="shared" si="13"/>
        <v>7000</v>
      </c>
      <c r="M54" s="79">
        <f t="shared" si="13"/>
        <v>7000</v>
      </c>
      <c r="N54" s="79">
        <f t="shared" si="13"/>
        <v>7000</v>
      </c>
      <c r="O54" s="79">
        <f t="shared" si="13"/>
        <v>83500</v>
      </c>
    </row>
  </sheetData>
  <mergeCells count="12">
    <mergeCell ref="T22:T24"/>
    <mergeCell ref="U23:U24"/>
    <mergeCell ref="R26:S26"/>
    <mergeCell ref="A1:P1"/>
    <mergeCell ref="R1:S1"/>
    <mergeCell ref="B3:O3"/>
    <mergeCell ref="P5:P6"/>
    <mergeCell ref="R6:S6"/>
    <mergeCell ref="R10:S10"/>
    <mergeCell ref="B13:O13"/>
    <mergeCell ref="R15:S15"/>
    <mergeCell ref="R21:S21"/>
  </mergeCells>
  <pageMargins left="0.7" right="0.7" top="0.78740157499999996" bottom="0.78740157499999996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workbookViewId="0">
      <selection activeCell="C15" sqref="C15:N15"/>
    </sheetView>
  </sheetViews>
  <sheetFormatPr baseColWidth="10" defaultRowHeight="14" x14ac:dyDescent="0"/>
  <cols>
    <col min="1" max="1" width="10.83203125" style="37"/>
    <col min="2" max="2" width="11.83203125" style="37" customWidth="1"/>
    <col min="3" max="14" width="9.5" style="37" customWidth="1"/>
    <col min="15" max="15" width="10.83203125" style="37"/>
    <col min="16" max="16" width="9.83203125" style="37" customWidth="1"/>
    <col min="17" max="17" width="2.83203125" style="37" customWidth="1"/>
    <col min="18" max="18" width="29.5" style="37" bestFit="1" customWidth="1"/>
    <col min="19" max="19" width="10.83203125" style="37"/>
    <col min="20" max="20" width="10.33203125" style="37" bestFit="1" customWidth="1"/>
    <col min="21" max="21" width="23.5" style="37" bestFit="1" customWidth="1"/>
    <col min="22" max="22" width="25.83203125" style="37" customWidth="1"/>
    <col min="23" max="16384" width="10.83203125" style="37"/>
  </cols>
  <sheetData>
    <row r="1" spans="1:22" ht="25">
      <c r="A1" s="92">
        <v>2039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2"/>
      <c r="R1" s="93" t="s">
        <v>28</v>
      </c>
      <c r="S1" s="94"/>
    </row>
    <row r="2" spans="1:22">
      <c r="Q2" s="2"/>
      <c r="R2" s="14" t="s">
        <v>74</v>
      </c>
      <c r="S2" s="15">
        <v>0</v>
      </c>
    </row>
    <row r="3" spans="1:22" ht="25">
      <c r="B3" s="96" t="s">
        <v>37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Q3" s="2"/>
      <c r="R3" s="112" t="s">
        <v>86</v>
      </c>
      <c r="S3" s="49">
        <f>'2038'!S3</f>
        <v>10000</v>
      </c>
    </row>
    <row r="4" spans="1:22" ht="15" thickBot="1">
      <c r="B4" s="5"/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27</v>
      </c>
      <c r="L4" s="5" t="s">
        <v>10</v>
      </c>
      <c r="M4" s="5" t="s">
        <v>26</v>
      </c>
      <c r="N4" s="5" t="s">
        <v>25</v>
      </c>
      <c r="O4" s="5" t="s">
        <v>11</v>
      </c>
      <c r="Q4" s="2"/>
      <c r="R4" s="16" t="s">
        <v>24</v>
      </c>
      <c r="S4" s="36">
        <f>'2038'!S4</f>
        <v>9.0999999999999998E-2</v>
      </c>
    </row>
    <row r="5" spans="1:22" ht="15" thickBot="1">
      <c r="B5" s="3" t="s">
        <v>13</v>
      </c>
      <c r="C5" s="37">
        <v>5000</v>
      </c>
      <c r="D5" s="37">
        <v>1000</v>
      </c>
      <c r="E5" s="37">
        <v>1000</v>
      </c>
      <c r="F5" s="37">
        <v>1000</v>
      </c>
      <c r="G5" s="37">
        <v>1000</v>
      </c>
      <c r="H5" s="37">
        <v>1000</v>
      </c>
      <c r="I5" s="37">
        <v>1000</v>
      </c>
      <c r="J5" s="37">
        <v>1000</v>
      </c>
      <c r="K5" s="37">
        <v>1000</v>
      </c>
      <c r="L5" s="37">
        <v>1000</v>
      </c>
      <c r="M5" s="37">
        <v>1000</v>
      </c>
      <c r="N5" s="37">
        <v>1000</v>
      </c>
      <c r="O5" s="5">
        <f t="shared" ref="O5:O7" si="0">SUM(C5:N5)</f>
        <v>16000</v>
      </c>
      <c r="P5" s="103">
        <f>O6+O5</f>
        <v>71500</v>
      </c>
      <c r="Q5" s="2"/>
    </row>
    <row r="6" spans="1:22" ht="15" thickTop="1">
      <c r="B6" s="4" t="s">
        <v>14</v>
      </c>
      <c r="C6" s="37">
        <v>500</v>
      </c>
      <c r="D6" s="37">
        <v>5000</v>
      </c>
      <c r="E6" s="37">
        <v>5000</v>
      </c>
      <c r="F6" s="37">
        <v>5000</v>
      </c>
      <c r="G6" s="37">
        <v>5000</v>
      </c>
      <c r="H6" s="37">
        <v>5000</v>
      </c>
      <c r="I6" s="37">
        <v>5000</v>
      </c>
      <c r="J6" s="37">
        <v>5000</v>
      </c>
      <c r="K6" s="37">
        <v>5000</v>
      </c>
      <c r="L6" s="37">
        <v>5000</v>
      </c>
      <c r="M6" s="37">
        <v>5000</v>
      </c>
      <c r="N6" s="37">
        <v>5000</v>
      </c>
      <c r="O6" s="5">
        <f t="shared" si="0"/>
        <v>55500</v>
      </c>
      <c r="P6" s="103"/>
      <c r="Q6" s="2"/>
      <c r="R6" s="104" t="s">
        <v>29</v>
      </c>
      <c r="S6" s="105"/>
      <c r="U6" s="55" t="s">
        <v>36</v>
      </c>
      <c r="V6" s="56" t="s">
        <v>53</v>
      </c>
    </row>
    <row r="7" spans="1:22" ht="15" thickBot="1">
      <c r="B7" s="8" t="s">
        <v>16</v>
      </c>
      <c r="C7" s="9">
        <v>1000</v>
      </c>
      <c r="D7" s="9">
        <v>1000</v>
      </c>
      <c r="E7" s="9">
        <v>1000</v>
      </c>
      <c r="F7" s="9">
        <v>1000</v>
      </c>
      <c r="G7" s="9">
        <v>1000</v>
      </c>
      <c r="H7" s="9">
        <v>1000</v>
      </c>
      <c r="I7" s="9">
        <v>1000</v>
      </c>
      <c r="J7" s="9">
        <v>1000</v>
      </c>
      <c r="K7" s="9">
        <v>1000</v>
      </c>
      <c r="L7" s="9">
        <v>1000</v>
      </c>
      <c r="M7" s="9">
        <v>1000</v>
      </c>
      <c r="N7" s="9">
        <v>1000</v>
      </c>
      <c r="O7" s="54">
        <f t="shared" si="0"/>
        <v>12000</v>
      </c>
      <c r="Q7" s="12"/>
      <c r="R7" s="17" t="s">
        <v>35</v>
      </c>
      <c r="S7" s="82">
        <f>'2038'!U7</f>
        <v>11041647.431238629</v>
      </c>
      <c r="T7" s="11"/>
      <c r="U7" s="57">
        <f>S7-T22</f>
        <v>11029635.431238629</v>
      </c>
      <c r="V7" s="60">
        <f>U7/T22</f>
        <v>918.21806786868376</v>
      </c>
    </row>
    <row r="8" spans="1:22" ht="16" thickTop="1" thickBot="1">
      <c r="B8" s="33" t="s">
        <v>12</v>
      </c>
      <c r="C8" s="33">
        <f t="shared" ref="C8:O8" si="1">SUM(C5:C7)</f>
        <v>6500</v>
      </c>
      <c r="D8" s="33">
        <f t="shared" si="1"/>
        <v>7000</v>
      </c>
      <c r="E8" s="33">
        <f t="shared" si="1"/>
        <v>7000</v>
      </c>
      <c r="F8" s="33">
        <f t="shared" si="1"/>
        <v>7000</v>
      </c>
      <c r="G8" s="33">
        <f t="shared" si="1"/>
        <v>7000</v>
      </c>
      <c r="H8" s="33">
        <f t="shared" si="1"/>
        <v>7000</v>
      </c>
      <c r="I8" s="33">
        <f t="shared" si="1"/>
        <v>7000</v>
      </c>
      <c r="J8" s="33">
        <f t="shared" si="1"/>
        <v>7000</v>
      </c>
      <c r="K8" s="33">
        <f t="shared" si="1"/>
        <v>7000</v>
      </c>
      <c r="L8" s="33">
        <f t="shared" si="1"/>
        <v>7000</v>
      </c>
      <c r="M8" s="33">
        <f t="shared" si="1"/>
        <v>7000</v>
      </c>
      <c r="N8" s="34">
        <f t="shared" si="1"/>
        <v>7000</v>
      </c>
      <c r="O8" s="33">
        <f t="shared" si="1"/>
        <v>83500</v>
      </c>
      <c r="Q8" s="12"/>
      <c r="R8" s="18" t="s">
        <v>34</v>
      </c>
      <c r="S8" s="83">
        <f>'2038'!U8</f>
        <v>4633243.1185151516</v>
      </c>
      <c r="T8" s="11"/>
      <c r="U8" s="58">
        <f>S8-((O6*S2)-O16*S4)</f>
        <v>4633925.6185151516</v>
      </c>
      <c r="V8" s="61">
        <f>U8/U9</f>
        <v>-6789.6346058830059</v>
      </c>
    </row>
    <row r="9" spans="1:22" ht="15" thickBot="1">
      <c r="B9" s="41" t="s">
        <v>40</v>
      </c>
      <c r="C9" s="42">
        <f t="shared" ref="C9:N9" si="2">IF(C8&gt;0,(C5+C6)/C8,"")</f>
        <v>0.84615384615384615</v>
      </c>
      <c r="D9" s="42">
        <f t="shared" si="2"/>
        <v>0.8571428571428571</v>
      </c>
      <c r="E9" s="42">
        <f t="shared" si="2"/>
        <v>0.8571428571428571</v>
      </c>
      <c r="F9" s="42">
        <f t="shared" si="2"/>
        <v>0.8571428571428571</v>
      </c>
      <c r="G9" s="42">
        <f t="shared" si="2"/>
        <v>0.8571428571428571</v>
      </c>
      <c r="H9" s="42">
        <f t="shared" si="2"/>
        <v>0.8571428571428571</v>
      </c>
      <c r="I9" s="42">
        <f t="shared" si="2"/>
        <v>0.8571428571428571</v>
      </c>
      <c r="J9" s="42">
        <f t="shared" si="2"/>
        <v>0.8571428571428571</v>
      </c>
      <c r="K9" s="42">
        <f t="shared" si="2"/>
        <v>0.8571428571428571</v>
      </c>
      <c r="L9" s="42">
        <f t="shared" si="2"/>
        <v>0.8571428571428571</v>
      </c>
      <c r="M9" s="42">
        <f t="shared" si="2"/>
        <v>0.8571428571428571</v>
      </c>
      <c r="N9" s="42">
        <f t="shared" si="2"/>
        <v>0.8571428571428571</v>
      </c>
      <c r="O9" s="46">
        <f>(O5+O6)/O8</f>
        <v>0.85628742514970058</v>
      </c>
      <c r="Q9" s="2"/>
      <c r="U9" s="65">
        <f>S8-U8</f>
        <v>-682.5</v>
      </c>
    </row>
    <row r="10" spans="1:22">
      <c r="B10" s="43" t="s">
        <v>41</v>
      </c>
      <c r="C10" s="40">
        <f t="shared" ref="C10:O10" si="3">IF(C8&gt;0,(C5+C6)/C18,"")</f>
        <v>0.11695657721260579</v>
      </c>
      <c r="D10" s="40">
        <f t="shared" si="3"/>
        <v>9.5348578511608689E-2</v>
      </c>
      <c r="E10" s="40">
        <f t="shared" si="3"/>
        <v>5.957345406886691E-2</v>
      </c>
      <c r="F10" s="40">
        <f t="shared" si="3"/>
        <v>4.4987628402189395E-2</v>
      </c>
      <c r="G10" s="40">
        <f t="shared" si="3"/>
        <v>3.7766727513060996E-2</v>
      </c>
      <c r="H10" s="40">
        <f t="shared" si="3"/>
        <v>3.5855145213338116E-2</v>
      </c>
      <c r="I10" s="40">
        <f t="shared" si="3"/>
        <v>3.5366306519778609E-2</v>
      </c>
      <c r="J10" s="40">
        <f t="shared" si="3"/>
        <v>4.2042126210462882E-2</v>
      </c>
      <c r="K10" s="40">
        <f t="shared" si="3"/>
        <v>5.3049459779667914E-2</v>
      </c>
      <c r="L10" s="40">
        <f t="shared" si="3"/>
        <v>6.9679936823523941E-2</v>
      </c>
      <c r="M10" s="40">
        <f t="shared" si="3"/>
        <v>0.13226930029540143</v>
      </c>
      <c r="N10" s="40">
        <f t="shared" si="3"/>
        <v>0.16237280796709244</v>
      </c>
      <c r="O10" s="47">
        <f t="shared" si="3"/>
        <v>5.6560191118072367E-2</v>
      </c>
      <c r="Q10" s="2"/>
      <c r="R10" s="97" t="s">
        <v>30</v>
      </c>
      <c r="S10" s="98"/>
    </row>
    <row r="11" spans="1:22" ht="15" thickBot="1">
      <c r="B11" s="44" t="s">
        <v>42</v>
      </c>
      <c r="C11" s="45">
        <f t="shared" ref="C11:N11" si="4">IF(C8&gt;0,C5*$S$2+C6*$S$2+C17*$S$4,"")</f>
        <v>1001</v>
      </c>
      <c r="D11" s="45">
        <f t="shared" si="4"/>
        <v>1001</v>
      </c>
      <c r="E11" s="45">
        <f t="shared" si="4"/>
        <v>1001</v>
      </c>
      <c r="F11" s="45">
        <f t="shared" si="4"/>
        <v>1001</v>
      </c>
      <c r="G11" s="45">
        <f t="shared" si="4"/>
        <v>1001</v>
      </c>
      <c r="H11" s="45">
        <f t="shared" si="4"/>
        <v>1001</v>
      </c>
      <c r="I11" s="45">
        <f t="shared" si="4"/>
        <v>1001</v>
      </c>
      <c r="J11" s="45">
        <f t="shared" si="4"/>
        <v>1001</v>
      </c>
      <c r="K11" s="45">
        <f t="shared" si="4"/>
        <v>1001</v>
      </c>
      <c r="L11" s="45">
        <f t="shared" si="4"/>
        <v>1001</v>
      </c>
      <c r="M11" s="45">
        <f t="shared" si="4"/>
        <v>1001</v>
      </c>
      <c r="N11" s="45">
        <f t="shared" si="4"/>
        <v>1001</v>
      </c>
      <c r="O11" s="48">
        <f>SUM(C11:N11)</f>
        <v>12012</v>
      </c>
      <c r="Q11" s="2"/>
      <c r="R11" s="19" t="s">
        <v>0</v>
      </c>
      <c r="S11" s="20">
        <f>P5/O8</f>
        <v>0.85628742514970058</v>
      </c>
    </row>
    <row r="12" spans="1:22" ht="15" thickBot="1">
      <c r="Q12" s="2"/>
      <c r="R12" s="21" t="s">
        <v>1</v>
      </c>
      <c r="S12" s="22">
        <f>P5/O18</f>
        <v>5.6560191118072367E-2</v>
      </c>
    </row>
    <row r="13" spans="1:22" ht="25">
      <c r="B13" s="95" t="s">
        <v>38</v>
      </c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Q13" s="2"/>
    </row>
    <row r="14" spans="1:22" ht="15" thickBot="1">
      <c r="B14" s="5"/>
      <c r="C14" s="5" t="s">
        <v>2</v>
      </c>
      <c r="D14" s="5" t="s">
        <v>3</v>
      </c>
      <c r="E14" s="5" t="s">
        <v>4</v>
      </c>
      <c r="F14" s="5" t="s">
        <v>5</v>
      </c>
      <c r="G14" s="5" t="s">
        <v>6</v>
      </c>
      <c r="H14" s="5" t="s">
        <v>7</v>
      </c>
      <c r="I14" s="5" t="s">
        <v>8</v>
      </c>
      <c r="J14" s="5" t="s">
        <v>9</v>
      </c>
      <c r="K14" s="5" t="s">
        <v>27</v>
      </c>
      <c r="L14" s="5" t="s">
        <v>10</v>
      </c>
      <c r="M14" s="5" t="s">
        <v>26</v>
      </c>
      <c r="N14" s="5" t="s">
        <v>25</v>
      </c>
      <c r="O14" s="5" t="s">
        <v>11</v>
      </c>
      <c r="Q14" s="2"/>
      <c r="S14" s="11"/>
    </row>
    <row r="15" spans="1:22">
      <c r="B15" s="3" t="s">
        <v>13</v>
      </c>
      <c r="C15" s="123">
        <v>35401</v>
      </c>
      <c r="D15" s="123">
        <v>51302</v>
      </c>
      <c r="E15" s="123">
        <v>89091</v>
      </c>
      <c r="F15" s="123">
        <v>121745</v>
      </c>
      <c r="G15" s="123">
        <v>147245</v>
      </c>
      <c r="H15" s="123">
        <v>155715</v>
      </c>
      <c r="I15" s="123">
        <v>158028</v>
      </c>
      <c r="J15" s="123">
        <v>131089</v>
      </c>
      <c r="K15" s="123">
        <v>101477</v>
      </c>
      <c r="L15" s="123">
        <v>74483</v>
      </c>
      <c r="M15" s="123">
        <v>33737</v>
      </c>
      <c r="N15" s="123">
        <v>25327</v>
      </c>
      <c r="O15" s="5">
        <f t="shared" ref="O15:O17" si="5">SUM(C15:N15)</f>
        <v>1124640</v>
      </c>
      <c r="Q15" s="2"/>
      <c r="R15" s="99" t="s">
        <v>31</v>
      </c>
      <c r="S15" s="100"/>
    </row>
    <row r="16" spans="1:22">
      <c r="B16" s="1" t="s">
        <v>15</v>
      </c>
      <c r="C16" s="37">
        <v>625</v>
      </c>
      <c r="D16" s="37">
        <v>625</v>
      </c>
      <c r="E16" s="37">
        <v>625</v>
      </c>
      <c r="F16" s="37">
        <v>625</v>
      </c>
      <c r="G16" s="37">
        <v>625</v>
      </c>
      <c r="H16" s="37">
        <v>625</v>
      </c>
      <c r="I16" s="37">
        <v>625</v>
      </c>
      <c r="J16" s="37">
        <v>625</v>
      </c>
      <c r="K16" s="37">
        <v>625</v>
      </c>
      <c r="L16" s="37">
        <v>625</v>
      </c>
      <c r="M16" s="37">
        <v>625</v>
      </c>
      <c r="N16" s="37">
        <v>625</v>
      </c>
      <c r="O16" s="5">
        <f t="shared" si="5"/>
        <v>7500</v>
      </c>
      <c r="Q16" s="2"/>
      <c r="R16" s="23" t="s">
        <v>19</v>
      </c>
      <c r="S16" s="24">
        <f>O16</f>
        <v>7500</v>
      </c>
      <c r="U16" s="59" t="s">
        <v>48</v>
      </c>
    </row>
    <row r="17" spans="2:21" ht="15" thickBot="1">
      <c r="B17" s="10" t="s">
        <v>17</v>
      </c>
      <c r="C17" s="9">
        <v>11000</v>
      </c>
      <c r="D17" s="9">
        <v>11000</v>
      </c>
      <c r="E17" s="9">
        <v>11000</v>
      </c>
      <c r="F17" s="9">
        <v>11000</v>
      </c>
      <c r="G17" s="9">
        <v>11000</v>
      </c>
      <c r="H17" s="9">
        <v>11000</v>
      </c>
      <c r="I17" s="9">
        <v>11000</v>
      </c>
      <c r="J17" s="9">
        <v>11000</v>
      </c>
      <c r="K17" s="9">
        <v>11000</v>
      </c>
      <c r="L17" s="9">
        <v>11000</v>
      </c>
      <c r="M17" s="9">
        <v>11000</v>
      </c>
      <c r="N17" s="9">
        <v>11000</v>
      </c>
      <c r="O17" s="54">
        <f t="shared" si="5"/>
        <v>132000</v>
      </c>
      <c r="Q17" s="2"/>
      <c r="R17" s="23" t="s">
        <v>18</v>
      </c>
      <c r="S17" s="24">
        <f>O6</f>
        <v>55500</v>
      </c>
      <c r="U17" s="66" t="s">
        <v>49</v>
      </c>
    </row>
    <row r="18" spans="2:21" ht="16" thickTop="1" thickBot="1">
      <c r="B18" s="6" t="s">
        <v>12</v>
      </c>
      <c r="C18" s="6">
        <f>SUM(C15:C17)</f>
        <v>47026</v>
      </c>
      <c r="D18" s="6">
        <f t="shared" ref="D18:N18" si="6">SUM(D15:D17)</f>
        <v>62927</v>
      </c>
      <c r="E18" s="6">
        <f t="shared" si="6"/>
        <v>100716</v>
      </c>
      <c r="F18" s="6">
        <f t="shared" si="6"/>
        <v>133370</v>
      </c>
      <c r="G18" s="6">
        <f t="shared" si="6"/>
        <v>158870</v>
      </c>
      <c r="H18" s="6">
        <f t="shared" si="6"/>
        <v>167340</v>
      </c>
      <c r="I18" s="6">
        <f t="shared" si="6"/>
        <v>169653</v>
      </c>
      <c r="J18" s="6">
        <f t="shared" si="6"/>
        <v>142714</v>
      </c>
      <c r="K18" s="6">
        <f t="shared" si="6"/>
        <v>113102</v>
      </c>
      <c r="L18" s="6">
        <f t="shared" si="6"/>
        <v>86108</v>
      </c>
      <c r="M18" s="6">
        <f t="shared" si="6"/>
        <v>45362</v>
      </c>
      <c r="N18" s="7">
        <f t="shared" si="6"/>
        <v>36952</v>
      </c>
      <c r="O18" s="6">
        <f>SUM(O15:O17)</f>
        <v>1264140</v>
      </c>
      <c r="Q18" s="2"/>
      <c r="R18" s="23" t="s">
        <v>20</v>
      </c>
      <c r="S18" s="24">
        <f>100/S16*S17</f>
        <v>740</v>
      </c>
      <c r="U18" s="59" t="s">
        <v>50</v>
      </c>
    </row>
    <row r="19" spans="2:21" ht="15" thickBot="1">
      <c r="B19" s="41" t="s">
        <v>44</v>
      </c>
      <c r="C19" s="50">
        <f>IF(C18&gt;0,C18/$S$3,"")</f>
        <v>4.7026000000000003</v>
      </c>
      <c r="D19" s="50">
        <f t="shared" ref="D19:N19" si="7">IF(D18&gt;0,D18/$S$3,"")</f>
        <v>6.2927</v>
      </c>
      <c r="E19" s="50">
        <f t="shared" si="7"/>
        <v>10.0716</v>
      </c>
      <c r="F19" s="50">
        <f t="shared" si="7"/>
        <v>13.337</v>
      </c>
      <c r="G19" s="50">
        <f t="shared" si="7"/>
        <v>15.887</v>
      </c>
      <c r="H19" s="50">
        <f t="shared" si="7"/>
        <v>16.734000000000002</v>
      </c>
      <c r="I19" s="50">
        <f t="shared" si="7"/>
        <v>16.965299999999999</v>
      </c>
      <c r="J19" s="50">
        <f t="shared" si="7"/>
        <v>14.2714</v>
      </c>
      <c r="K19" s="50">
        <f t="shared" si="7"/>
        <v>11.3102</v>
      </c>
      <c r="L19" s="50">
        <f t="shared" si="7"/>
        <v>8.6107999999999993</v>
      </c>
      <c r="M19" s="50">
        <f t="shared" si="7"/>
        <v>4.5362</v>
      </c>
      <c r="N19" s="50">
        <f t="shared" si="7"/>
        <v>3.6951999999999998</v>
      </c>
      <c r="O19" s="53">
        <f>SUM(C19:N19)</f>
        <v>126.41399999999999</v>
      </c>
      <c r="Q19" s="2"/>
      <c r="R19" s="25" t="s">
        <v>21</v>
      </c>
      <c r="S19" s="26">
        <f>100-S18</f>
        <v>-640</v>
      </c>
    </row>
    <row r="20" spans="2:21" ht="15" thickBot="1">
      <c r="B20" s="43" t="s">
        <v>46</v>
      </c>
      <c r="C20" s="51">
        <f>IF(C8&gt;0,C16/31,"")</f>
        <v>20.161290322580644</v>
      </c>
      <c r="D20" s="51">
        <f>IF(D8&gt;0,D16/28,"")</f>
        <v>22.321428571428573</v>
      </c>
      <c r="E20" s="51">
        <f>IF(E8&gt;0,E16/31,"")</f>
        <v>20.161290322580644</v>
      </c>
      <c r="F20" s="51">
        <f>IF(F8&gt;0,F16/30,"")</f>
        <v>20.833333333333332</v>
      </c>
      <c r="G20" s="51">
        <f>IF(G8&gt;0,G16/31,"")</f>
        <v>20.161290322580644</v>
      </c>
      <c r="H20" s="51">
        <f>IF(H8&gt;0,H16/30,"")</f>
        <v>20.833333333333332</v>
      </c>
      <c r="I20" s="51">
        <f>IF(I8&gt;0,I16/31,"")</f>
        <v>20.161290322580644</v>
      </c>
      <c r="J20" s="51">
        <f>IF(J8&gt;0,J16/31,"")</f>
        <v>20.161290322580644</v>
      </c>
      <c r="K20" s="51">
        <f>IF(K8&gt;0,K16/30,"")</f>
        <v>20.833333333333332</v>
      </c>
      <c r="L20" s="51">
        <f>IF(L8&gt;0,L16/31,"")</f>
        <v>20.161290322580644</v>
      </c>
      <c r="M20" s="51">
        <f>IF(M8&gt;0,M16/30,"")</f>
        <v>20.833333333333332</v>
      </c>
      <c r="N20" s="51">
        <f>IF(N8&gt;0,N16/31,"")</f>
        <v>20.161290322580644</v>
      </c>
      <c r="O20" s="52">
        <f>SUM(C20:N20)/COUNT(C20:N20)</f>
        <v>20.565316180235534</v>
      </c>
      <c r="Q20" s="2"/>
    </row>
    <row r="21" spans="2:21" ht="15" thickBot="1">
      <c r="B21" s="43" t="s">
        <v>47</v>
      </c>
      <c r="C21" s="40">
        <f>IF(C18&gt;0,C17/C18,"")</f>
        <v>0.23391315442521157</v>
      </c>
      <c r="D21" s="40">
        <f t="shared" ref="D21:N21" si="8">IF(D18&gt;0,D17/D18,"")</f>
        <v>0.1748057272712826</v>
      </c>
      <c r="E21" s="40">
        <f t="shared" si="8"/>
        <v>0.109217999126256</v>
      </c>
      <c r="F21" s="40">
        <f t="shared" si="8"/>
        <v>8.2477318737347233E-2</v>
      </c>
      <c r="G21" s="40">
        <f t="shared" si="8"/>
        <v>6.923900044061182E-2</v>
      </c>
      <c r="H21" s="40">
        <f t="shared" si="8"/>
        <v>6.5734432891119882E-2</v>
      </c>
      <c r="I21" s="40">
        <f t="shared" si="8"/>
        <v>6.483822861959411E-2</v>
      </c>
      <c r="J21" s="40">
        <f t="shared" si="8"/>
        <v>7.7077231385848627E-2</v>
      </c>
      <c r="K21" s="40">
        <f t="shared" si="8"/>
        <v>9.7257342929391172E-2</v>
      </c>
      <c r="L21" s="40">
        <f t="shared" si="8"/>
        <v>0.12774655084312725</v>
      </c>
      <c r="M21" s="40">
        <f t="shared" si="8"/>
        <v>0.24249371720823598</v>
      </c>
      <c r="N21" s="40">
        <f t="shared" si="8"/>
        <v>0.29768348127300281</v>
      </c>
      <c r="O21" s="47">
        <f>O17/O18</f>
        <v>0.1044188143718259</v>
      </c>
      <c r="Q21" s="2"/>
      <c r="R21" s="101" t="s">
        <v>32</v>
      </c>
      <c r="S21" s="102"/>
    </row>
    <row r="22" spans="2:21" ht="15" thickBot="1">
      <c r="B22" s="44" t="s">
        <v>51</v>
      </c>
      <c r="C22" s="74">
        <f t="shared" ref="C22:O22" si="9">IF(C8&gt;0,100/C16*C6-100,"")</f>
        <v>-20</v>
      </c>
      <c r="D22" s="74">
        <f t="shared" si="9"/>
        <v>700</v>
      </c>
      <c r="E22" s="74">
        <f t="shared" si="9"/>
        <v>700</v>
      </c>
      <c r="F22" s="74">
        <f t="shared" si="9"/>
        <v>700</v>
      </c>
      <c r="G22" s="74">
        <f t="shared" si="9"/>
        <v>700</v>
      </c>
      <c r="H22" s="74">
        <f t="shared" si="9"/>
        <v>700</v>
      </c>
      <c r="I22" s="74">
        <f t="shared" si="9"/>
        <v>700</v>
      </c>
      <c r="J22" s="74">
        <f t="shared" si="9"/>
        <v>700</v>
      </c>
      <c r="K22" s="74">
        <f t="shared" si="9"/>
        <v>700</v>
      </c>
      <c r="L22" s="74">
        <f t="shared" si="9"/>
        <v>700</v>
      </c>
      <c r="M22" s="74">
        <f t="shared" si="9"/>
        <v>700</v>
      </c>
      <c r="N22" s="74">
        <f t="shared" si="9"/>
        <v>700</v>
      </c>
      <c r="O22" s="75">
        <f t="shared" si="9"/>
        <v>640</v>
      </c>
      <c r="Q22" s="2"/>
      <c r="R22" s="27" t="s">
        <v>22</v>
      </c>
      <c r="S22" s="28">
        <f>O5*S2</f>
        <v>0</v>
      </c>
      <c r="T22" s="106">
        <f>SUM(S22:S24)</f>
        <v>12012</v>
      </c>
      <c r="U22" s="39" t="s">
        <v>43</v>
      </c>
    </row>
    <row r="23" spans="2:21">
      <c r="Q23" s="2"/>
      <c r="R23" s="27" t="s">
        <v>54</v>
      </c>
      <c r="S23" s="28">
        <f>O6*S2</f>
        <v>0</v>
      </c>
      <c r="T23" s="107"/>
      <c r="U23" s="85">
        <f>1/'2025'!S7*T22</f>
        <v>1.0010000000000002E-3</v>
      </c>
    </row>
    <row r="24" spans="2:21" ht="15" thickBot="1">
      <c r="Q24" s="2"/>
      <c r="R24" s="29" t="s">
        <v>24</v>
      </c>
      <c r="S24" s="30">
        <f>O17*S4</f>
        <v>12012</v>
      </c>
      <c r="T24" s="91"/>
      <c r="U24" s="86"/>
    </row>
    <row r="25" spans="2:21" ht="15" thickBot="1">
      <c r="Q25" s="2"/>
    </row>
    <row r="26" spans="2:21">
      <c r="Q26" s="2"/>
      <c r="R26" s="87" t="s">
        <v>33</v>
      </c>
      <c r="S26" s="88"/>
    </row>
    <row r="27" spans="2:21" ht="15" thickBot="1">
      <c r="Q27" s="2"/>
      <c r="R27" s="31" t="s">
        <v>23</v>
      </c>
      <c r="S27" s="32">
        <f>O7*S2</f>
        <v>0</v>
      </c>
      <c r="U27" s="38"/>
    </row>
    <row r="28" spans="2:21">
      <c r="Q28" s="2"/>
    </row>
    <row r="29" spans="2:21">
      <c r="Q29" s="2"/>
    </row>
    <row r="30" spans="2:21">
      <c r="Q30" s="2"/>
    </row>
    <row r="31" spans="2:21">
      <c r="Q31" s="2"/>
    </row>
    <row r="32" spans="2:21">
      <c r="Q32" s="2"/>
    </row>
    <row r="33" spans="2:17">
      <c r="Q33" s="2"/>
    </row>
    <row r="34" spans="2:17">
      <c r="Q34" s="2"/>
    </row>
    <row r="35" spans="2:17">
      <c r="Q35" s="2"/>
    </row>
    <row r="36" spans="2:17">
      <c r="Q36" s="2"/>
    </row>
    <row r="37" spans="2:17">
      <c r="Q37" s="2"/>
    </row>
    <row r="38" spans="2:17">
      <c r="Q38" s="2"/>
    </row>
    <row r="39" spans="2:17">
      <c r="Q39" s="2"/>
    </row>
    <row r="40" spans="2:17">
      <c r="Q40" s="2"/>
    </row>
    <row r="43" spans="2:17">
      <c r="B43" s="5" t="s">
        <v>65</v>
      </c>
      <c r="C43" s="5">
        <f>C8</f>
        <v>6500</v>
      </c>
      <c r="D43" s="5">
        <f t="shared" ref="D43:O43" si="10">D8</f>
        <v>7000</v>
      </c>
      <c r="E43" s="5">
        <f t="shared" si="10"/>
        <v>7000</v>
      </c>
      <c r="F43" s="5">
        <f t="shared" si="10"/>
        <v>7000</v>
      </c>
      <c r="G43" s="5">
        <f t="shared" si="10"/>
        <v>7000</v>
      </c>
      <c r="H43" s="5">
        <f t="shared" si="10"/>
        <v>7000</v>
      </c>
      <c r="I43" s="5">
        <f t="shared" si="10"/>
        <v>7000</v>
      </c>
      <c r="J43" s="5">
        <f t="shared" si="10"/>
        <v>7000</v>
      </c>
      <c r="K43" s="5">
        <f t="shared" si="10"/>
        <v>7000</v>
      </c>
      <c r="L43" s="5">
        <f t="shared" si="10"/>
        <v>7000</v>
      </c>
      <c r="M43" s="5">
        <f t="shared" si="10"/>
        <v>7000</v>
      </c>
      <c r="N43" s="5">
        <f t="shared" si="10"/>
        <v>7000</v>
      </c>
      <c r="O43" s="5">
        <f t="shared" si="10"/>
        <v>83500</v>
      </c>
    </row>
    <row r="44" spans="2:17">
      <c r="B44" s="5" t="s">
        <v>62</v>
      </c>
      <c r="C44" s="5" t="s">
        <v>2</v>
      </c>
      <c r="D44" s="5" t="s">
        <v>3</v>
      </c>
      <c r="E44" s="5" t="s">
        <v>4</v>
      </c>
      <c r="F44" s="5" t="s">
        <v>5</v>
      </c>
      <c r="G44" s="5" t="s">
        <v>6</v>
      </c>
      <c r="H44" s="5" t="s">
        <v>7</v>
      </c>
      <c r="I44" s="5" t="s">
        <v>8</v>
      </c>
      <c r="J44" s="5" t="s">
        <v>9</v>
      </c>
      <c r="K44" s="5" t="s">
        <v>27</v>
      </c>
      <c r="L44" s="5" t="s">
        <v>10</v>
      </c>
      <c r="M44" s="5" t="s">
        <v>26</v>
      </c>
      <c r="N44" s="5" t="s">
        <v>25</v>
      </c>
      <c r="O44" s="5" t="s">
        <v>11</v>
      </c>
    </row>
    <row r="45" spans="2:17">
      <c r="B45" s="76" t="s">
        <v>63</v>
      </c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>
        <f>SUM(C45:N45)</f>
        <v>0</v>
      </c>
    </row>
    <row r="46" spans="2:17">
      <c r="B46" s="76" t="s">
        <v>64</v>
      </c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>
        <f t="shared" ref="O46:O53" si="11">SUM(C46:N46)</f>
        <v>0</v>
      </c>
    </row>
    <row r="47" spans="2:17">
      <c r="B47" s="76" t="s">
        <v>66</v>
      </c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>
        <f t="shared" si="11"/>
        <v>0</v>
      </c>
    </row>
    <row r="48" spans="2:17">
      <c r="B48" s="76" t="s">
        <v>67</v>
      </c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>
        <f t="shared" si="11"/>
        <v>0</v>
      </c>
    </row>
    <row r="49" spans="2:15">
      <c r="B49" s="76" t="s">
        <v>68</v>
      </c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>
        <f t="shared" si="11"/>
        <v>0</v>
      </c>
    </row>
    <row r="50" spans="2:15">
      <c r="B50" s="76" t="s">
        <v>69</v>
      </c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>
        <f t="shared" si="11"/>
        <v>0</v>
      </c>
    </row>
    <row r="51" spans="2:15">
      <c r="B51" s="76" t="s">
        <v>71</v>
      </c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>
        <f t="shared" si="11"/>
        <v>0</v>
      </c>
    </row>
    <row r="52" spans="2:15">
      <c r="B52" s="77" t="s">
        <v>72</v>
      </c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6">
        <f t="shared" si="11"/>
        <v>0</v>
      </c>
    </row>
    <row r="53" spans="2:15" ht="15" thickBot="1">
      <c r="B53" s="77" t="s">
        <v>70</v>
      </c>
      <c r="C53" s="77">
        <f>C43-C45-C46-C47-C48-C49-C50-C51-C52</f>
        <v>6500</v>
      </c>
      <c r="D53" s="77">
        <f t="shared" ref="D53:N53" si="12">D43-D45-D46-D47-D48-D49-D50-D51-D52</f>
        <v>7000</v>
      </c>
      <c r="E53" s="77">
        <f t="shared" si="12"/>
        <v>7000</v>
      </c>
      <c r="F53" s="77">
        <f>(F43-F45-F46-F47-F48-F49-F50-F51-F52)</f>
        <v>7000</v>
      </c>
      <c r="G53" s="77">
        <f t="shared" si="12"/>
        <v>7000</v>
      </c>
      <c r="H53" s="77">
        <f t="shared" si="12"/>
        <v>7000</v>
      </c>
      <c r="I53" s="77">
        <f t="shared" si="12"/>
        <v>7000</v>
      </c>
      <c r="J53" s="77">
        <f t="shared" si="12"/>
        <v>7000</v>
      </c>
      <c r="K53" s="77">
        <f t="shared" si="12"/>
        <v>7000</v>
      </c>
      <c r="L53" s="77">
        <f t="shared" si="12"/>
        <v>7000</v>
      </c>
      <c r="M53" s="77">
        <f t="shared" si="12"/>
        <v>7000</v>
      </c>
      <c r="N53" s="77">
        <f t="shared" si="12"/>
        <v>7000</v>
      </c>
      <c r="O53" s="76">
        <f t="shared" si="11"/>
        <v>83500</v>
      </c>
    </row>
    <row r="54" spans="2:15" ht="15" thickBot="1">
      <c r="B54" s="78" t="s">
        <v>11</v>
      </c>
      <c r="C54" s="79">
        <f>SUM(C45:C53)</f>
        <v>6500</v>
      </c>
      <c r="D54" s="79">
        <f t="shared" ref="D54:O54" si="13">SUM(D45:D53)</f>
        <v>7000</v>
      </c>
      <c r="E54" s="79">
        <f t="shared" si="13"/>
        <v>7000</v>
      </c>
      <c r="F54" s="79">
        <f t="shared" si="13"/>
        <v>7000</v>
      </c>
      <c r="G54" s="79">
        <f t="shared" si="13"/>
        <v>7000</v>
      </c>
      <c r="H54" s="79">
        <f t="shared" si="13"/>
        <v>7000</v>
      </c>
      <c r="I54" s="79">
        <f t="shared" si="13"/>
        <v>7000</v>
      </c>
      <c r="J54" s="79">
        <f t="shared" si="13"/>
        <v>7000</v>
      </c>
      <c r="K54" s="79">
        <f t="shared" si="13"/>
        <v>7000</v>
      </c>
      <c r="L54" s="79">
        <f t="shared" si="13"/>
        <v>7000</v>
      </c>
      <c r="M54" s="79">
        <f t="shared" si="13"/>
        <v>7000</v>
      </c>
      <c r="N54" s="79">
        <f t="shared" si="13"/>
        <v>7000</v>
      </c>
      <c r="O54" s="79">
        <f t="shared" si="13"/>
        <v>83500</v>
      </c>
    </row>
  </sheetData>
  <mergeCells count="12">
    <mergeCell ref="T22:T24"/>
    <mergeCell ref="U23:U24"/>
    <mergeCell ref="R26:S26"/>
    <mergeCell ref="A1:P1"/>
    <mergeCell ref="R1:S1"/>
    <mergeCell ref="B3:O3"/>
    <mergeCell ref="P5:P6"/>
    <mergeCell ref="R6:S6"/>
    <mergeCell ref="R10:S10"/>
    <mergeCell ref="B13:O13"/>
    <mergeCell ref="R15:S15"/>
    <mergeCell ref="R21:S21"/>
  </mergeCells>
  <pageMargins left="0.7" right="0.7" top="0.78740157499999996" bottom="0.78740157499999996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workbookViewId="0">
      <selection activeCell="C15" sqref="C15:N15"/>
    </sheetView>
  </sheetViews>
  <sheetFormatPr baseColWidth="10" defaultRowHeight="14" x14ac:dyDescent="0"/>
  <cols>
    <col min="1" max="1" width="10.83203125" style="37"/>
    <col min="2" max="2" width="11.83203125" style="37" customWidth="1"/>
    <col min="3" max="14" width="9.5" style="37" customWidth="1"/>
    <col min="15" max="15" width="10.83203125" style="37"/>
    <col min="16" max="16" width="9.83203125" style="37" customWidth="1"/>
    <col min="17" max="17" width="2.83203125" style="37" customWidth="1"/>
    <col min="18" max="18" width="29.5" style="37" bestFit="1" customWidth="1"/>
    <col min="19" max="19" width="10.83203125" style="37"/>
    <col min="20" max="20" width="10.33203125" style="37" bestFit="1" customWidth="1"/>
    <col min="21" max="21" width="23.5" style="37" bestFit="1" customWidth="1"/>
    <col min="22" max="22" width="25.83203125" style="37" customWidth="1"/>
    <col min="23" max="16384" width="10.83203125" style="37"/>
  </cols>
  <sheetData>
    <row r="1" spans="1:22" ht="25">
      <c r="A1" s="92">
        <v>2040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2"/>
      <c r="R1" s="93" t="s">
        <v>28</v>
      </c>
      <c r="S1" s="94"/>
    </row>
    <row r="2" spans="1:22">
      <c r="Q2" s="2"/>
      <c r="R2" s="14" t="s">
        <v>73</v>
      </c>
      <c r="S2" s="15">
        <v>0</v>
      </c>
    </row>
    <row r="3" spans="1:22" ht="25">
      <c r="B3" s="96" t="s">
        <v>37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Q3" s="2"/>
      <c r="R3" s="112" t="s">
        <v>86</v>
      </c>
      <c r="S3" s="49">
        <f>'2039'!S3</f>
        <v>10000</v>
      </c>
    </row>
    <row r="4" spans="1:22" ht="15" thickBot="1">
      <c r="B4" s="5"/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27</v>
      </c>
      <c r="L4" s="5" t="s">
        <v>10</v>
      </c>
      <c r="M4" s="5" t="s">
        <v>26</v>
      </c>
      <c r="N4" s="5" t="s">
        <v>25</v>
      </c>
      <c r="O4" s="5" t="s">
        <v>11</v>
      </c>
      <c r="Q4" s="2"/>
      <c r="R4" s="16" t="s">
        <v>24</v>
      </c>
      <c r="S4" s="36">
        <f>'2039'!S4</f>
        <v>9.0999999999999998E-2</v>
      </c>
    </row>
    <row r="5" spans="1:22" ht="15" thickBot="1">
      <c r="B5" s="3" t="s">
        <v>13</v>
      </c>
      <c r="C5" s="37">
        <v>5000</v>
      </c>
      <c r="D5" s="37">
        <v>1000</v>
      </c>
      <c r="E5" s="37">
        <v>1000</v>
      </c>
      <c r="F5" s="37">
        <v>1000</v>
      </c>
      <c r="G5" s="37">
        <v>1000</v>
      </c>
      <c r="H5" s="37">
        <v>1000</v>
      </c>
      <c r="I5" s="37">
        <v>1000</v>
      </c>
      <c r="J5" s="37">
        <v>1000</v>
      </c>
      <c r="K5" s="37">
        <v>1000</v>
      </c>
      <c r="L5" s="37">
        <v>1000</v>
      </c>
      <c r="M5" s="37">
        <v>1000</v>
      </c>
      <c r="N5" s="37">
        <v>1000</v>
      </c>
      <c r="O5" s="5">
        <f t="shared" ref="O5:O7" si="0">SUM(C5:N5)</f>
        <v>16000</v>
      </c>
      <c r="P5" s="103">
        <f>O6+O5</f>
        <v>71500</v>
      </c>
      <c r="Q5" s="2"/>
    </row>
    <row r="6" spans="1:22" ht="15" thickTop="1">
      <c r="B6" s="4" t="s">
        <v>14</v>
      </c>
      <c r="C6" s="37">
        <v>500</v>
      </c>
      <c r="D6" s="37">
        <v>5000</v>
      </c>
      <c r="E6" s="37">
        <v>5000</v>
      </c>
      <c r="F6" s="37">
        <v>5000</v>
      </c>
      <c r="G6" s="37">
        <v>5000</v>
      </c>
      <c r="H6" s="37">
        <v>5000</v>
      </c>
      <c r="I6" s="37">
        <v>5000</v>
      </c>
      <c r="J6" s="37">
        <v>5000</v>
      </c>
      <c r="K6" s="37">
        <v>5000</v>
      </c>
      <c r="L6" s="37">
        <v>5000</v>
      </c>
      <c r="M6" s="37">
        <v>5000</v>
      </c>
      <c r="N6" s="37">
        <v>5000</v>
      </c>
      <c r="O6" s="5">
        <f t="shared" si="0"/>
        <v>55500</v>
      </c>
      <c r="P6" s="103"/>
      <c r="Q6" s="2"/>
      <c r="R6" s="104" t="s">
        <v>29</v>
      </c>
      <c r="S6" s="105"/>
      <c r="U6" s="55" t="s">
        <v>36</v>
      </c>
      <c r="V6" s="56" t="s">
        <v>53</v>
      </c>
    </row>
    <row r="7" spans="1:22" ht="15" thickBot="1">
      <c r="B7" s="8" t="s">
        <v>16</v>
      </c>
      <c r="C7" s="9">
        <v>1000</v>
      </c>
      <c r="D7" s="9">
        <v>1000</v>
      </c>
      <c r="E7" s="9">
        <v>1000</v>
      </c>
      <c r="F7" s="9">
        <v>1000</v>
      </c>
      <c r="G7" s="9">
        <v>1000</v>
      </c>
      <c r="H7" s="9">
        <v>1000</v>
      </c>
      <c r="I7" s="9">
        <v>1000</v>
      </c>
      <c r="J7" s="9">
        <v>1000</v>
      </c>
      <c r="K7" s="9">
        <v>1000</v>
      </c>
      <c r="L7" s="9">
        <v>1000</v>
      </c>
      <c r="M7" s="9">
        <v>1000</v>
      </c>
      <c r="N7" s="9">
        <v>1000</v>
      </c>
      <c r="O7" s="54">
        <f t="shared" si="0"/>
        <v>12000</v>
      </c>
      <c r="Q7" s="12"/>
      <c r="R7" s="17" t="s">
        <v>35</v>
      </c>
      <c r="S7" s="82">
        <f>'2039'!U7</f>
        <v>11029635.431238629</v>
      </c>
      <c r="T7" s="11"/>
      <c r="U7" s="57">
        <f>S7-T22</f>
        <v>11017623.431238629</v>
      </c>
      <c r="V7" s="60">
        <f>U7/T22</f>
        <v>917.21806786868376</v>
      </c>
    </row>
    <row r="8" spans="1:22" ht="16" thickTop="1" thickBot="1">
      <c r="B8" s="33" t="s">
        <v>12</v>
      </c>
      <c r="C8" s="33">
        <f t="shared" ref="C8:O8" si="1">SUM(C5:C7)</f>
        <v>6500</v>
      </c>
      <c r="D8" s="33">
        <f t="shared" si="1"/>
        <v>7000</v>
      </c>
      <c r="E8" s="33">
        <f t="shared" si="1"/>
        <v>7000</v>
      </c>
      <c r="F8" s="33">
        <f t="shared" si="1"/>
        <v>7000</v>
      </c>
      <c r="G8" s="33">
        <f t="shared" si="1"/>
        <v>7000</v>
      </c>
      <c r="H8" s="33">
        <f t="shared" si="1"/>
        <v>7000</v>
      </c>
      <c r="I8" s="33">
        <f t="shared" si="1"/>
        <v>7000</v>
      </c>
      <c r="J8" s="33">
        <f t="shared" si="1"/>
        <v>7000</v>
      </c>
      <c r="K8" s="33">
        <f t="shared" si="1"/>
        <v>7000</v>
      </c>
      <c r="L8" s="33">
        <f t="shared" si="1"/>
        <v>7000</v>
      </c>
      <c r="M8" s="33">
        <f t="shared" si="1"/>
        <v>7000</v>
      </c>
      <c r="N8" s="34">
        <f t="shared" si="1"/>
        <v>7000</v>
      </c>
      <c r="O8" s="33">
        <f t="shared" si="1"/>
        <v>83500</v>
      </c>
      <c r="Q8" s="12"/>
      <c r="R8" s="18" t="s">
        <v>34</v>
      </c>
      <c r="S8" s="83">
        <f>'2039'!U8</f>
        <v>4633925.6185151516</v>
      </c>
      <c r="T8" s="11"/>
      <c r="U8" s="58">
        <f>S8-((O6*S2)-O16*S4)</f>
        <v>4634608.1185151516</v>
      </c>
      <c r="V8" s="61">
        <f>U8/U9</f>
        <v>-6790.6346058830059</v>
      </c>
    </row>
    <row r="9" spans="1:22" ht="15" thickBot="1">
      <c r="B9" s="41" t="s">
        <v>40</v>
      </c>
      <c r="C9" s="42">
        <f t="shared" ref="C9:N9" si="2">IF(C8&gt;0,(C5+C6)/C8,"")</f>
        <v>0.84615384615384615</v>
      </c>
      <c r="D9" s="42">
        <f t="shared" si="2"/>
        <v>0.8571428571428571</v>
      </c>
      <c r="E9" s="42">
        <f t="shared" si="2"/>
        <v>0.8571428571428571</v>
      </c>
      <c r="F9" s="42">
        <f t="shared" si="2"/>
        <v>0.8571428571428571</v>
      </c>
      <c r="G9" s="42">
        <f t="shared" si="2"/>
        <v>0.8571428571428571</v>
      </c>
      <c r="H9" s="42">
        <f t="shared" si="2"/>
        <v>0.8571428571428571</v>
      </c>
      <c r="I9" s="42">
        <f t="shared" si="2"/>
        <v>0.8571428571428571</v>
      </c>
      <c r="J9" s="42">
        <f t="shared" si="2"/>
        <v>0.8571428571428571</v>
      </c>
      <c r="K9" s="42">
        <f t="shared" si="2"/>
        <v>0.8571428571428571</v>
      </c>
      <c r="L9" s="42">
        <f t="shared" si="2"/>
        <v>0.8571428571428571</v>
      </c>
      <c r="M9" s="42">
        <f t="shared" si="2"/>
        <v>0.8571428571428571</v>
      </c>
      <c r="N9" s="42">
        <f t="shared" si="2"/>
        <v>0.8571428571428571</v>
      </c>
      <c r="O9" s="46">
        <f>(O5+O6)/O8</f>
        <v>0.85628742514970058</v>
      </c>
      <c r="Q9" s="2"/>
      <c r="U9" s="65">
        <f>S8-U8</f>
        <v>-682.5</v>
      </c>
    </row>
    <row r="10" spans="1:22">
      <c r="B10" s="43" t="s">
        <v>41</v>
      </c>
      <c r="C10" s="40">
        <f t="shared" ref="C10:O10" si="3">IF(C8&gt;0,(C5+C6)/C18,"")</f>
        <v>0.11695657721260579</v>
      </c>
      <c r="D10" s="40">
        <f t="shared" si="3"/>
        <v>9.5348578511608689E-2</v>
      </c>
      <c r="E10" s="40">
        <f t="shared" si="3"/>
        <v>5.957345406886691E-2</v>
      </c>
      <c r="F10" s="40">
        <f t="shared" si="3"/>
        <v>4.4987628402189395E-2</v>
      </c>
      <c r="G10" s="40">
        <f t="shared" si="3"/>
        <v>3.7766727513060996E-2</v>
      </c>
      <c r="H10" s="40">
        <f t="shared" si="3"/>
        <v>3.5855145213338116E-2</v>
      </c>
      <c r="I10" s="40">
        <f t="shared" si="3"/>
        <v>3.5366306519778609E-2</v>
      </c>
      <c r="J10" s="40">
        <f t="shared" si="3"/>
        <v>4.2042126210462882E-2</v>
      </c>
      <c r="K10" s="40">
        <f t="shared" si="3"/>
        <v>5.3049459779667914E-2</v>
      </c>
      <c r="L10" s="40">
        <f t="shared" si="3"/>
        <v>6.9679936823523941E-2</v>
      </c>
      <c r="M10" s="40">
        <f t="shared" si="3"/>
        <v>0.13226930029540143</v>
      </c>
      <c r="N10" s="40">
        <f t="shared" si="3"/>
        <v>0.16237280796709244</v>
      </c>
      <c r="O10" s="47">
        <f t="shared" si="3"/>
        <v>5.6560191118072367E-2</v>
      </c>
      <c r="Q10" s="2"/>
      <c r="R10" s="97" t="s">
        <v>30</v>
      </c>
      <c r="S10" s="98"/>
    </row>
    <row r="11" spans="1:22" ht="15" thickBot="1">
      <c r="B11" s="44" t="s">
        <v>42</v>
      </c>
      <c r="C11" s="45">
        <f t="shared" ref="C11:N11" si="4">IF(C8&gt;0,C5*$S$2+C6*$S$2+C17*$S$4,"")</f>
        <v>1001</v>
      </c>
      <c r="D11" s="45">
        <f t="shared" si="4"/>
        <v>1001</v>
      </c>
      <c r="E11" s="45">
        <f t="shared" si="4"/>
        <v>1001</v>
      </c>
      <c r="F11" s="45">
        <f t="shared" si="4"/>
        <v>1001</v>
      </c>
      <c r="G11" s="45">
        <f t="shared" si="4"/>
        <v>1001</v>
      </c>
      <c r="H11" s="45">
        <f t="shared" si="4"/>
        <v>1001</v>
      </c>
      <c r="I11" s="45">
        <f t="shared" si="4"/>
        <v>1001</v>
      </c>
      <c r="J11" s="45">
        <f t="shared" si="4"/>
        <v>1001</v>
      </c>
      <c r="K11" s="45">
        <f t="shared" si="4"/>
        <v>1001</v>
      </c>
      <c r="L11" s="45">
        <f t="shared" si="4"/>
        <v>1001</v>
      </c>
      <c r="M11" s="45">
        <f t="shared" si="4"/>
        <v>1001</v>
      </c>
      <c r="N11" s="45">
        <f t="shared" si="4"/>
        <v>1001</v>
      </c>
      <c r="O11" s="48">
        <f>SUM(C11:N11)</f>
        <v>12012</v>
      </c>
      <c r="Q11" s="2"/>
      <c r="R11" s="19" t="s">
        <v>0</v>
      </c>
      <c r="S11" s="20">
        <f>P5/O8</f>
        <v>0.85628742514970058</v>
      </c>
    </row>
    <row r="12" spans="1:22" ht="15" thickBot="1">
      <c r="Q12" s="2"/>
      <c r="R12" s="21" t="s">
        <v>1</v>
      </c>
      <c r="S12" s="22">
        <f>P5/O18</f>
        <v>5.6560191118072367E-2</v>
      </c>
    </row>
    <row r="13" spans="1:22" ht="25">
      <c r="B13" s="95" t="s">
        <v>38</v>
      </c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Q13" s="2"/>
    </row>
    <row r="14" spans="1:22" ht="15" thickBot="1">
      <c r="B14" s="5"/>
      <c r="C14" s="5" t="s">
        <v>2</v>
      </c>
      <c r="D14" s="5" t="s">
        <v>3</v>
      </c>
      <c r="E14" s="5" t="s">
        <v>4</v>
      </c>
      <c r="F14" s="5" t="s">
        <v>5</v>
      </c>
      <c r="G14" s="5" t="s">
        <v>6</v>
      </c>
      <c r="H14" s="5" t="s">
        <v>7</v>
      </c>
      <c r="I14" s="5" t="s">
        <v>8</v>
      </c>
      <c r="J14" s="5" t="s">
        <v>9</v>
      </c>
      <c r="K14" s="5" t="s">
        <v>27</v>
      </c>
      <c r="L14" s="5" t="s">
        <v>10</v>
      </c>
      <c r="M14" s="5" t="s">
        <v>26</v>
      </c>
      <c r="N14" s="5" t="s">
        <v>25</v>
      </c>
      <c r="O14" s="5" t="s">
        <v>11</v>
      </c>
      <c r="Q14" s="2"/>
      <c r="S14" s="11"/>
    </row>
    <row r="15" spans="1:22">
      <c r="B15" s="3" t="s">
        <v>13</v>
      </c>
      <c r="C15" s="123">
        <v>35401</v>
      </c>
      <c r="D15" s="123">
        <v>51302</v>
      </c>
      <c r="E15" s="123">
        <v>89091</v>
      </c>
      <c r="F15" s="123">
        <v>121745</v>
      </c>
      <c r="G15" s="123">
        <v>147245</v>
      </c>
      <c r="H15" s="123">
        <v>155715</v>
      </c>
      <c r="I15" s="123">
        <v>158028</v>
      </c>
      <c r="J15" s="123">
        <v>131089</v>
      </c>
      <c r="K15" s="123">
        <v>101477</v>
      </c>
      <c r="L15" s="123">
        <v>74483</v>
      </c>
      <c r="M15" s="123">
        <v>33737</v>
      </c>
      <c r="N15" s="123">
        <v>25327</v>
      </c>
      <c r="O15" s="5">
        <f t="shared" ref="O15:O17" si="5">SUM(C15:N15)</f>
        <v>1124640</v>
      </c>
      <c r="Q15" s="2"/>
      <c r="R15" s="99" t="s">
        <v>31</v>
      </c>
      <c r="S15" s="100"/>
    </row>
    <row r="16" spans="1:22">
      <c r="B16" s="1" t="s">
        <v>15</v>
      </c>
      <c r="C16" s="37">
        <v>625</v>
      </c>
      <c r="D16" s="37">
        <v>625</v>
      </c>
      <c r="E16" s="37">
        <v>625</v>
      </c>
      <c r="F16" s="37">
        <v>625</v>
      </c>
      <c r="G16" s="37">
        <v>625</v>
      </c>
      <c r="H16" s="37">
        <v>625</v>
      </c>
      <c r="I16" s="37">
        <v>625</v>
      </c>
      <c r="J16" s="37">
        <v>625</v>
      </c>
      <c r="K16" s="37">
        <v>625</v>
      </c>
      <c r="L16" s="37">
        <v>625</v>
      </c>
      <c r="M16" s="37">
        <v>625</v>
      </c>
      <c r="N16" s="37">
        <v>625</v>
      </c>
      <c r="O16" s="5">
        <f t="shared" si="5"/>
        <v>7500</v>
      </c>
      <c r="Q16" s="2"/>
      <c r="R16" s="23" t="s">
        <v>19</v>
      </c>
      <c r="S16" s="24">
        <f>O16</f>
        <v>7500</v>
      </c>
      <c r="U16" s="59" t="s">
        <v>48</v>
      </c>
    </row>
    <row r="17" spans="2:21" ht="15" thickBot="1">
      <c r="B17" s="10" t="s">
        <v>17</v>
      </c>
      <c r="C17" s="9">
        <v>11000</v>
      </c>
      <c r="D17" s="9">
        <v>11000</v>
      </c>
      <c r="E17" s="9">
        <v>11000</v>
      </c>
      <c r="F17" s="9">
        <v>11000</v>
      </c>
      <c r="G17" s="9">
        <v>11000</v>
      </c>
      <c r="H17" s="9">
        <v>11000</v>
      </c>
      <c r="I17" s="9">
        <v>11000</v>
      </c>
      <c r="J17" s="9">
        <v>11000</v>
      </c>
      <c r="K17" s="9">
        <v>11000</v>
      </c>
      <c r="L17" s="9">
        <v>11000</v>
      </c>
      <c r="M17" s="9">
        <v>11000</v>
      </c>
      <c r="N17" s="9">
        <v>11000</v>
      </c>
      <c r="O17" s="54">
        <f t="shared" si="5"/>
        <v>132000</v>
      </c>
      <c r="Q17" s="2"/>
      <c r="R17" s="23" t="s">
        <v>18</v>
      </c>
      <c r="S17" s="24">
        <f>O6</f>
        <v>55500</v>
      </c>
      <c r="U17" s="66" t="s">
        <v>49</v>
      </c>
    </row>
    <row r="18" spans="2:21" ht="16" thickTop="1" thickBot="1">
      <c r="B18" s="6" t="s">
        <v>12</v>
      </c>
      <c r="C18" s="6">
        <f>SUM(C15:C17)</f>
        <v>47026</v>
      </c>
      <c r="D18" s="6">
        <f t="shared" ref="D18:N18" si="6">SUM(D15:D17)</f>
        <v>62927</v>
      </c>
      <c r="E18" s="6">
        <f t="shared" si="6"/>
        <v>100716</v>
      </c>
      <c r="F18" s="6">
        <f t="shared" si="6"/>
        <v>133370</v>
      </c>
      <c r="G18" s="6">
        <f t="shared" si="6"/>
        <v>158870</v>
      </c>
      <c r="H18" s="6">
        <f t="shared" si="6"/>
        <v>167340</v>
      </c>
      <c r="I18" s="6">
        <f t="shared" si="6"/>
        <v>169653</v>
      </c>
      <c r="J18" s="6">
        <f t="shared" si="6"/>
        <v>142714</v>
      </c>
      <c r="K18" s="6">
        <f t="shared" si="6"/>
        <v>113102</v>
      </c>
      <c r="L18" s="6">
        <f t="shared" si="6"/>
        <v>86108</v>
      </c>
      <c r="M18" s="6">
        <f t="shared" si="6"/>
        <v>45362</v>
      </c>
      <c r="N18" s="7">
        <f t="shared" si="6"/>
        <v>36952</v>
      </c>
      <c r="O18" s="6">
        <f>SUM(O15:O17)</f>
        <v>1264140</v>
      </c>
      <c r="Q18" s="2"/>
      <c r="R18" s="23" t="s">
        <v>20</v>
      </c>
      <c r="S18" s="24">
        <f>100/S16*S17</f>
        <v>740</v>
      </c>
      <c r="U18" s="59" t="s">
        <v>50</v>
      </c>
    </row>
    <row r="19" spans="2:21" ht="15" thickBot="1">
      <c r="B19" s="41" t="s">
        <v>44</v>
      </c>
      <c r="C19" s="50">
        <f>IF(C18&gt;0,C18/$S$3,"")</f>
        <v>4.7026000000000003</v>
      </c>
      <c r="D19" s="50">
        <f t="shared" ref="D19:N19" si="7">IF(D18&gt;0,D18/$S$3,"")</f>
        <v>6.2927</v>
      </c>
      <c r="E19" s="50">
        <f t="shared" si="7"/>
        <v>10.0716</v>
      </c>
      <c r="F19" s="50">
        <f t="shared" si="7"/>
        <v>13.337</v>
      </c>
      <c r="G19" s="50">
        <f t="shared" si="7"/>
        <v>15.887</v>
      </c>
      <c r="H19" s="50">
        <f t="shared" si="7"/>
        <v>16.734000000000002</v>
      </c>
      <c r="I19" s="50">
        <f t="shared" si="7"/>
        <v>16.965299999999999</v>
      </c>
      <c r="J19" s="50">
        <f t="shared" si="7"/>
        <v>14.2714</v>
      </c>
      <c r="K19" s="50">
        <f t="shared" si="7"/>
        <v>11.3102</v>
      </c>
      <c r="L19" s="50">
        <f t="shared" si="7"/>
        <v>8.6107999999999993</v>
      </c>
      <c r="M19" s="50">
        <f t="shared" si="7"/>
        <v>4.5362</v>
      </c>
      <c r="N19" s="50">
        <f t="shared" si="7"/>
        <v>3.6951999999999998</v>
      </c>
      <c r="O19" s="53">
        <f>SUM(C19:N19)</f>
        <v>126.41399999999999</v>
      </c>
      <c r="Q19" s="2"/>
      <c r="R19" s="25" t="s">
        <v>21</v>
      </c>
      <c r="S19" s="26">
        <f>100-S18</f>
        <v>-640</v>
      </c>
    </row>
    <row r="20" spans="2:21" ht="15" thickBot="1">
      <c r="B20" s="43" t="s">
        <v>46</v>
      </c>
      <c r="C20" s="51">
        <f>IF(C8&gt;0,C16/31,"")</f>
        <v>20.161290322580644</v>
      </c>
      <c r="D20" s="51">
        <f>IF(D8&gt;0,D16/28,"")</f>
        <v>22.321428571428573</v>
      </c>
      <c r="E20" s="51">
        <f>IF(E8&gt;0,E16/31,"")</f>
        <v>20.161290322580644</v>
      </c>
      <c r="F20" s="51">
        <f>IF(F8&gt;0,F16/30,"")</f>
        <v>20.833333333333332</v>
      </c>
      <c r="G20" s="51">
        <f>IF(G8&gt;0,G16/31,"")</f>
        <v>20.161290322580644</v>
      </c>
      <c r="H20" s="51">
        <f>IF(H8&gt;0,H16/30,"")</f>
        <v>20.833333333333332</v>
      </c>
      <c r="I20" s="51">
        <f>IF(I8&gt;0,I16/31,"")</f>
        <v>20.161290322580644</v>
      </c>
      <c r="J20" s="51">
        <f>IF(J8&gt;0,J16/31,"")</f>
        <v>20.161290322580644</v>
      </c>
      <c r="K20" s="51">
        <f>IF(K8&gt;0,K16/30,"")</f>
        <v>20.833333333333332</v>
      </c>
      <c r="L20" s="51">
        <f>IF(L8&gt;0,L16/31,"")</f>
        <v>20.161290322580644</v>
      </c>
      <c r="M20" s="51">
        <f>IF(M8&gt;0,M16/30,"")</f>
        <v>20.833333333333332</v>
      </c>
      <c r="N20" s="51">
        <f>IF(N8&gt;0,N16/31,"")</f>
        <v>20.161290322580644</v>
      </c>
      <c r="O20" s="52">
        <f>SUM(C20:N20)/COUNT(C20:N20)</f>
        <v>20.565316180235534</v>
      </c>
      <c r="Q20" s="2"/>
    </row>
    <row r="21" spans="2:21" ht="15" thickBot="1">
      <c r="B21" s="43" t="s">
        <v>47</v>
      </c>
      <c r="C21" s="40">
        <f>IF(C18&gt;0,C17/C18,"")</f>
        <v>0.23391315442521157</v>
      </c>
      <c r="D21" s="40">
        <f t="shared" ref="D21:N21" si="8">IF(D18&gt;0,D17/D18,"")</f>
        <v>0.1748057272712826</v>
      </c>
      <c r="E21" s="40">
        <f t="shared" si="8"/>
        <v>0.109217999126256</v>
      </c>
      <c r="F21" s="40">
        <f t="shared" si="8"/>
        <v>8.2477318737347233E-2</v>
      </c>
      <c r="G21" s="40">
        <f t="shared" si="8"/>
        <v>6.923900044061182E-2</v>
      </c>
      <c r="H21" s="40">
        <f t="shared" si="8"/>
        <v>6.5734432891119882E-2</v>
      </c>
      <c r="I21" s="40">
        <f t="shared" si="8"/>
        <v>6.483822861959411E-2</v>
      </c>
      <c r="J21" s="40">
        <f t="shared" si="8"/>
        <v>7.7077231385848627E-2</v>
      </c>
      <c r="K21" s="40">
        <f t="shared" si="8"/>
        <v>9.7257342929391172E-2</v>
      </c>
      <c r="L21" s="40">
        <f t="shared" si="8"/>
        <v>0.12774655084312725</v>
      </c>
      <c r="M21" s="40">
        <f t="shared" si="8"/>
        <v>0.24249371720823598</v>
      </c>
      <c r="N21" s="40">
        <f t="shared" si="8"/>
        <v>0.29768348127300281</v>
      </c>
      <c r="O21" s="47">
        <f>O17/O18</f>
        <v>0.1044188143718259</v>
      </c>
      <c r="Q21" s="2"/>
      <c r="R21" s="101" t="s">
        <v>32</v>
      </c>
      <c r="S21" s="102"/>
    </row>
    <row r="22" spans="2:21" ht="15" thickBot="1">
      <c r="B22" s="44" t="s">
        <v>51</v>
      </c>
      <c r="C22" s="74">
        <f t="shared" ref="C22:O22" si="9">IF(C8&gt;0,100/C16*C6-100,"")</f>
        <v>-20</v>
      </c>
      <c r="D22" s="74">
        <f t="shared" si="9"/>
        <v>700</v>
      </c>
      <c r="E22" s="74">
        <f t="shared" si="9"/>
        <v>700</v>
      </c>
      <c r="F22" s="74">
        <f t="shared" si="9"/>
        <v>700</v>
      </c>
      <c r="G22" s="74">
        <f t="shared" si="9"/>
        <v>700</v>
      </c>
      <c r="H22" s="74">
        <f t="shared" si="9"/>
        <v>700</v>
      </c>
      <c r="I22" s="74">
        <f t="shared" si="9"/>
        <v>700</v>
      </c>
      <c r="J22" s="74">
        <f t="shared" si="9"/>
        <v>700</v>
      </c>
      <c r="K22" s="74">
        <f t="shared" si="9"/>
        <v>700</v>
      </c>
      <c r="L22" s="74">
        <f t="shared" si="9"/>
        <v>700</v>
      </c>
      <c r="M22" s="74">
        <f t="shared" si="9"/>
        <v>700</v>
      </c>
      <c r="N22" s="74">
        <f t="shared" si="9"/>
        <v>700</v>
      </c>
      <c r="O22" s="75">
        <f t="shared" si="9"/>
        <v>640</v>
      </c>
      <c r="Q22" s="2"/>
      <c r="R22" s="27" t="s">
        <v>22</v>
      </c>
      <c r="S22" s="28">
        <f>O5*S2</f>
        <v>0</v>
      </c>
      <c r="T22" s="106">
        <f>SUM(S22:S24)</f>
        <v>12012</v>
      </c>
      <c r="U22" s="39" t="s">
        <v>43</v>
      </c>
    </row>
    <row r="23" spans="2:21">
      <c r="Q23" s="2"/>
      <c r="R23" s="27" t="s">
        <v>54</v>
      </c>
      <c r="S23" s="28">
        <f>O6*S2</f>
        <v>0</v>
      </c>
      <c r="T23" s="107"/>
      <c r="U23" s="85">
        <f>1/'2025'!S7*T22</f>
        <v>1.0010000000000002E-3</v>
      </c>
    </row>
    <row r="24" spans="2:21" ht="15" thickBot="1">
      <c r="Q24" s="2"/>
      <c r="R24" s="29" t="s">
        <v>24</v>
      </c>
      <c r="S24" s="30">
        <f>O17*S4</f>
        <v>12012</v>
      </c>
      <c r="T24" s="91"/>
      <c r="U24" s="86"/>
    </row>
    <row r="25" spans="2:21" ht="15" thickBot="1">
      <c r="Q25" s="2"/>
    </row>
    <row r="26" spans="2:21">
      <c r="Q26" s="2"/>
      <c r="R26" s="87" t="s">
        <v>33</v>
      </c>
      <c r="S26" s="88"/>
    </row>
    <row r="27" spans="2:21" ht="15" thickBot="1">
      <c r="Q27" s="2"/>
      <c r="R27" s="31" t="s">
        <v>23</v>
      </c>
      <c r="S27" s="32">
        <f>O7*S2</f>
        <v>0</v>
      </c>
      <c r="U27" s="38"/>
    </row>
    <row r="28" spans="2:21">
      <c r="Q28" s="2"/>
    </row>
    <row r="29" spans="2:21">
      <c r="Q29" s="2"/>
    </row>
    <row r="30" spans="2:21">
      <c r="Q30" s="2"/>
    </row>
    <row r="31" spans="2:21">
      <c r="Q31" s="2"/>
    </row>
    <row r="32" spans="2:21">
      <c r="Q32" s="2"/>
    </row>
    <row r="33" spans="2:17">
      <c r="Q33" s="2"/>
    </row>
    <row r="34" spans="2:17">
      <c r="Q34" s="2"/>
    </row>
    <row r="35" spans="2:17">
      <c r="Q35" s="2"/>
    </row>
    <row r="36" spans="2:17">
      <c r="Q36" s="2"/>
    </row>
    <row r="37" spans="2:17">
      <c r="Q37" s="2"/>
    </row>
    <row r="38" spans="2:17">
      <c r="Q38" s="2"/>
    </row>
    <row r="39" spans="2:17">
      <c r="Q39" s="2"/>
    </row>
    <row r="40" spans="2:17">
      <c r="Q40" s="2"/>
    </row>
    <row r="43" spans="2:17">
      <c r="B43" s="5" t="s">
        <v>65</v>
      </c>
      <c r="C43" s="5">
        <f>C8</f>
        <v>6500</v>
      </c>
      <c r="D43" s="5">
        <f t="shared" ref="D43:O43" si="10">D8</f>
        <v>7000</v>
      </c>
      <c r="E43" s="5">
        <f t="shared" si="10"/>
        <v>7000</v>
      </c>
      <c r="F43" s="5">
        <f t="shared" si="10"/>
        <v>7000</v>
      </c>
      <c r="G43" s="5">
        <f t="shared" si="10"/>
        <v>7000</v>
      </c>
      <c r="H43" s="5">
        <f t="shared" si="10"/>
        <v>7000</v>
      </c>
      <c r="I43" s="5">
        <f t="shared" si="10"/>
        <v>7000</v>
      </c>
      <c r="J43" s="5">
        <f t="shared" si="10"/>
        <v>7000</v>
      </c>
      <c r="K43" s="5">
        <f t="shared" si="10"/>
        <v>7000</v>
      </c>
      <c r="L43" s="5">
        <f t="shared" si="10"/>
        <v>7000</v>
      </c>
      <c r="M43" s="5">
        <f t="shared" si="10"/>
        <v>7000</v>
      </c>
      <c r="N43" s="5">
        <f t="shared" si="10"/>
        <v>7000</v>
      </c>
      <c r="O43" s="5">
        <f t="shared" si="10"/>
        <v>83500</v>
      </c>
    </row>
    <row r="44" spans="2:17">
      <c r="B44" s="5" t="s">
        <v>62</v>
      </c>
      <c r="C44" s="5" t="s">
        <v>2</v>
      </c>
      <c r="D44" s="5" t="s">
        <v>3</v>
      </c>
      <c r="E44" s="5" t="s">
        <v>4</v>
      </c>
      <c r="F44" s="5" t="s">
        <v>5</v>
      </c>
      <c r="G44" s="5" t="s">
        <v>6</v>
      </c>
      <c r="H44" s="5" t="s">
        <v>7</v>
      </c>
      <c r="I44" s="5" t="s">
        <v>8</v>
      </c>
      <c r="J44" s="5" t="s">
        <v>9</v>
      </c>
      <c r="K44" s="5" t="s">
        <v>27</v>
      </c>
      <c r="L44" s="5" t="s">
        <v>10</v>
      </c>
      <c r="M44" s="5" t="s">
        <v>26</v>
      </c>
      <c r="N44" s="5" t="s">
        <v>25</v>
      </c>
      <c r="O44" s="5" t="s">
        <v>11</v>
      </c>
    </row>
    <row r="45" spans="2:17">
      <c r="B45" s="76" t="s">
        <v>63</v>
      </c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>
        <f>SUM(C45:N45)</f>
        <v>0</v>
      </c>
    </row>
    <row r="46" spans="2:17">
      <c r="B46" s="76" t="s">
        <v>64</v>
      </c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>
        <f t="shared" ref="O46:O53" si="11">SUM(C46:N46)</f>
        <v>0</v>
      </c>
    </row>
    <row r="47" spans="2:17">
      <c r="B47" s="76" t="s">
        <v>66</v>
      </c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>
        <f t="shared" si="11"/>
        <v>0</v>
      </c>
    </row>
    <row r="48" spans="2:17">
      <c r="B48" s="76" t="s">
        <v>67</v>
      </c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>
        <f t="shared" si="11"/>
        <v>0</v>
      </c>
    </row>
    <row r="49" spans="2:15">
      <c r="B49" s="76" t="s">
        <v>68</v>
      </c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>
        <f t="shared" si="11"/>
        <v>0</v>
      </c>
    </row>
    <row r="50" spans="2:15">
      <c r="B50" s="76" t="s">
        <v>69</v>
      </c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>
        <f t="shared" si="11"/>
        <v>0</v>
      </c>
    </row>
    <row r="51" spans="2:15">
      <c r="B51" s="76" t="s">
        <v>71</v>
      </c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>
        <f t="shared" si="11"/>
        <v>0</v>
      </c>
    </row>
    <row r="52" spans="2:15">
      <c r="B52" s="77" t="s">
        <v>72</v>
      </c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6">
        <f t="shared" si="11"/>
        <v>0</v>
      </c>
    </row>
    <row r="53" spans="2:15" ht="15" thickBot="1">
      <c r="B53" s="77" t="s">
        <v>70</v>
      </c>
      <c r="C53" s="77">
        <f>C43-C45-C46-C47-C48-C49-C50-C51-C52</f>
        <v>6500</v>
      </c>
      <c r="D53" s="77">
        <f t="shared" ref="D53:N53" si="12">D43-D45-D46-D47-D48-D49-D50-D51-D52</f>
        <v>7000</v>
      </c>
      <c r="E53" s="77">
        <f t="shared" si="12"/>
        <v>7000</v>
      </c>
      <c r="F53" s="77">
        <f>(F43-F45-F46-F47-F48-F49-F50-F51-F52)</f>
        <v>7000</v>
      </c>
      <c r="G53" s="77">
        <f t="shared" si="12"/>
        <v>7000</v>
      </c>
      <c r="H53" s="77">
        <f t="shared" si="12"/>
        <v>7000</v>
      </c>
      <c r="I53" s="77">
        <f t="shared" si="12"/>
        <v>7000</v>
      </c>
      <c r="J53" s="77">
        <f t="shared" si="12"/>
        <v>7000</v>
      </c>
      <c r="K53" s="77">
        <f t="shared" si="12"/>
        <v>7000</v>
      </c>
      <c r="L53" s="77">
        <f t="shared" si="12"/>
        <v>7000</v>
      </c>
      <c r="M53" s="77">
        <f t="shared" si="12"/>
        <v>7000</v>
      </c>
      <c r="N53" s="77">
        <f t="shared" si="12"/>
        <v>7000</v>
      </c>
      <c r="O53" s="76">
        <f t="shared" si="11"/>
        <v>83500</v>
      </c>
    </row>
    <row r="54" spans="2:15" ht="15" thickBot="1">
      <c r="B54" s="78" t="s">
        <v>11</v>
      </c>
      <c r="C54" s="79">
        <f>SUM(C45:C53)</f>
        <v>6500</v>
      </c>
      <c r="D54" s="79">
        <f t="shared" ref="D54:O54" si="13">SUM(D45:D53)</f>
        <v>7000</v>
      </c>
      <c r="E54" s="79">
        <f t="shared" si="13"/>
        <v>7000</v>
      </c>
      <c r="F54" s="79">
        <f t="shared" si="13"/>
        <v>7000</v>
      </c>
      <c r="G54" s="79">
        <f t="shared" si="13"/>
        <v>7000</v>
      </c>
      <c r="H54" s="79">
        <f t="shared" si="13"/>
        <v>7000</v>
      </c>
      <c r="I54" s="79">
        <f t="shared" si="13"/>
        <v>7000</v>
      </c>
      <c r="J54" s="79">
        <f t="shared" si="13"/>
        <v>7000</v>
      </c>
      <c r="K54" s="79">
        <f t="shared" si="13"/>
        <v>7000</v>
      </c>
      <c r="L54" s="79">
        <f t="shared" si="13"/>
        <v>7000</v>
      </c>
      <c r="M54" s="79">
        <f t="shared" si="13"/>
        <v>7000</v>
      </c>
      <c r="N54" s="79">
        <f t="shared" si="13"/>
        <v>7000</v>
      </c>
      <c r="O54" s="79">
        <f t="shared" si="13"/>
        <v>83500</v>
      </c>
    </row>
  </sheetData>
  <mergeCells count="12">
    <mergeCell ref="T22:T24"/>
    <mergeCell ref="U23:U24"/>
    <mergeCell ref="R26:S26"/>
    <mergeCell ref="A1:P1"/>
    <mergeCell ref="R1:S1"/>
    <mergeCell ref="B3:O3"/>
    <mergeCell ref="P5:P6"/>
    <mergeCell ref="R6:S6"/>
    <mergeCell ref="R10:S10"/>
    <mergeCell ref="B13:O13"/>
    <mergeCell ref="R15:S15"/>
    <mergeCell ref="R21:S21"/>
  </mergeCells>
  <pageMargins left="0.7" right="0.7" top="0.78740157499999996" bottom="0.78740157499999996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7"/>
  <sheetViews>
    <sheetView zoomScale="125" zoomScaleNormal="125" zoomScalePageLayoutView="125" workbookViewId="0">
      <selection activeCell="C15" sqref="C15:R15"/>
    </sheetView>
  </sheetViews>
  <sheetFormatPr baseColWidth="10" defaultRowHeight="14" x14ac:dyDescent="0"/>
  <cols>
    <col min="1" max="1" width="6.5" customWidth="1"/>
    <col min="2" max="2" width="13.5" customWidth="1"/>
    <col min="3" max="13" width="10.6640625" customWidth="1"/>
    <col min="14" max="14" width="11.5" customWidth="1"/>
    <col min="15" max="17" width="12.1640625" style="37" customWidth="1"/>
    <col min="18" max="18" width="12.6640625" style="37" customWidth="1"/>
    <col min="19" max="19" width="16" customWidth="1"/>
    <col min="20" max="20" width="9" customWidth="1"/>
    <col min="21" max="21" width="4.1640625" customWidth="1"/>
    <col min="22" max="22" width="29.5" style="37" bestFit="1" customWidth="1"/>
    <col min="23" max="23" width="10.83203125" style="37"/>
    <col min="24" max="24" width="11.5" style="37" bestFit="1" customWidth="1"/>
    <col min="25" max="25" width="26.5" bestFit="1" customWidth="1"/>
    <col min="26" max="26" width="20.83203125" style="37" bestFit="1" customWidth="1"/>
    <col min="32" max="32" width="12.5" bestFit="1" customWidth="1"/>
  </cols>
  <sheetData>
    <row r="1" spans="1:26" ht="25">
      <c r="A1" s="92" t="s">
        <v>11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2"/>
      <c r="V1" s="93" t="s">
        <v>28</v>
      </c>
      <c r="W1" s="94"/>
    </row>
    <row r="2" spans="1:26">
      <c r="U2" s="2"/>
      <c r="V2" s="14" t="s">
        <v>59</v>
      </c>
      <c r="W2" s="69">
        <f>('2025'!S2+'2026'!S2+'2027'!S2+'2028'!S2+'2029'!S2+'2030'!S2+'2031'!S2+'2032'!S2+'2033'!S2+'2034'!S2+'2035'!S2+'2036'!S2+'2037'!S2+'2038'!S2+'2039'!S2+'2040'!S2)/COUNTIF(C5:R5,"&lt;&gt;0")</f>
        <v>5.1466666666666668E-2</v>
      </c>
    </row>
    <row r="3" spans="1:26" s="37" customFormat="1" ht="25">
      <c r="A3"/>
      <c r="B3" s="96" t="s">
        <v>37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/>
      <c r="U3" s="2"/>
      <c r="V3" s="14" t="s">
        <v>45</v>
      </c>
      <c r="W3" s="70">
        <v>10000</v>
      </c>
    </row>
    <row r="4" spans="1:26" ht="15" thickBot="1">
      <c r="B4" s="5"/>
      <c r="C4" s="5">
        <v>2020</v>
      </c>
      <c r="D4" s="5">
        <v>2021</v>
      </c>
      <c r="E4" s="5">
        <v>2022</v>
      </c>
      <c r="F4" s="5">
        <v>2023</v>
      </c>
      <c r="G4" s="5">
        <v>2024</v>
      </c>
      <c r="H4" s="5">
        <v>2025</v>
      </c>
      <c r="I4" s="5">
        <v>2026</v>
      </c>
      <c r="J4" s="5">
        <v>2027</v>
      </c>
      <c r="K4" s="5">
        <v>2028</v>
      </c>
      <c r="L4" s="5">
        <v>2029</v>
      </c>
      <c r="M4" s="5">
        <v>2030</v>
      </c>
      <c r="N4" s="5">
        <v>2031</v>
      </c>
      <c r="O4" s="5">
        <v>2032</v>
      </c>
      <c r="P4" s="5">
        <v>2033</v>
      </c>
      <c r="Q4" s="5">
        <v>2034</v>
      </c>
      <c r="R4" s="5">
        <v>2035</v>
      </c>
      <c r="S4" s="5" t="s">
        <v>11</v>
      </c>
      <c r="U4" s="2"/>
      <c r="V4" s="16" t="s">
        <v>24</v>
      </c>
      <c r="W4" s="71">
        <v>9.1700000000000004E-2</v>
      </c>
    </row>
    <row r="5" spans="1:26" ht="15" thickBot="1">
      <c r="B5" s="3" t="s">
        <v>13</v>
      </c>
      <c r="C5">
        <f>'2025'!O5</f>
        <v>0</v>
      </c>
      <c r="D5">
        <f>'2026'!O5</f>
        <v>600000</v>
      </c>
      <c r="E5">
        <f>'2027'!O5</f>
        <v>16000</v>
      </c>
      <c r="F5" s="37">
        <f>'2028'!$O$15</f>
        <v>1124640</v>
      </c>
      <c r="G5" s="37">
        <f>'2029'!$O$15</f>
        <v>1124640</v>
      </c>
      <c r="H5" s="37">
        <f>'2030'!$O$15</f>
        <v>1124640</v>
      </c>
      <c r="I5" s="37">
        <f>'2031'!$O$15</f>
        <v>1124640</v>
      </c>
      <c r="J5" s="37">
        <f>'2032'!$O$15</f>
        <v>1124640</v>
      </c>
      <c r="K5" s="37">
        <f>'2033'!$O$15</f>
        <v>1124640</v>
      </c>
      <c r="L5" s="37">
        <f>'2034'!$O$15</f>
        <v>1124640</v>
      </c>
      <c r="M5" s="37">
        <f>'2035'!$O$15</f>
        <v>1124640</v>
      </c>
      <c r="N5" s="37">
        <f>'2036'!$O$15</f>
        <v>1124640</v>
      </c>
      <c r="O5" s="37">
        <f>'2037'!$O$15</f>
        <v>1124640</v>
      </c>
      <c r="P5" s="37">
        <f>'2038'!$O$15</f>
        <v>1124640</v>
      </c>
      <c r="Q5" s="37">
        <f>'2039'!$O$15</f>
        <v>1124640</v>
      </c>
      <c r="R5" s="37">
        <f>'2040'!$O$15</f>
        <v>1124640</v>
      </c>
      <c r="S5" s="119">
        <f>SUM(C5:R5)</f>
        <v>15236320</v>
      </c>
      <c r="T5" s="108">
        <f>S6+S5</f>
        <v>17086209.252525251</v>
      </c>
      <c r="U5" s="2"/>
    </row>
    <row r="6" spans="1:26" ht="15" thickTop="1">
      <c r="B6" s="4" t="s">
        <v>14</v>
      </c>
      <c r="C6">
        <f>'2025'!O6</f>
        <v>57684.252525252523</v>
      </c>
      <c r="D6">
        <f>'2026'!O6</f>
        <v>1015205</v>
      </c>
      <c r="E6">
        <f>'2027'!O6</f>
        <v>55500</v>
      </c>
      <c r="F6" s="37">
        <f>'2028'!$O$6</f>
        <v>55500</v>
      </c>
      <c r="G6" s="37">
        <f>'2029'!$O$6</f>
        <v>55500</v>
      </c>
      <c r="H6" s="37">
        <f>'2030'!$O$6</f>
        <v>55500</v>
      </c>
      <c r="I6" s="37">
        <f>'2031'!$O$6</f>
        <v>55500</v>
      </c>
      <c r="J6" s="37">
        <f>'2032'!$O$6</f>
        <v>55500</v>
      </c>
      <c r="K6" s="37">
        <f>'2033'!$O$6</f>
        <v>55500</v>
      </c>
      <c r="L6" s="37">
        <f>'2034'!$O$6</f>
        <v>55500</v>
      </c>
      <c r="M6" s="37">
        <f>'2035'!$O$6</f>
        <v>55500</v>
      </c>
      <c r="N6" s="37">
        <f>'2036'!$O$6</f>
        <v>55500</v>
      </c>
      <c r="O6" s="37">
        <f>'2037'!$O$6</f>
        <v>55500</v>
      </c>
      <c r="P6" s="37">
        <f>'2038'!$O$6</f>
        <v>55500</v>
      </c>
      <c r="Q6" s="37">
        <f>'2039'!$O$6</f>
        <v>55500</v>
      </c>
      <c r="R6" s="37">
        <f>'2040'!$O$6</f>
        <v>55500</v>
      </c>
      <c r="S6" s="119">
        <f>SUM(C6:R6)</f>
        <v>1849889.2525252525</v>
      </c>
      <c r="T6" s="109"/>
      <c r="U6" s="2"/>
      <c r="V6" s="104" t="s">
        <v>29</v>
      </c>
      <c r="W6" s="105"/>
      <c r="Y6" s="55" t="s">
        <v>39</v>
      </c>
      <c r="Z6" s="56" t="s">
        <v>52</v>
      </c>
    </row>
    <row r="7" spans="1:26" ht="15" thickBot="1">
      <c r="B7" s="8" t="s">
        <v>16</v>
      </c>
      <c r="C7" s="9">
        <f>'2025'!O8</f>
        <v>1752355.2525252525</v>
      </c>
      <c r="D7" s="9">
        <f>'2026'!O7</f>
        <v>415205</v>
      </c>
      <c r="E7" s="9">
        <f>'2027'!O7</f>
        <v>12000</v>
      </c>
      <c r="F7" s="9">
        <f>'2028'!$O$7</f>
        <v>12000</v>
      </c>
      <c r="G7" s="9">
        <f>'2029'!$O$7</f>
        <v>12000</v>
      </c>
      <c r="H7" s="9">
        <f>'2030'!$O$7</f>
        <v>12000</v>
      </c>
      <c r="I7" s="9">
        <f>'2031'!$O$7</f>
        <v>12000</v>
      </c>
      <c r="J7" s="9">
        <f>'2032'!$O$7</f>
        <v>12000</v>
      </c>
      <c r="K7" s="9">
        <f>'2033'!$O$7</f>
        <v>12000</v>
      </c>
      <c r="L7" s="9">
        <f>'2034'!$O$7</f>
        <v>12000</v>
      </c>
      <c r="M7" s="9">
        <f>'2035'!$O$7</f>
        <v>12000</v>
      </c>
      <c r="N7" s="9">
        <f>'2036'!$O$7</f>
        <v>12000</v>
      </c>
      <c r="O7" s="9">
        <f>'2037'!$O$7</f>
        <v>12000</v>
      </c>
      <c r="P7" s="9">
        <f>'2038'!$O$7</f>
        <v>12000</v>
      </c>
      <c r="Q7" s="9">
        <f>'2039'!$O$7</f>
        <v>12000</v>
      </c>
      <c r="R7" s="9">
        <f>'2040'!$O$7</f>
        <v>12000</v>
      </c>
      <c r="S7" s="120">
        <f>SUM(C7:R7)</f>
        <v>2335560.2525252523</v>
      </c>
      <c r="U7" s="12"/>
      <c r="V7" s="17" t="s">
        <v>35</v>
      </c>
      <c r="W7" s="72">
        <v>22000</v>
      </c>
      <c r="X7" s="11"/>
      <c r="Y7" s="57" t="e">
        <f>W7-X22</f>
        <v>#VALUE!</v>
      </c>
      <c r="Z7" s="60" t="e">
        <f>$W$7/$X$22*(((COUNT($C$19:$R$19))))</f>
        <v>#VALUE!</v>
      </c>
    </row>
    <row r="8" spans="1:26" ht="16" thickTop="1" thickBot="1">
      <c r="B8" s="33" t="s">
        <v>12</v>
      </c>
      <c r="C8" s="33">
        <f>'2025'!O9</f>
        <v>1810039.505050505</v>
      </c>
      <c r="D8" s="33">
        <f>'2026'!O8</f>
        <v>2030410</v>
      </c>
      <c r="E8" s="33">
        <f t="shared" ref="E8:R8" si="0">SUM(E5:E7)</f>
        <v>83500</v>
      </c>
      <c r="F8" s="33">
        <f t="shared" si="0"/>
        <v>1192140</v>
      </c>
      <c r="G8" s="33">
        <f t="shared" si="0"/>
        <v>1192140</v>
      </c>
      <c r="H8" s="33">
        <f t="shared" si="0"/>
        <v>1192140</v>
      </c>
      <c r="I8" s="33">
        <f t="shared" si="0"/>
        <v>1192140</v>
      </c>
      <c r="J8" s="33">
        <f t="shared" si="0"/>
        <v>1192140</v>
      </c>
      <c r="K8" s="33">
        <f t="shared" si="0"/>
        <v>1192140</v>
      </c>
      <c r="L8" s="33">
        <f t="shared" si="0"/>
        <v>1192140</v>
      </c>
      <c r="M8" s="33">
        <f t="shared" si="0"/>
        <v>1192140</v>
      </c>
      <c r="N8" s="34">
        <f t="shared" si="0"/>
        <v>1192140</v>
      </c>
      <c r="O8" s="34">
        <f t="shared" si="0"/>
        <v>1192140</v>
      </c>
      <c r="P8" s="34">
        <f t="shared" si="0"/>
        <v>1192140</v>
      </c>
      <c r="Q8" s="34">
        <f t="shared" si="0"/>
        <v>1192140</v>
      </c>
      <c r="R8" s="34">
        <f t="shared" si="0"/>
        <v>1192140</v>
      </c>
      <c r="S8" s="118">
        <f>SUM(S5:S7)</f>
        <v>19421769.505050503</v>
      </c>
      <c r="U8" s="12"/>
      <c r="V8" s="18" t="s">
        <v>34</v>
      </c>
      <c r="W8" s="73">
        <v>6800</v>
      </c>
      <c r="X8" s="11"/>
      <c r="Y8" s="58">
        <f>'2040'!U8</f>
        <v>4634608.1185151516</v>
      </c>
      <c r="Z8" s="61">
        <f>W8/Y9*(((COUNT(C19:R19))))</f>
        <v>-2.3510049944531593E-2</v>
      </c>
    </row>
    <row r="9" spans="1:26" ht="15" thickBot="1">
      <c r="B9" s="41" t="s">
        <v>40</v>
      </c>
      <c r="C9" s="42">
        <f t="shared" ref="C9:E9" si="1">IF(C8&gt;0,(C5+C6)/C8,"")</f>
        <v>3.1869057202507288E-2</v>
      </c>
      <c r="D9" s="42">
        <f t="shared" si="1"/>
        <v>0.79550681881984431</v>
      </c>
      <c r="E9" s="42">
        <f t="shared" si="1"/>
        <v>0.85628742514970058</v>
      </c>
      <c r="F9" s="42">
        <f>IF(F8&gt;0,(F5+F6)/F8,"")</f>
        <v>0.98993406814635865</v>
      </c>
      <c r="G9" s="42">
        <f t="shared" ref="G9:R9" si="2">IF(G8&gt;0,(G5+G6)/G8,"")</f>
        <v>0.98993406814635865</v>
      </c>
      <c r="H9" s="42">
        <f t="shared" si="2"/>
        <v>0.98993406814635865</v>
      </c>
      <c r="I9" s="42">
        <f t="shared" si="2"/>
        <v>0.98993406814635865</v>
      </c>
      <c r="J9" s="42">
        <f t="shared" si="2"/>
        <v>0.98993406814635865</v>
      </c>
      <c r="K9" s="42">
        <f t="shared" si="2"/>
        <v>0.98993406814635865</v>
      </c>
      <c r="L9" s="42">
        <f t="shared" si="2"/>
        <v>0.98993406814635865</v>
      </c>
      <c r="M9" s="42">
        <f t="shared" si="2"/>
        <v>0.98993406814635865</v>
      </c>
      <c r="N9" s="42">
        <f t="shared" si="2"/>
        <v>0.98993406814635865</v>
      </c>
      <c r="O9" s="42">
        <f t="shared" si="2"/>
        <v>0.98993406814635865</v>
      </c>
      <c r="P9" s="42">
        <f t="shared" si="2"/>
        <v>0.98993406814635865</v>
      </c>
      <c r="Q9" s="42">
        <f t="shared" si="2"/>
        <v>0.98993406814635865</v>
      </c>
      <c r="R9" s="42">
        <f t="shared" si="2"/>
        <v>0.98993406814635865</v>
      </c>
      <c r="S9" s="46">
        <f t="shared" ref="S9" si="3">(S5+S6)/S8</f>
        <v>0.87974523887136524</v>
      </c>
      <c r="U9" s="2"/>
      <c r="Y9" s="65">
        <f>W8-Y8</f>
        <v>-4627808.1185151516</v>
      </c>
    </row>
    <row r="10" spans="1:26">
      <c r="B10" s="43" t="s">
        <v>41</v>
      </c>
      <c r="C10" s="40">
        <f t="shared" ref="C10:S10" si="4">IF(C8&gt;0,(C5+C6)/C18,"")</f>
        <v>6.9201240177364847E-3</v>
      </c>
      <c r="D10" s="40">
        <f t="shared" si="4"/>
        <v>0.52446999535667549</v>
      </c>
      <c r="E10" s="40">
        <f t="shared" si="4"/>
        <v>5.6560191118072367E-2</v>
      </c>
      <c r="F10" s="40">
        <f t="shared" si="4"/>
        <v>0.93355166358156538</v>
      </c>
      <c r="G10" s="40">
        <f t="shared" si="4"/>
        <v>0.93355166358156538</v>
      </c>
      <c r="H10" s="40">
        <f t="shared" si="4"/>
        <v>0.93355166358156538</v>
      </c>
      <c r="I10" s="40">
        <f t="shared" si="4"/>
        <v>0.93355166358156538</v>
      </c>
      <c r="J10" s="40">
        <f t="shared" si="4"/>
        <v>0.93355166358156538</v>
      </c>
      <c r="K10" s="40">
        <f t="shared" si="4"/>
        <v>0.93355166358156538</v>
      </c>
      <c r="L10" s="40">
        <f t="shared" si="4"/>
        <v>0.93355166358156538</v>
      </c>
      <c r="M10" s="40">
        <f t="shared" si="4"/>
        <v>0.93355166358156538</v>
      </c>
      <c r="N10" s="40">
        <f t="shared" si="4"/>
        <v>0.93355166358156538</v>
      </c>
      <c r="O10" s="40">
        <f t="shared" si="4"/>
        <v>0.93355166358156538</v>
      </c>
      <c r="P10" s="40">
        <f t="shared" si="4"/>
        <v>0.93355166358156538</v>
      </c>
      <c r="Q10" s="40">
        <f t="shared" si="4"/>
        <v>0.93355166358156538</v>
      </c>
      <c r="R10" s="40">
        <f t="shared" si="4"/>
        <v>0.93355166358156538</v>
      </c>
      <c r="S10" s="47">
        <f t="shared" si="4"/>
        <v>0.58688520669011812</v>
      </c>
      <c r="U10" s="2"/>
      <c r="V10" s="97" t="s">
        <v>30</v>
      </c>
      <c r="W10" s="98"/>
    </row>
    <row r="11" spans="1:26" ht="15" thickBot="1">
      <c r="B11" s="44" t="s">
        <v>42</v>
      </c>
      <c r="C11" s="45">
        <f>'2025'!O12</f>
        <v>253528.58446464647</v>
      </c>
      <c r="D11" s="45">
        <f>'2026'!O11</f>
        <v>770055.84499999997</v>
      </c>
      <c r="E11" s="45">
        <f>'2027'!$O$11</f>
        <v>12012</v>
      </c>
      <c r="F11" s="45">
        <f>'2028'!$O$11</f>
        <v>12012</v>
      </c>
      <c r="G11" s="45">
        <f>'2029'!$O$11</f>
        <v>12012</v>
      </c>
      <c r="H11" s="45">
        <f>'2030'!$O$11</f>
        <v>12012</v>
      </c>
      <c r="I11" s="45">
        <f>'2031'!$O$11</f>
        <v>12012</v>
      </c>
      <c r="J11" s="45">
        <f>'2032'!$O$11</f>
        <v>12012</v>
      </c>
      <c r="K11" s="45">
        <f>'2033'!$O$11</f>
        <v>12012</v>
      </c>
      <c r="L11" s="45">
        <f>'2034'!$O$11</f>
        <v>12012</v>
      </c>
      <c r="M11" s="45">
        <f>'2035'!$O$11</f>
        <v>12012</v>
      </c>
      <c r="N11" s="45">
        <f>'2036'!$O$11</f>
        <v>12012</v>
      </c>
      <c r="O11" s="45">
        <f>'2037'!$O$11</f>
        <v>12012</v>
      </c>
      <c r="P11" s="45">
        <f>'2038'!$O$11</f>
        <v>12012</v>
      </c>
      <c r="Q11" s="45">
        <f>'2039'!$O$11</f>
        <v>12012</v>
      </c>
      <c r="R11" s="45">
        <f>'2040'!$O$11</f>
        <v>12012</v>
      </c>
      <c r="S11" s="48">
        <f>SUM(C11:N11)</f>
        <v>1143704.4294646464</v>
      </c>
      <c r="U11" s="2"/>
      <c r="V11" s="19" t="s">
        <v>0</v>
      </c>
      <c r="W11" s="20">
        <f>T5/S8</f>
        <v>0.87974523887136524</v>
      </c>
    </row>
    <row r="12" spans="1:26" ht="15" thickBo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S12" s="37"/>
      <c r="T12" s="37"/>
      <c r="U12" s="2"/>
      <c r="V12" s="21" t="s">
        <v>1</v>
      </c>
      <c r="W12" s="22">
        <f>T5/S18</f>
        <v>0.58688520669011812</v>
      </c>
    </row>
    <row r="13" spans="1:26" s="37" customFormat="1" ht="25">
      <c r="A13"/>
      <c r="B13" s="95" t="s">
        <v>38</v>
      </c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/>
      <c r="U13" s="2"/>
    </row>
    <row r="14" spans="1:26" ht="15" thickBot="1">
      <c r="B14" s="5"/>
      <c r="C14" s="5">
        <v>2020</v>
      </c>
      <c r="D14" s="5">
        <v>2021</v>
      </c>
      <c r="E14" s="5">
        <v>2022</v>
      </c>
      <c r="F14" s="5">
        <v>2023</v>
      </c>
      <c r="G14" s="5">
        <v>2024</v>
      </c>
      <c r="H14" s="5">
        <v>2025</v>
      </c>
      <c r="I14" s="5">
        <v>2026</v>
      </c>
      <c r="J14" s="5">
        <v>2027</v>
      </c>
      <c r="K14" s="5">
        <v>2028</v>
      </c>
      <c r="L14" s="5">
        <v>2029</v>
      </c>
      <c r="M14" s="5">
        <v>2030</v>
      </c>
      <c r="N14" s="5">
        <v>2031</v>
      </c>
      <c r="O14" s="5">
        <v>2032</v>
      </c>
      <c r="P14" s="5">
        <v>2033</v>
      </c>
      <c r="Q14" s="5">
        <v>2034</v>
      </c>
      <c r="R14" s="5">
        <v>2035</v>
      </c>
      <c r="S14" s="5" t="s">
        <v>11</v>
      </c>
      <c r="U14" s="2"/>
      <c r="W14" s="11"/>
    </row>
    <row r="15" spans="1:26">
      <c r="B15" s="3" t="s">
        <v>13</v>
      </c>
      <c r="C15" s="129">
        <f>'2025'!O16</f>
        <v>8253000</v>
      </c>
      <c r="D15" s="129">
        <f>'2026'!O15</f>
        <v>1124640</v>
      </c>
      <c r="E15" s="129">
        <f>'2027'!$O$15</f>
        <v>1124640</v>
      </c>
      <c r="F15" s="129">
        <f>'2028'!$O$15</f>
        <v>1124640</v>
      </c>
      <c r="G15" s="129">
        <f>'2029'!$O$15</f>
        <v>1124640</v>
      </c>
      <c r="H15" s="129">
        <f>'2030'!$O$15</f>
        <v>1124640</v>
      </c>
      <c r="I15" s="129">
        <f>'2031'!$O$15</f>
        <v>1124640</v>
      </c>
      <c r="J15" s="129">
        <f>'2032'!$O$15</f>
        <v>1124640</v>
      </c>
      <c r="K15" s="129">
        <f>'2033'!$O$15</f>
        <v>1124640</v>
      </c>
      <c r="L15" s="129">
        <f>'2034'!$O$15</f>
        <v>1124640</v>
      </c>
      <c r="M15" s="129">
        <f>'2035'!$O$15</f>
        <v>1124640</v>
      </c>
      <c r="N15" s="129">
        <f>'2036'!$O$15</f>
        <v>1124640</v>
      </c>
      <c r="O15" s="129">
        <f>'2037'!$O$15</f>
        <v>1124640</v>
      </c>
      <c r="P15" s="129">
        <f>'2038'!$O$15</f>
        <v>1124640</v>
      </c>
      <c r="Q15" s="129">
        <f>'2039'!$O$15</f>
        <v>1124640</v>
      </c>
      <c r="R15" s="129">
        <f>'2040'!$O$15</f>
        <v>1124640</v>
      </c>
      <c r="S15" s="119">
        <f>SUM(C15:R15)</f>
        <v>25122600</v>
      </c>
      <c r="U15" s="2"/>
      <c r="V15" s="99" t="s">
        <v>31</v>
      </c>
      <c r="W15" s="100"/>
    </row>
    <row r="16" spans="1:26">
      <c r="B16" s="1" t="s">
        <v>15</v>
      </c>
      <c r="C16" s="127">
        <f>'2025'!O17</f>
        <v>57525.252525252523</v>
      </c>
      <c r="D16" s="127">
        <f>'2026'!O16</f>
        <v>415205</v>
      </c>
      <c r="E16" s="127">
        <f>'2027'!$O$16</f>
        <v>7500</v>
      </c>
      <c r="F16" s="127">
        <f>'2028'!$O$16</f>
        <v>7500</v>
      </c>
      <c r="G16" s="127">
        <f>'2029'!$O$16</f>
        <v>7500</v>
      </c>
      <c r="H16" s="127">
        <f>'2030'!$O$16</f>
        <v>7500</v>
      </c>
      <c r="I16" s="127">
        <f>'2031'!$O$16</f>
        <v>7500</v>
      </c>
      <c r="J16" s="127">
        <f>'2032'!$O$16</f>
        <v>7500</v>
      </c>
      <c r="K16" s="127">
        <f>'2033'!$O$16</f>
        <v>7500</v>
      </c>
      <c r="L16" s="127">
        <f>'2034'!$O$16</f>
        <v>7500</v>
      </c>
      <c r="M16" s="127">
        <f>'2035'!$O$16</f>
        <v>7500</v>
      </c>
      <c r="N16" s="127">
        <f>'2036'!$O$16</f>
        <v>7500</v>
      </c>
      <c r="O16" s="127">
        <f>'2037'!$O$16</f>
        <v>7500</v>
      </c>
      <c r="P16" s="127">
        <f>'2038'!$O$16</f>
        <v>7500</v>
      </c>
      <c r="Q16" s="127">
        <f>'2039'!$O$16</f>
        <v>7500</v>
      </c>
      <c r="R16" s="127">
        <f>'2040'!$O$16</f>
        <v>7500</v>
      </c>
      <c r="S16" s="119">
        <f>SUM(C16:R16)</f>
        <v>577730.25252525252</v>
      </c>
      <c r="U16" s="2"/>
      <c r="V16" s="23" t="s">
        <v>19</v>
      </c>
      <c r="W16" s="24">
        <f>S16</f>
        <v>577730.25252525252</v>
      </c>
      <c r="Y16" s="38"/>
    </row>
    <row r="17" spans="2:32" ht="15" thickBot="1">
      <c r="B17" s="10" t="s">
        <v>17</v>
      </c>
      <c r="C17" s="128">
        <f>'2025'!O20</f>
        <v>25200</v>
      </c>
      <c r="D17" s="128">
        <f>'2026'!O17</f>
        <v>1539845</v>
      </c>
      <c r="E17" s="128">
        <f>'2027'!$O$17</f>
        <v>132000</v>
      </c>
      <c r="F17" s="128">
        <f>'2028'!$O$17</f>
        <v>132000</v>
      </c>
      <c r="G17" s="128">
        <f>'2029'!$O$17</f>
        <v>132000</v>
      </c>
      <c r="H17" s="128">
        <f>'2030'!$O$17</f>
        <v>132000</v>
      </c>
      <c r="I17" s="128">
        <f>'2031'!$O$17</f>
        <v>132000</v>
      </c>
      <c r="J17" s="128">
        <f>'2032'!$O$17</f>
        <v>132000</v>
      </c>
      <c r="K17" s="128">
        <f>'2033'!$O$17</f>
        <v>132000</v>
      </c>
      <c r="L17" s="128">
        <f>'2034'!$O$17</f>
        <v>132000</v>
      </c>
      <c r="M17" s="128">
        <f>'2035'!$O$17</f>
        <v>132000</v>
      </c>
      <c r="N17" s="128">
        <f>'2036'!$O$17</f>
        <v>132000</v>
      </c>
      <c r="O17" s="128">
        <f>'2037'!$O$17</f>
        <v>132000</v>
      </c>
      <c r="P17" s="128">
        <f>'2038'!$O$17</f>
        <v>132000</v>
      </c>
      <c r="Q17" s="128">
        <f>'2039'!$O$17</f>
        <v>132000</v>
      </c>
      <c r="R17" s="128">
        <f>'2040'!$O$17</f>
        <v>132000</v>
      </c>
      <c r="S17" s="120">
        <f>SUM(C17:R17)</f>
        <v>3413045</v>
      </c>
      <c r="U17" s="2"/>
      <c r="V17" s="23" t="s">
        <v>18</v>
      </c>
      <c r="W17" s="24">
        <f>S6</f>
        <v>1849889.2525252525</v>
      </c>
    </row>
    <row r="18" spans="2:32" ht="16" thickTop="1" thickBot="1">
      <c r="B18" s="6" t="s">
        <v>12</v>
      </c>
      <c r="C18" s="6">
        <f>'2025'!O21</f>
        <v>8335725.2525252523</v>
      </c>
      <c r="D18" s="6">
        <f t="shared" ref="D18:R18" si="5">SUM(D15:D17)</f>
        <v>3079690</v>
      </c>
      <c r="E18" s="6">
        <f t="shared" si="5"/>
        <v>1264140</v>
      </c>
      <c r="F18" s="6">
        <f t="shared" si="5"/>
        <v>1264140</v>
      </c>
      <c r="G18" s="6">
        <f t="shared" si="5"/>
        <v>1264140</v>
      </c>
      <c r="H18" s="6">
        <f t="shared" si="5"/>
        <v>1264140</v>
      </c>
      <c r="I18" s="6">
        <f t="shared" si="5"/>
        <v>1264140</v>
      </c>
      <c r="J18" s="6">
        <f t="shared" si="5"/>
        <v>1264140</v>
      </c>
      <c r="K18" s="6">
        <f t="shared" si="5"/>
        <v>1264140</v>
      </c>
      <c r="L18" s="6">
        <f t="shared" si="5"/>
        <v>1264140</v>
      </c>
      <c r="M18" s="6">
        <f t="shared" si="5"/>
        <v>1264140</v>
      </c>
      <c r="N18" s="7">
        <f t="shared" si="5"/>
        <v>1264140</v>
      </c>
      <c r="O18" s="7">
        <f t="shared" si="5"/>
        <v>1264140</v>
      </c>
      <c r="P18" s="7">
        <f t="shared" si="5"/>
        <v>1264140</v>
      </c>
      <c r="Q18" s="7">
        <f t="shared" si="5"/>
        <v>1264140</v>
      </c>
      <c r="R18" s="7">
        <f t="shared" si="5"/>
        <v>1264140</v>
      </c>
      <c r="S18" s="117">
        <f>SUM(S15:S17)</f>
        <v>29113375.252525251</v>
      </c>
      <c r="U18" s="2"/>
      <c r="V18" s="23" t="s">
        <v>20</v>
      </c>
      <c r="W18" s="24">
        <f>100/W16*W17</f>
        <v>320.19947794656883</v>
      </c>
    </row>
    <row r="19" spans="2:32" s="37" customFormat="1" ht="15" thickBot="1">
      <c r="B19" s="41" t="s">
        <v>44</v>
      </c>
      <c r="C19" s="50">
        <f>IF(C18&gt;0,C18/$W$3,"")</f>
        <v>833.57252525252522</v>
      </c>
      <c r="D19" s="50">
        <f t="shared" ref="D19:R19" si="6">IF(D18&gt;0,D18/$W$3,"")</f>
        <v>307.96899999999999</v>
      </c>
      <c r="E19" s="50">
        <f t="shared" si="6"/>
        <v>126.414</v>
      </c>
      <c r="F19" s="50">
        <f t="shared" si="6"/>
        <v>126.414</v>
      </c>
      <c r="G19" s="50">
        <f t="shared" si="6"/>
        <v>126.414</v>
      </c>
      <c r="H19" s="50">
        <f t="shared" si="6"/>
        <v>126.414</v>
      </c>
      <c r="I19" s="50">
        <f t="shared" si="6"/>
        <v>126.414</v>
      </c>
      <c r="J19" s="50">
        <f t="shared" si="6"/>
        <v>126.414</v>
      </c>
      <c r="K19" s="50">
        <f t="shared" si="6"/>
        <v>126.414</v>
      </c>
      <c r="L19" s="50">
        <f t="shared" si="6"/>
        <v>126.414</v>
      </c>
      <c r="M19" s="50">
        <f t="shared" si="6"/>
        <v>126.414</v>
      </c>
      <c r="N19" s="50">
        <f t="shared" si="6"/>
        <v>126.414</v>
      </c>
      <c r="O19" s="50">
        <f t="shared" si="6"/>
        <v>126.414</v>
      </c>
      <c r="P19" s="50">
        <f t="shared" si="6"/>
        <v>126.414</v>
      </c>
      <c r="Q19" s="50">
        <f t="shared" si="6"/>
        <v>126.414</v>
      </c>
      <c r="R19" s="50">
        <f t="shared" si="6"/>
        <v>126.414</v>
      </c>
      <c r="S19" s="52">
        <f>SUM(C19:N19)/COUNT(C19:N19)</f>
        <v>200.47346043771049</v>
      </c>
      <c r="U19" s="2"/>
      <c r="V19" s="25" t="s">
        <v>21</v>
      </c>
      <c r="W19" s="26">
        <f>100-W18</f>
        <v>-220.19947794656883</v>
      </c>
      <c r="Y19"/>
      <c r="AA19"/>
    </row>
    <row r="20" spans="2:32" s="37" customFormat="1" ht="15" thickBot="1">
      <c r="B20" s="43" t="s">
        <v>46</v>
      </c>
      <c r="C20" s="51">
        <f>IF(C8&gt;0,C16/365,"")</f>
        <v>157.6034315760343</v>
      </c>
      <c r="D20" s="51">
        <f>IF(D8&gt;0,D16/365,"")</f>
        <v>1137.5479452054794</v>
      </c>
      <c r="E20" s="51">
        <f>IF(E8&gt;0,E16/365,"")</f>
        <v>20.547945205479451</v>
      </c>
      <c r="F20" s="51">
        <f t="shared" ref="F20:R20" si="7">IF(F8&gt;0,F16/365,"")</f>
        <v>20.547945205479451</v>
      </c>
      <c r="G20" s="51">
        <f t="shared" si="7"/>
        <v>20.547945205479451</v>
      </c>
      <c r="H20" s="51">
        <f t="shared" si="7"/>
        <v>20.547945205479451</v>
      </c>
      <c r="I20" s="51">
        <f t="shared" si="7"/>
        <v>20.547945205479451</v>
      </c>
      <c r="J20" s="51">
        <f t="shared" si="7"/>
        <v>20.547945205479451</v>
      </c>
      <c r="K20" s="51">
        <f t="shared" si="7"/>
        <v>20.547945205479451</v>
      </c>
      <c r="L20" s="51">
        <f t="shared" si="7"/>
        <v>20.547945205479451</v>
      </c>
      <c r="M20" s="51">
        <f t="shared" si="7"/>
        <v>20.547945205479451</v>
      </c>
      <c r="N20" s="51">
        <f t="shared" si="7"/>
        <v>20.547945205479451</v>
      </c>
      <c r="O20" s="51">
        <f t="shared" si="7"/>
        <v>20.547945205479451</v>
      </c>
      <c r="P20" s="51">
        <f t="shared" si="7"/>
        <v>20.547945205479451</v>
      </c>
      <c r="Q20" s="51">
        <f t="shared" si="7"/>
        <v>20.547945205479451</v>
      </c>
      <c r="R20" s="51">
        <f t="shared" si="7"/>
        <v>20.547945205479451</v>
      </c>
      <c r="S20" s="52">
        <f>SUM(C20:N20)/COUNT(C20:N20)</f>
        <v>125.05256906969235</v>
      </c>
      <c r="U20" s="2"/>
      <c r="Y20"/>
      <c r="AA20"/>
    </row>
    <row r="21" spans="2:32" s="37" customFormat="1" ht="15" thickBot="1">
      <c r="B21" s="43" t="s">
        <v>47</v>
      </c>
      <c r="C21" s="40">
        <f>IF(C18&gt;0,C17/C18,"")</f>
        <v>3.0231322694286053E-3</v>
      </c>
      <c r="D21" s="40">
        <f t="shared" ref="D21:R21" si="8">IF(D18&gt;0,D17/D18,"")</f>
        <v>0.5</v>
      </c>
      <c r="E21" s="40">
        <f t="shared" si="8"/>
        <v>0.1044188143718259</v>
      </c>
      <c r="F21" s="40">
        <f t="shared" si="8"/>
        <v>0.1044188143718259</v>
      </c>
      <c r="G21" s="40">
        <f t="shared" si="8"/>
        <v>0.1044188143718259</v>
      </c>
      <c r="H21" s="40">
        <f t="shared" si="8"/>
        <v>0.1044188143718259</v>
      </c>
      <c r="I21" s="40">
        <f t="shared" si="8"/>
        <v>0.1044188143718259</v>
      </c>
      <c r="J21" s="40">
        <f t="shared" si="8"/>
        <v>0.1044188143718259</v>
      </c>
      <c r="K21" s="40">
        <f t="shared" si="8"/>
        <v>0.1044188143718259</v>
      </c>
      <c r="L21" s="40">
        <f t="shared" si="8"/>
        <v>0.1044188143718259</v>
      </c>
      <c r="M21" s="40">
        <f t="shared" si="8"/>
        <v>0.1044188143718259</v>
      </c>
      <c r="N21" s="40">
        <f t="shared" si="8"/>
        <v>0.1044188143718259</v>
      </c>
      <c r="O21" s="40">
        <f t="shared" si="8"/>
        <v>0.1044188143718259</v>
      </c>
      <c r="P21" s="40">
        <f t="shared" si="8"/>
        <v>0.1044188143718259</v>
      </c>
      <c r="Q21" s="40">
        <f t="shared" si="8"/>
        <v>0.1044188143718259</v>
      </c>
      <c r="R21" s="40">
        <f t="shared" si="8"/>
        <v>0.1044188143718259</v>
      </c>
      <c r="S21" s="47">
        <f>S17/S18</f>
        <v>0.11723288592943058</v>
      </c>
      <c r="U21" s="2"/>
      <c r="V21" s="101" t="s">
        <v>32</v>
      </c>
      <c r="W21" s="102"/>
      <c r="Y21"/>
      <c r="AA21"/>
    </row>
    <row r="22" spans="2:32" ht="15" thickBot="1">
      <c r="B22" s="44" t="s">
        <v>51</v>
      </c>
      <c r="C22" s="74">
        <f t="shared" ref="C22:S22" si="9">IF(C8&gt;0,100/C16*C6-100,"")</f>
        <v>0.2764003511852593</v>
      </c>
      <c r="D22" s="74">
        <f t="shared" si="9"/>
        <v>144.50693031153287</v>
      </c>
      <c r="E22" s="74">
        <f t="shared" si="9"/>
        <v>640</v>
      </c>
      <c r="F22" s="74">
        <f t="shared" si="9"/>
        <v>640</v>
      </c>
      <c r="G22" s="74">
        <f t="shared" si="9"/>
        <v>640</v>
      </c>
      <c r="H22" s="74">
        <f t="shared" si="9"/>
        <v>640</v>
      </c>
      <c r="I22" s="74">
        <f t="shared" si="9"/>
        <v>640</v>
      </c>
      <c r="J22" s="74">
        <f t="shared" si="9"/>
        <v>640</v>
      </c>
      <c r="K22" s="74">
        <f t="shared" si="9"/>
        <v>640</v>
      </c>
      <c r="L22" s="74">
        <f t="shared" si="9"/>
        <v>640</v>
      </c>
      <c r="M22" s="74">
        <f t="shared" si="9"/>
        <v>640</v>
      </c>
      <c r="N22" s="74">
        <f t="shared" si="9"/>
        <v>640</v>
      </c>
      <c r="O22" s="74">
        <f t="shared" si="9"/>
        <v>640</v>
      </c>
      <c r="P22" s="74">
        <f t="shared" si="9"/>
        <v>640</v>
      </c>
      <c r="Q22" s="74">
        <f t="shared" si="9"/>
        <v>640</v>
      </c>
      <c r="R22" s="74">
        <f t="shared" si="9"/>
        <v>640</v>
      </c>
      <c r="S22" s="75">
        <f t="shared" si="9"/>
        <v>220.19947794656883</v>
      </c>
      <c r="U22" s="2"/>
      <c r="V22" s="27" t="s">
        <v>22</v>
      </c>
      <c r="W22" s="28" t="e">
        <f>'2025'!S22+'2026'!S22+'2027'!S22+'2028'!S22+'2029'!S22+'2030'!S22+'2031'!S22+'2032'!S22+'2033'!S22+'2034'!S22+'2035'!S22+'2036'!S22+'2037'!S22+'2038'!S22+'2039'!S22+'2040'!S22</f>
        <v>#VALUE!</v>
      </c>
      <c r="X22" s="106" t="e">
        <f>SUM(W22:W24)</f>
        <v>#VALUE!</v>
      </c>
      <c r="Y22" s="39" t="s">
        <v>43</v>
      </c>
    </row>
    <row r="23" spans="2:32">
      <c r="U23" s="2"/>
      <c r="V23" s="27" t="s">
        <v>54</v>
      </c>
      <c r="W23" s="28">
        <f>'2025'!S32+'2026'!S28+'2027'!S23+'2028'!S23+'2029'!S23+'2030'!S23+'2031'!S23+'2032'!S23+'2033'!S23+'2034'!S23+'2035'!S23+'2036'!S23+'2037'!S23+'2038'!S23+'2039'!S23+'2040'!S23</f>
        <v>437240.38446464646</v>
      </c>
      <c r="X23" s="107"/>
      <c r="Y23" s="85" t="e">
        <f>1/Gesamt!W7*X22</f>
        <v>#VALUE!</v>
      </c>
    </row>
    <row r="24" spans="2:32" ht="15" thickBot="1">
      <c r="U24" s="2"/>
      <c r="V24" s="29" t="s">
        <v>24</v>
      </c>
      <c r="W24" s="30">
        <f>'2025'!S33+'2026'!S29+'2027'!S24+'2028'!S24+'2029'!S24+'2030'!S24+'2031'!S24+'2032'!S24+'2033'!S24+'2034'!S24+'2035'!S24+'2036'!S24+'2037'!S24+'2038'!S24+'2039'!S24+'2040'!S24</f>
        <v>170756.9742967253</v>
      </c>
      <c r="X24" s="91"/>
      <c r="Y24" s="86"/>
    </row>
    <row r="25" spans="2:32" ht="15" thickBot="1">
      <c r="U25" s="2"/>
    </row>
    <row r="26" spans="2:32">
      <c r="U26" s="2"/>
      <c r="V26" s="87" t="s">
        <v>33</v>
      </c>
      <c r="W26" s="88"/>
    </row>
    <row r="27" spans="2:32" ht="15" thickBot="1">
      <c r="U27" s="2"/>
      <c r="V27" s="31" t="s">
        <v>23</v>
      </c>
      <c r="W27" s="32">
        <f>'2025'!S36+'2026'!S32+'2027'!S27+'2028'!S27+'2029'!S27+'2030'!S27+'2031'!S27+'2032'!S27+'2033'!S27+'2034'!S27+'2035'!S27+'2036'!S27+'2037'!S27+'2038'!S27+'2039'!S27+'2040'!S27</f>
        <v>669399.7064646465</v>
      </c>
    </row>
    <row r="28" spans="2:32">
      <c r="U28" s="2"/>
    </row>
    <row r="29" spans="2:32">
      <c r="U29" s="2"/>
      <c r="V29" s="114"/>
      <c r="W29" s="116"/>
      <c r="X29" s="116"/>
    </row>
    <row r="30" spans="2:32">
      <c r="U30" s="2"/>
      <c r="V30" s="115"/>
      <c r="W30" s="116"/>
      <c r="X30" s="116"/>
      <c r="AF30" t="s">
        <v>60</v>
      </c>
    </row>
    <row r="31" spans="2:32">
      <c r="U31" s="2"/>
      <c r="V31" s="114"/>
      <c r="W31" s="116"/>
      <c r="X31" s="116"/>
      <c r="AF31" t="s">
        <v>61</v>
      </c>
    </row>
    <row r="32" spans="2:32">
      <c r="U32" s="2"/>
    </row>
    <row r="33" spans="2:24">
      <c r="U33" s="2"/>
      <c r="V33"/>
      <c r="W33"/>
      <c r="X33"/>
    </row>
    <row r="34" spans="2:24">
      <c r="U34" s="2"/>
      <c r="V34"/>
      <c r="W34"/>
      <c r="X34"/>
    </row>
    <row r="35" spans="2:24">
      <c r="U35" s="2"/>
      <c r="V35"/>
      <c r="W35"/>
      <c r="X35"/>
    </row>
    <row r="36" spans="2:24">
      <c r="U36" s="2"/>
    </row>
    <row r="37" spans="2:24">
      <c r="U37" s="2"/>
    </row>
    <row r="38" spans="2:24">
      <c r="U38" s="2"/>
    </row>
    <row r="45" spans="2:24"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</row>
    <row r="46" spans="2:24">
      <c r="B46" s="5" t="s">
        <v>65</v>
      </c>
      <c r="C46" s="5">
        <f>C11</f>
        <v>253528.58446464647</v>
      </c>
      <c r="D46" s="5">
        <f t="shared" ref="D46:O46" si="10">D11</f>
        <v>770055.84499999997</v>
      </c>
      <c r="E46" s="5">
        <f t="shared" si="10"/>
        <v>12012</v>
      </c>
      <c r="F46" s="5">
        <f t="shared" si="10"/>
        <v>12012</v>
      </c>
      <c r="G46" s="5">
        <f t="shared" si="10"/>
        <v>12012</v>
      </c>
      <c r="H46" s="5">
        <f t="shared" si="10"/>
        <v>12012</v>
      </c>
      <c r="I46" s="5">
        <f t="shared" si="10"/>
        <v>12012</v>
      </c>
      <c r="J46" s="5">
        <f t="shared" si="10"/>
        <v>12012</v>
      </c>
      <c r="K46" s="5">
        <f t="shared" si="10"/>
        <v>12012</v>
      </c>
      <c r="L46" s="5">
        <f t="shared" si="10"/>
        <v>12012</v>
      </c>
      <c r="M46" s="5">
        <f t="shared" si="10"/>
        <v>12012</v>
      </c>
      <c r="N46" s="5">
        <f t="shared" si="10"/>
        <v>12012</v>
      </c>
      <c r="O46" s="5">
        <f t="shared" si="10"/>
        <v>12012</v>
      </c>
    </row>
    <row r="47" spans="2:24">
      <c r="B47" s="5" t="s">
        <v>62</v>
      </c>
      <c r="C47" s="5" t="s">
        <v>2</v>
      </c>
      <c r="D47" s="5" t="s">
        <v>3</v>
      </c>
      <c r="E47" s="5" t="s">
        <v>4</v>
      </c>
      <c r="F47" s="5" t="s">
        <v>5</v>
      </c>
      <c r="G47" s="5" t="s">
        <v>6</v>
      </c>
      <c r="H47" s="5" t="s">
        <v>7</v>
      </c>
      <c r="I47" s="5" t="s">
        <v>8</v>
      </c>
      <c r="J47" s="5" t="s">
        <v>9</v>
      </c>
      <c r="K47" s="5" t="s">
        <v>27</v>
      </c>
      <c r="L47" s="5" t="s">
        <v>10</v>
      </c>
      <c r="M47" s="5" t="s">
        <v>26</v>
      </c>
      <c r="N47" s="5" t="s">
        <v>25</v>
      </c>
      <c r="O47" s="5" t="s">
        <v>11</v>
      </c>
    </row>
    <row r="48" spans="2:24">
      <c r="B48" s="76" t="s">
        <v>90</v>
      </c>
      <c r="C48" s="76">
        <v>2</v>
      </c>
      <c r="D48" s="76">
        <v>2</v>
      </c>
      <c r="E48" s="76">
        <v>2</v>
      </c>
      <c r="F48" s="76">
        <v>1</v>
      </c>
      <c r="G48" s="76">
        <v>1</v>
      </c>
      <c r="H48" s="76">
        <v>1</v>
      </c>
      <c r="I48" s="76">
        <v>1</v>
      </c>
      <c r="J48" s="76">
        <v>1</v>
      </c>
      <c r="K48" s="76">
        <v>2</v>
      </c>
      <c r="L48" s="76"/>
      <c r="M48" s="76">
        <v>2</v>
      </c>
      <c r="N48" s="76">
        <v>2</v>
      </c>
      <c r="O48" s="76">
        <f>SUM(C48:N48)</f>
        <v>17</v>
      </c>
    </row>
    <row r="49" spans="2:15">
      <c r="B49" s="76" t="s">
        <v>91</v>
      </c>
      <c r="C49" s="76">
        <v>1</v>
      </c>
      <c r="D49" s="76">
        <v>1</v>
      </c>
      <c r="E49" s="76">
        <v>1</v>
      </c>
      <c r="F49" s="76">
        <v>1</v>
      </c>
      <c r="G49" s="76"/>
      <c r="H49" s="76">
        <v>1</v>
      </c>
      <c r="I49" s="76">
        <v>1</v>
      </c>
      <c r="J49" s="76">
        <v>1</v>
      </c>
      <c r="K49" s="76">
        <v>1</v>
      </c>
      <c r="L49" s="76">
        <v>1</v>
      </c>
      <c r="M49" s="76">
        <v>1</v>
      </c>
      <c r="N49" s="76"/>
      <c r="O49" s="76">
        <f t="shared" ref="O49:O56" si="11">SUM(C49:N49)</f>
        <v>10</v>
      </c>
    </row>
    <row r="50" spans="2:15">
      <c r="B50" s="76" t="s">
        <v>92</v>
      </c>
      <c r="C50" s="76">
        <v>1</v>
      </c>
      <c r="D50" s="76">
        <v>1</v>
      </c>
      <c r="E50" s="76">
        <v>1</v>
      </c>
      <c r="F50" s="76">
        <v>1</v>
      </c>
      <c r="G50" s="76">
        <v>1</v>
      </c>
      <c r="H50" s="76">
        <v>1</v>
      </c>
      <c r="I50" s="76">
        <v>1</v>
      </c>
      <c r="J50" s="76">
        <v>1</v>
      </c>
      <c r="K50" s="76">
        <v>1</v>
      </c>
      <c r="L50" s="76">
        <v>1</v>
      </c>
      <c r="M50" s="76">
        <v>1</v>
      </c>
      <c r="N50" s="76">
        <v>1</v>
      </c>
      <c r="O50" s="76">
        <f t="shared" si="11"/>
        <v>12</v>
      </c>
    </row>
    <row r="51" spans="2:15">
      <c r="B51" s="76" t="s">
        <v>93</v>
      </c>
      <c r="C51" s="76">
        <v>1</v>
      </c>
      <c r="D51" s="76">
        <v>1</v>
      </c>
      <c r="E51" s="76">
        <v>1</v>
      </c>
      <c r="F51" s="76">
        <v>1</v>
      </c>
      <c r="G51" s="76">
        <v>1</v>
      </c>
      <c r="H51" s="76">
        <v>1</v>
      </c>
      <c r="I51" s="76">
        <v>1</v>
      </c>
      <c r="J51" s="76">
        <v>1</v>
      </c>
      <c r="K51" s="76">
        <v>1</v>
      </c>
      <c r="L51" s="76">
        <v>1</v>
      </c>
      <c r="M51" s="76">
        <v>1</v>
      </c>
      <c r="N51" s="76">
        <v>1</v>
      </c>
      <c r="O51" s="76">
        <f t="shared" si="11"/>
        <v>12</v>
      </c>
    </row>
    <row r="52" spans="2:15">
      <c r="B52" s="76" t="s">
        <v>94</v>
      </c>
      <c r="C52" s="76">
        <v>10</v>
      </c>
      <c r="D52" s="76">
        <v>10</v>
      </c>
      <c r="E52" s="76">
        <v>10</v>
      </c>
      <c r="F52" s="76">
        <v>10</v>
      </c>
      <c r="G52" s="76">
        <v>10</v>
      </c>
      <c r="H52" s="76">
        <v>10</v>
      </c>
      <c r="I52" s="76">
        <v>10</v>
      </c>
      <c r="J52" s="76">
        <v>10</v>
      </c>
      <c r="K52" s="76">
        <v>10</v>
      </c>
      <c r="L52" s="76">
        <v>10</v>
      </c>
      <c r="M52" s="76">
        <v>10</v>
      </c>
      <c r="N52" s="76">
        <v>10</v>
      </c>
      <c r="O52" s="76">
        <f t="shared" si="11"/>
        <v>120</v>
      </c>
    </row>
    <row r="53" spans="2:15">
      <c r="B53" s="76" t="s">
        <v>95</v>
      </c>
      <c r="C53" s="76">
        <v>1</v>
      </c>
      <c r="D53" s="113">
        <v>1</v>
      </c>
      <c r="E53" s="113">
        <v>1</v>
      </c>
      <c r="F53" s="113">
        <v>1</v>
      </c>
      <c r="G53" s="113">
        <v>1</v>
      </c>
      <c r="H53" s="113">
        <v>1</v>
      </c>
      <c r="I53" s="113">
        <v>1</v>
      </c>
      <c r="J53" s="113">
        <v>1</v>
      </c>
      <c r="K53" s="113">
        <v>1</v>
      </c>
      <c r="L53" s="113">
        <v>1</v>
      </c>
      <c r="M53" s="113">
        <v>1</v>
      </c>
      <c r="N53" s="113">
        <v>1</v>
      </c>
      <c r="O53" s="76">
        <f t="shared" si="11"/>
        <v>12</v>
      </c>
    </row>
    <row r="54" spans="2:15">
      <c r="B54" s="76" t="s">
        <v>96</v>
      </c>
      <c r="C54" s="76">
        <v>1</v>
      </c>
      <c r="D54" s="113">
        <v>1</v>
      </c>
      <c r="E54" s="113">
        <v>1</v>
      </c>
      <c r="F54" s="113">
        <v>1</v>
      </c>
      <c r="G54" s="113">
        <v>1</v>
      </c>
      <c r="H54" s="113">
        <v>1</v>
      </c>
      <c r="I54" s="113">
        <v>1</v>
      </c>
      <c r="J54" s="113">
        <v>1</v>
      </c>
      <c r="K54" s="113">
        <v>1</v>
      </c>
      <c r="L54" s="113">
        <v>1</v>
      </c>
      <c r="M54" s="113">
        <v>1</v>
      </c>
      <c r="N54" s="113">
        <v>1</v>
      </c>
      <c r="O54" s="76">
        <f t="shared" si="11"/>
        <v>12</v>
      </c>
    </row>
    <row r="55" spans="2:15">
      <c r="B55" s="77" t="s">
        <v>97</v>
      </c>
      <c r="C55" s="77">
        <v>1</v>
      </c>
      <c r="D55" s="113">
        <v>1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76">
        <f t="shared" si="11"/>
        <v>12</v>
      </c>
    </row>
    <row r="56" spans="2:15" ht="15" thickBot="1">
      <c r="B56" s="77" t="s">
        <v>70</v>
      </c>
      <c r="C56" s="77">
        <f>C46-C48-C49-C50-C51-C52-C53-C54-C55</f>
        <v>253510.58446464647</v>
      </c>
      <c r="D56" s="77">
        <f t="shared" ref="D56:N56" si="12">D46-D48-D49-D50-D51-D52-D53-D54-D55</f>
        <v>770037.84499999997</v>
      </c>
      <c r="E56" s="77">
        <f t="shared" si="12"/>
        <v>11994</v>
      </c>
      <c r="F56" s="77">
        <f>(F46-F48-F49-F50-F51-F52-F53-F54-F55)</f>
        <v>11995</v>
      </c>
      <c r="G56" s="77">
        <f t="shared" si="12"/>
        <v>11996</v>
      </c>
      <c r="H56" s="77">
        <f t="shared" si="12"/>
        <v>11995</v>
      </c>
      <c r="I56" s="77">
        <f t="shared" si="12"/>
        <v>11995</v>
      </c>
      <c r="J56" s="77">
        <f t="shared" si="12"/>
        <v>11995</v>
      </c>
      <c r="K56" s="77">
        <f t="shared" si="12"/>
        <v>11994</v>
      </c>
      <c r="L56" s="77">
        <f t="shared" si="12"/>
        <v>11996</v>
      </c>
      <c r="M56" s="77">
        <f t="shared" si="12"/>
        <v>11994</v>
      </c>
      <c r="N56" s="77">
        <f t="shared" si="12"/>
        <v>11995</v>
      </c>
      <c r="O56" s="76">
        <f t="shared" si="11"/>
        <v>1143497.4294646464</v>
      </c>
    </row>
    <row r="57" spans="2:15" ht="15" thickBot="1">
      <c r="B57" s="78" t="s">
        <v>11</v>
      </c>
      <c r="C57" s="79">
        <f>SUM(C48:C56)</f>
        <v>253528.58446464647</v>
      </c>
      <c r="D57" s="79">
        <f t="shared" ref="D57:O57" si="13">SUM(D48:D56)</f>
        <v>770055.84499999997</v>
      </c>
      <c r="E57" s="79">
        <f t="shared" si="13"/>
        <v>12012</v>
      </c>
      <c r="F57" s="79">
        <f t="shared" si="13"/>
        <v>12012</v>
      </c>
      <c r="G57" s="79">
        <f t="shared" si="13"/>
        <v>12012</v>
      </c>
      <c r="H57" s="79">
        <f t="shared" si="13"/>
        <v>12012</v>
      </c>
      <c r="I57" s="79">
        <f t="shared" si="13"/>
        <v>12012</v>
      </c>
      <c r="J57" s="79">
        <f t="shared" si="13"/>
        <v>12012</v>
      </c>
      <c r="K57" s="79">
        <f t="shared" si="13"/>
        <v>12012</v>
      </c>
      <c r="L57" s="79">
        <f t="shared" si="13"/>
        <v>12012</v>
      </c>
      <c r="M57" s="79">
        <f t="shared" si="13"/>
        <v>12012</v>
      </c>
      <c r="N57" s="79">
        <f t="shared" si="13"/>
        <v>12012</v>
      </c>
      <c r="O57" s="79">
        <f t="shared" si="13"/>
        <v>1143704.4294646464</v>
      </c>
    </row>
  </sheetData>
  <mergeCells count="15">
    <mergeCell ref="W29:X29"/>
    <mergeCell ref="W30:X30"/>
    <mergeCell ref="W31:X31"/>
    <mergeCell ref="V26:W26"/>
    <mergeCell ref="V10:W10"/>
    <mergeCell ref="A1:T1"/>
    <mergeCell ref="V1:W1"/>
    <mergeCell ref="B3:S3"/>
    <mergeCell ref="T5:T6"/>
    <mergeCell ref="V6:W6"/>
    <mergeCell ref="Y23:Y24"/>
    <mergeCell ref="B13:S13"/>
    <mergeCell ref="V15:W15"/>
    <mergeCell ref="V21:W21"/>
    <mergeCell ref="X22:X24"/>
  </mergeCells>
  <pageMargins left="0.7" right="0.7" top="0.78740157499999996" bottom="0.78740157499999996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5"/>
  <sheetViews>
    <sheetView zoomScale="160" zoomScaleNormal="160" zoomScalePageLayoutView="160" workbookViewId="0">
      <selection activeCell="B24" sqref="B24:O24"/>
    </sheetView>
  </sheetViews>
  <sheetFormatPr baseColWidth="10" defaultRowHeight="14" x14ac:dyDescent="0"/>
  <cols>
    <col min="2" max="2" width="15" customWidth="1"/>
    <col min="3" max="3" width="11.1640625" customWidth="1"/>
    <col min="4" max="4" width="10.33203125" customWidth="1"/>
    <col min="5" max="6" width="10.83203125" customWidth="1"/>
    <col min="7" max="7" width="11" customWidth="1"/>
    <col min="8" max="8" width="11.33203125" customWidth="1"/>
    <col min="9" max="9" width="11.1640625" customWidth="1"/>
    <col min="10" max="10" width="10.83203125" customWidth="1"/>
    <col min="11" max="11" width="11" customWidth="1"/>
    <col min="12" max="12" width="11.6640625" customWidth="1"/>
    <col min="13" max="13" width="10.33203125" customWidth="1"/>
    <col min="14" max="14" width="10.1640625" customWidth="1"/>
    <col min="16" max="16" width="9.5" customWidth="1"/>
    <col min="17" max="17" width="2.83203125" customWidth="1"/>
    <col min="18" max="18" width="29.5" bestFit="1" customWidth="1"/>
    <col min="19" max="19" width="16" customWidth="1"/>
    <col min="20" max="20" width="21.1640625" customWidth="1"/>
    <col min="21" max="21" width="23.5" bestFit="1" customWidth="1"/>
    <col min="22" max="22" width="25.83203125" bestFit="1" customWidth="1"/>
  </cols>
  <sheetData>
    <row r="1" spans="1:23" ht="25">
      <c r="A1" s="92">
        <v>2026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2"/>
      <c r="R1" s="93" t="s">
        <v>28</v>
      </c>
      <c r="S1" s="94"/>
    </row>
    <row r="2" spans="1:23">
      <c r="Q2" s="2"/>
      <c r="R2" s="14" t="s">
        <v>56</v>
      </c>
      <c r="S2" s="15">
        <v>0.39</v>
      </c>
    </row>
    <row r="3" spans="1:23" s="37" customFormat="1" ht="25">
      <c r="A3"/>
      <c r="B3" s="136" t="s">
        <v>101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/>
      <c r="Q3" s="2"/>
      <c r="R3" s="112" t="s">
        <v>86</v>
      </c>
      <c r="S3" s="80">
        <v>10000</v>
      </c>
    </row>
    <row r="4" spans="1:23" ht="15" thickBot="1">
      <c r="B4" s="5"/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27</v>
      </c>
      <c r="L4" s="5" t="s">
        <v>10</v>
      </c>
      <c r="M4" s="5" t="s">
        <v>26</v>
      </c>
      <c r="N4" s="5" t="s">
        <v>25</v>
      </c>
      <c r="O4" s="5" t="s">
        <v>11</v>
      </c>
      <c r="Q4" s="2"/>
      <c r="R4" s="16" t="s">
        <v>24</v>
      </c>
      <c r="S4" s="81">
        <f>'2025'!S4</f>
        <v>9.0999999999999998E-2</v>
      </c>
    </row>
    <row r="5" spans="1:23" ht="15" thickBot="1">
      <c r="B5" s="3" t="s">
        <v>102</v>
      </c>
      <c r="C5" s="123">
        <v>50000</v>
      </c>
      <c r="D5" s="123">
        <v>50000</v>
      </c>
      <c r="E5" s="123">
        <v>50000</v>
      </c>
      <c r="F5" s="123">
        <v>50000</v>
      </c>
      <c r="G5" s="123">
        <v>50000</v>
      </c>
      <c r="H5" s="123">
        <v>50000</v>
      </c>
      <c r="I5" s="123">
        <v>50000</v>
      </c>
      <c r="J5" s="123">
        <v>50000</v>
      </c>
      <c r="K5" s="123">
        <v>50000</v>
      </c>
      <c r="L5" s="123">
        <v>50000</v>
      </c>
      <c r="M5" s="123">
        <v>50000</v>
      </c>
      <c r="N5" s="123">
        <v>50000</v>
      </c>
      <c r="O5" s="5">
        <f t="shared" ref="O5:O7" si="0">SUM(C5:N5)</f>
        <v>600000</v>
      </c>
      <c r="P5" s="103">
        <f>O6+O5</f>
        <v>1615205</v>
      </c>
      <c r="Q5" s="2"/>
    </row>
    <row r="6" spans="1:23" ht="15" thickTop="1">
      <c r="B6" s="4" t="s">
        <v>103</v>
      </c>
      <c r="C6" s="124">
        <v>58170</v>
      </c>
      <c r="D6" s="124">
        <v>58170</v>
      </c>
      <c r="E6" s="124">
        <v>77283</v>
      </c>
      <c r="F6" s="124">
        <v>77283</v>
      </c>
      <c r="G6" s="124">
        <v>77283</v>
      </c>
      <c r="H6" s="124">
        <v>116340</v>
      </c>
      <c r="I6" s="124">
        <v>120218</v>
      </c>
      <c r="J6" s="124">
        <v>120218</v>
      </c>
      <c r="K6" s="124">
        <v>83100</v>
      </c>
      <c r="L6" s="124">
        <v>85870</v>
      </c>
      <c r="M6" s="124">
        <v>83100</v>
      </c>
      <c r="N6" s="124">
        <v>58170</v>
      </c>
      <c r="O6" s="5">
        <f t="shared" si="0"/>
        <v>1015205</v>
      </c>
      <c r="P6" s="103"/>
      <c r="Q6" s="2"/>
      <c r="R6" s="104" t="s">
        <v>29</v>
      </c>
      <c r="S6" s="105"/>
      <c r="T6" s="55" t="s">
        <v>36</v>
      </c>
      <c r="U6" s="56" t="s">
        <v>53</v>
      </c>
    </row>
    <row r="7" spans="1:23" ht="15" thickBot="1">
      <c r="B7" s="8" t="s">
        <v>104</v>
      </c>
      <c r="C7" s="130">
        <f>C6-C5</f>
        <v>8170</v>
      </c>
      <c r="D7" s="130">
        <f t="shared" ref="D7:N7" si="1">D6-D5</f>
        <v>8170</v>
      </c>
      <c r="E7" s="130">
        <f t="shared" si="1"/>
        <v>27283</v>
      </c>
      <c r="F7" s="130">
        <f t="shared" si="1"/>
        <v>27283</v>
      </c>
      <c r="G7" s="130">
        <f t="shared" si="1"/>
        <v>27283</v>
      </c>
      <c r="H7" s="130">
        <f t="shared" si="1"/>
        <v>66340</v>
      </c>
      <c r="I7" s="130">
        <f t="shared" si="1"/>
        <v>70218</v>
      </c>
      <c r="J7" s="130">
        <f t="shared" si="1"/>
        <v>70218</v>
      </c>
      <c r="K7" s="130">
        <f t="shared" si="1"/>
        <v>33100</v>
      </c>
      <c r="L7" s="130">
        <f t="shared" si="1"/>
        <v>35870</v>
      </c>
      <c r="M7" s="130">
        <f t="shared" si="1"/>
        <v>33100</v>
      </c>
      <c r="N7" s="130">
        <f t="shared" si="1"/>
        <v>8170</v>
      </c>
      <c r="O7" s="35">
        <f t="shared" si="0"/>
        <v>415205</v>
      </c>
      <c r="Q7" s="12"/>
      <c r="R7" s="17" t="s">
        <v>35</v>
      </c>
      <c r="S7" s="82">
        <f>'2025'!U7</f>
        <v>11975671.205535354</v>
      </c>
      <c r="T7" s="57">
        <f>S7-T22</f>
        <v>11185791.431238629</v>
      </c>
      <c r="U7" s="60">
        <f>T7/T22</f>
        <v>14.161384802133936</v>
      </c>
      <c r="W7" s="59">
        <f>T7/T22</f>
        <v>14.161384802133936</v>
      </c>
    </row>
    <row r="8" spans="1:23" ht="16" thickTop="1" thickBot="1">
      <c r="B8" s="33" t="s">
        <v>12</v>
      </c>
      <c r="C8" s="33">
        <f>SUM(C5:C7)</f>
        <v>116340</v>
      </c>
      <c r="D8" s="33">
        <f t="shared" ref="D8" si="2">SUM(D5:D7)</f>
        <v>116340</v>
      </c>
      <c r="E8" s="33">
        <f t="shared" ref="E8:N8" si="3">SUM(E5:E7)</f>
        <v>154566</v>
      </c>
      <c r="F8" s="33">
        <f t="shared" si="3"/>
        <v>154566</v>
      </c>
      <c r="G8" s="33">
        <f t="shared" si="3"/>
        <v>154566</v>
      </c>
      <c r="H8" s="33">
        <f t="shared" si="3"/>
        <v>232680</v>
      </c>
      <c r="I8" s="33">
        <f t="shared" si="3"/>
        <v>240436</v>
      </c>
      <c r="J8" s="33">
        <f t="shared" si="3"/>
        <v>240436</v>
      </c>
      <c r="K8" s="33">
        <f t="shared" si="3"/>
        <v>166200</v>
      </c>
      <c r="L8" s="33">
        <f t="shared" si="3"/>
        <v>171740</v>
      </c>
      <c r="M8" s="33">
        <f t="shared" si="3"/>
        <v>166200</v>
      </c>
      <c r="N8" s="33">
        <f t="shared" si="3"/>
        <v>116340</v>
      </c>
      <c r="O8" s="33">
        <f>SUM(O5:O7)</f>
        <v>2030410</v>
      </c>
      <c r="Q8" s="12"/>
      <c r="R8" s="18" t="s">
        <v>34</v>
      </c>
      <c r="S8" s="83">
        <f>'2025'!U8</f>
        <v>4983199.4135151515</v>
      </c>
      <c r="T8" s="58">
        <f>S8-((O6*S2)-O16*S4)</f>
        <v>4625053.1185151516</v>
      </c>
      <c r="U8" s="61">
        <f>T8/U9</f>
        <v>12.913865599294144</v>
      </c>
      <c r="W8" s="59">
        <f>T8/S28</f>
        <v>11.139203811406778</v>
      </c>
    </row>
    <row r="9" spans="1:23" ht="15" thickBot="1">
      <c r="B9" s="41" t="s">
        <v>40</v>
      </c>
      <c r="C9" s="42">
        <f t="shared" ref="C9:E9" si="4">IF(C8&gt;0,(C5+C6)/C8,"")</f>
        <v>0.92977479800584495</v>
      </c>
      <c r="D9" s="42">
        <f t="shared" si="4"/>
        <v>0.92977479800584495</v>
      </c>
      <c r="E9" s="42">
        <f t="shared" si="4"/>
        <v>0.8234864071011736</v>
      </c>
      <c r="F9" s="42">
        <f>IF(F8&gt;0,(F5+F6)/F8,"")</f>
        <v>0.8234864071011736</v>
      </c>
      <c r="G9" s="42">
        <f t="shared" ref="G9:N9" si="5">IF(G8&gt;0,(G5+G6)/G8,"")</f>
        <v>0.8234864071011736</v>
      </c>
      <c r="H9" s="42">
        <f t="shared" si="5"/>
        <v>0.71488739900292242</v>
      </c>
      <c r="I9" s="42">
        <f t="shared" si="5"/>
        <v>0.70795554742218303</v>
      </c>
      <c r="J9" s="42">
        <f t="shared" si="5"/>
        <v>0.70795554742218303</v>
      </c>
      <c r="K9" s="42">
        <f t="shared" si="5"/>
        <v>0.80084235860409148</v>
      </c>
      <c r="L9" s="42">
        <f t="shared" si="5"/>
        <v>0.79113776639105626</v>
      </c>
      <c r="M9" s="42">
        <f t="shared" si="5"/>
        <v>0.80084235860409148</v>
      </c>
      <c r="N9" s="42">
        <f t="shared" si="5"/>
        <v>0.92977479800584495</v>
      </c>
      <c r="O9" s="46">
        <f t="shared" ref="O9" si="6">(O5+O6)/O8</f>
        <v>0.79550681881984431</v>
      </c>
      <c r="Q9" s="2"/>
      <c r="U9" s="65">
        <f>S8-T8</f>
        <v>358146.29499999993</v>
      </c>
    </row>
    <row r="10" spans="1:23">
      <c r="B10" s="43" t="s">
        <v>99</v>
      </c>
      <c r="C10" s="40">
        <f t="shared" ref="C10:O10" si="7">IF(C8&gt;0,(C5+C6)/C18,"")</f>
        <v>1.2413072915471299</v>
      </c>
      <c r="D10" s="40">
        <f t="shared" si="7"/>
        <v>0.90941955878396552</v>
      </c>
      <c r="E10" s="40">
        <f t="shared" si="7"/>
        <v>0.54687043497688492</v>
      </c>
      <c r="F10" s="40">
        <f t="shared" si="7"/>
        <v>0.42704391121131602</v>
      </c>
      <c r="G10" s="40">
        <f t="shared" si="7"/>
        <v>0.36464922533920058</v>
      </c>
      <c r="H10" s="40">
        <f t="shared" si="7"/>
        <v>0.37454684650199277</v>
      </c>
      <c r="I10" s="40">
        <f t="shared" si="7"/>
        <v>0.37288276683928745</v>
      </c>
      <c r="J10" s="40">
        <f t="shared" si="7"/>
        <v>0.4227821188532937</v>
      </c>
      <c r="K10" s="40">
        <f t="shared" si="7"/>
        <v>0.49451243526011129</v>
      </c>
      <c r="L10" s="40">
        <f t="shared" si="7"/>
        <v>0.6156153434886229</v>
      </c>
      <c r="M10" s="40">
        <f t="shared" si="7"/>
        <v>0.99570597124347293</v>
      </c>
      <c r="N10" s="40">
        <f t="shared" si="7"/>
        <v>1.6146222049735797</v>
      </c>
      <c r="O10" s="47">
        <f t="shared" si="7"/>
        <v>0.52446999535667549</v>
      </c>
      <c r="Q10" s="2"/>
      <c r="R10" s="97" t="s">
        <v>30</v>
      </c>
      <c r="S10" s="98"/>
      <c r="U10" s="38"/>
    </row>
    <row r="11" spans="1:23" ht="15" thickBot="1">
      <c r="B11" s="44" t="s">
        <v>42</v>
      </c>
      <c r="C11" s="45">
        <f t="shared" ref="C11:E11" si="8">IF(C8&gt;0,C5*$S$2+C6*$S$2+C17*$S$4,"")</f>
        <v>46151.261000000006</v>
      </c>
      <c r="D11" s="45">
        <f t="shared" si="8"/>
        <v>47598.252</v>
      </c>
      <c r="E11" s="45">
        <f t="shared" si="8"/>
        <v>60230.404000000002</v>
      </c>
      <c r="F11" s="45">
        <f>IF(F8&gt;0,F5*$S$2+F6*$S$2+F17*$S$4,"")</f>
        <v>63201.918000000005</v>
      </c>
      <c r="G11" s="45">
        <f t="shared" ref="G11:N11" si="9">IF(G8&gt;0,G5*$S$2+G6*$S$2+G17*$S$4,"")</f>
        <v>65522.418000000005</v>
      </c>
      <c r="H11" s="45">
        <f t="shared" si="9"/>
        <v>85079.604999999996</v>
      </c>
      <c r="I11" s="45">
        <f t="shared" si="9"/>
        <v>87155.406000000003</v>
      </c>
      <c r="J11" s="45">
        <f t="shared" si="9"/>
        <v>84703.956999999995</v>
      </c>
      <c r="K11" s="45">
        <f t="shared" si="9"/>
        <v>64155.506999999998</v>
      </c>
      <c r="L11" s="45">
        <f t="shared" si="9"/>
        <v>63031.423000000003</v>
      </c>
      <c r="M11" s="45">
        <f t="shared" si="9"/>
        <v>57991.167000000001</v>
      </c>
      <c r="N11" s="45">
        <f t="shared" si="9"/>
        <v>45234.527000000002</v>
      </c>
      <c r="O11" s="48">
        <f>SUM(C11:N11)</f>
        <v>770055.84499999997</v>
      </c>
      <c r="Q11" s="2"/>
      <c r="R11" s="19" t="s">
        <v>0</v>
      </c>
      <c r="S11" s="20">
        <f>P5/O8</f>
        <v>0.79550681881984431</v>
      </c>
      <c r="U11" s="37"/>
    </row>
    <row r="12" spans="1:23" ht="15" thickBo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2"/>
      <c r="R12" s="21" t="s">
        <v>1</v>
      </c>
      <c r="S12" s="22">
        <f>P5/O18</f>
        <v>0.52446999535667549</v>
      </c>
    </row>
    <row r="13" spans="1:23" s="37" customFormat="1" ht="25">
      <c r="A13"/>
      <c r="B13" s="95" t="s">
        <v>38</v>
      </c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/>
      <c r="Q13" s="2"/>
    </row>
    <row r="14" spans="1:23" ht="15" thickBot="1">
      <c r="B14" s="5"/>
      <c r="C14" s="5" t="s">
        <v>2</v>
      </c>
      <c r="D14" s="5" t="s">
        <v>3</v>
      </c>
      <c r="E14" s="5" t="s">
        <v>4</v>
      </c>
      <c r="F14" s="5" t="s">
        <v>5</v>
      </c>
      <c r="G14" s="5" t="s">
        <v>6</v>
      </c>
      <c r="H14" s="5" t="s">
        <v>7</v>
      </c>
      <c r="I14" s="5" t="s">
        <v>8</v>
      </c>
      <c r="J14" s="5" t="s">
        <v>9</v>
      </c>
      <c r="K14" s="5" t="s">
        <v>27</v>
      </c>
      <c r="L14" s="5" t="s">
        <v>10</v>
      </c>
      <c r="M14" s="5" t="s">
        <v>26</v>
      </c>
      <c r="N14" s="5" t="s">
        <v>25</v>
      </c>
      <c r="O14" s="5" t="s">
        <v>11</v>
      </c>
      <c r="Q14" s="2"/>
      <c r="S14" s="11"/>
    </row>
    <row r="15" spans="1:23">
      <c r="B15" s="3" t="s">
        <v>105</v>
      </c>
      <c r="C15" s="121">
        <v>35401</v>
      </c>
      <c r="D15" s="121">
        <v>51302</v>
      </c>
      <c r="E15" s="121">
        <v>89091</v>
      </c>
      <c r="F15" s="121">
        <v>121745</v>
      </c>
      <c r="G15" s="121">
        <v>147245</v>
      </c>
      <c r="H15" s="121">
        <v>155715</v>
      </c>
      <c r="I15" s="121">
        <v>158028</v>
      </c>
      <c r="J15" s="121">
        <v>131089</v>
      </c>
      <c r="K15" s="121">
        <v>101477</v>
      </c>
      <c r="L15" s="121">
        <v>74483</v>
      </c>
      <c r="M15" s="121">
        <v>33737</v>
      </c>
      <c r="N15" s="121">
        <v>25327</v>
      </c>
      <c r="O15" s="5">
        <f t="shared" ref="O15:O17" si="10">SUM(C15:N15)</f>
        <v>1124640</v>
      </c>
      <c r="Q15" s="2"/>
      <c r="R15" s="99" t="s">
        <v>31</v>
      </c>
      <c r="S15" s="100"/>
      <c r="U15" s="38"/>
    </row>
    <row r="16" spans="1:23">
      <c r="B16" s="1" t="s">
        <v>104</v>
      </c>
      <c r="C16" s="135">
        <f>C7</f>
        <v>8170</v>
      </c>
      <c r="D16" s="135">
        <f>D7</f>
        <v>8170</v>
      </c>
      <c r="E16" s="135">
        <f>E7</f>
        <v>27283</v>
      </c>
      <c r="F16" s="135">
        <f>F7</f>
        <v>27283</v>
      </c>
      <c r="G16" s="135">
        <f>G7</f>
        <v>27283</v>
      </c>
      <c r="H16" s="135">
        <f>H7</f>
        <v>66340</v>
      </c>
      <c r="I16" s="135">
        <f>I7</f>
        <v>70218</v>
      </c>
      <c r="J16" s="135">
        <f>J7</f>
        <v>70218</v>
      </c>
      <c r="K16" s="135">
        <f>K7</f>
        <v>33100</v>
      </c>
      <c r="L16" s="135">
        <f>L7</f>
        <v>35870</v>
      </c>
      <c r="M16" s="135">
        <f>M7</f>
        <v>33100</v>
      </c>
      <c r="N16" s="135">
        <f>N7</f>
        <v>8170</v>
      </c>
      <c r="O16" s="5">
        <f t="shared" si="10"/>
        <v>415205</v>
      </c>
      <c r="Q16" s="2"/>
      <c r="R16" s="23" t="s">
        <v>19</v>
      </c>
      <c r="S16" s="24">
        <f>O16</f>
        <v>415205</v>
      </c>
      <c r="U16" s="62"/>
    </row>
    <row r="17" spans="2:22" ht="15" thickBot="1">
      <c r="B17" s="10" t="s">
        <v>17</v>
      </c>
      <c r="C17" s="140">
        <f>C15+C16</f>
        <v>43571</v>
      </c>
      <c r="D17" s="140">
        <f>D15+D16</f>
        <v>59472</v>
      </c>
      <c r="E17" s="140">
        <f>E15+E16</f>
        <v>116374</v>
      </c>
      <c r="F17" s="140">
        <f>F15+F16</f>
        <v>149028</v>
      </c>
      <c r="G17" s="140">
        <f>G15+G16</f>
        <v>174528</v>
      </c>
      <c r="H17" s="140">
        <f>H15+H16</f>
        <v>222055</v>
      </c>
      <c r="I17" s="140">
        <f>I15+I16</f>
        <v>228246</v>
      </c>
      <c r="J17" s="140">
        <f>J15+J16</f>
        <v>201307</v>
      </c>
      <c r="K17" s="140">
        <f>K15+K16</f>
        <v>134577</v>
      </c>
      <c r="L17" s="140">
        <f>L15+L16</f>
        <v>110353</v>
      </c>
      <c r="M17" s="140">
        <f>M15+M16</f>
        <v>66837</v>
      </c>
      <c r="N17" s="140">
        <f>N15+N16</f>
        <v>33497</v>
      </c>
      <c r="O17" s="35">
        <f t="shared" si="10"/>
        <v>1539845</v>
      </c>
      <c r="Q17" s="2"/>
      <c r="R17" s="23" t="s">
        <v>18</v>
      </c>
      <c r="S17" s="24">
        <f>O6</f>
        <v>1015205</v>
      </c>
      <c r="U17" s="62"/>
    </row>
    <row r="18" spans="2:22" ht="16" thickTop="1" thickBot="1">
      <c r="B18" s="6" t="s">
        <v>12</v>
      </c>
      <c r="C18" s="6">
        <f>SUM(C15:C17)</f>
        <v>87142</v>
      </c>
      <c r="D18" s="6">
        <f t="shared" ref="D18:N18" si="11">SUM(D15:D17)</f>
        <v>118944</v>
      </c>
      <c r="E18" s="6">
        <f t="shared" si="11"/>
        <v>232748</v>
      </c>
      <c r="F18" s="6">
        <f t="shared" si="11"/>
        <v>298056</v>
      </c>
      <c r="G18" s="6">
        <f t="shared" si="11"/>
        <v>349056</v>
      </c>
      <c r="H18" s="6">
        <f t="shared" si="11"/>
        <v>444110</v>
      </c>
      <c r="I18" s="6">
        <f t="shared" si="11"/>
        <v>456492</v>
      </c>
      <c r="J18" s="6">
        <f t="shared" si="11"/>
        <v>402614</v>
      </c>
      <c r="K18" s="6">
        <f t="shared" si="11"/>
        <v>269154</v>
      </c>
      <c r="L18" s="6">
        <f t="shared" si="11"/>
        <v>220706</v>
      </c>
      <c r="M18" s="6">
        <f t="shared" si="11"/>
        <v>133674</v>
      </c>
      <c r="N18" s="7">
        <f t="shared" si="11"/>
        <v>66994</v>
      </c>
      <c r="O18" s="6">
        <f>SUM(O15:O17)</f>
        <v>3079690</v>
      </c>
      <c r="Q18" s="2"/>
      <c r="R18" s="23" t="s">
        <v>20</v>
      </c>
      <c r="S18" s="24">
        <f>100/S16*S17</f>
        <v>244.50693031153287</v>
      </c>
    </row>
    <row r="19" spans="2:22" s="37" customFormat="1" ht="15" thickBot="1">
      <c r="B19" s="41" t="s">
        <v>44</v>
      </c>
      <c r="C19" s="50">
        <f>IF(C18&gt;0,C18/$S$3,"")</f>
        <v>8.7141999999999999</v>
      </c>
      <c r="D19" s="50">
        <f t="shared" ref="D19:N19" si="12">IF(D18&gt;0,D18/$S$3,"")</f>
        <v>11.894399999999999</v>
      </c>
      <c r="E19" s="50">
        <f t="shared" si="12"/>
        <v>23.274799999999999</v>
      </c>
      <c r="F19" s="50">
        <f t="shared" si="12"/>
        <v>29.805599999999998</v>
      </c>
      <c r="G19" s="50">
        <f t="shared" si="12"/>
        <v>34.9056</v>
      </c>
      <c r="H19" s="50">
        <f t="shared" si="12"/>
        <v>44.411000000000001</v>
      </c>
      <c r="I19" s="50">
        <f t="shared" si="12"/>
        <v>45.6492</v>
      </c>
      <c r="J19" s="50">
        <f t="shared" si="12"/>
        <v>40.261400000000002</v>
      </c>
      <c r="K19" s="50">
        <f t="shared" si="12"/>
        <v>26.915400000000002</v>
      </c>
      <c r="L19" s="50">
        <f t="shared" si="12"/>
        <v>22.070599999999999</v>
      </c>
      <c r="M19" s="50">
        <f t="shared" si="12"/>
        <v>13.3674</v>
      </c>
      <c r="N19" s="50">
        <f t="shared" si="12"/>
        <v>6.6993999999999998</v>
      </c>
      <c r="O19" s="53">
        <f>SUM(C19:N19)</f>
        <v>307.96899999999999</v>
      </c>
      <c r="Q19" s="2"/>
      <c r="R19" s="25" t="s">
        <v>21</v>
      </c>
      <c r="S19" s="26">
        <f>100-S18</f>
        <v>-144.50693031153287</v>
      </c>
      <c r="T19"/>
      <c r="U19"/>
      <c r="V19"/>
    </row>
    <row r="20" spans="2:22" s="37" customFormat="1" ht="15" thickBot="1">
      <c r="B20" s="43" t="s">
        <v>46</v>
      </c>
      <c r="C20" s="51">
        <f>IF(C8&gt;0,C16/31,"")</f>
        <v>263.54838709677421</v>
      </c>
      <c r="D20" s="51">
        <f>IF(D8&gt;0,D16/28,"")</f>
        <v>291.78571428571428</v>
      </c>
      <c r="E20" s="51">
        <f t="shared" ref="E20:N20" si="13">IF(E8&gt;0,E16/31,"")</f>
        <v>880.09677419354841</v>
      </c>
      <c r="F20" s="51">
        <f>IF(F8&gt;0,F16/30,"")</f>
        <v>909.43333333333328</v>
      </c>
      <c r="G20" s="51">
        <f t="shared" si="13"/>
        <v>880.09677419354841</v>
      </c>
      <c r="H20" s="51">
        <f>IF(H8&gt;0,H16/30,"")</f>
        <v>2211.3333333333335</v>
      </c>
      <c r="I20" s="51">
        <f t="shared" si="13"/>
        <v>2265.0967741935483</v>
      </c>
      <c r="J20" s="51">
        <f t="shared" si="13"/>
        <v>2265.0967741935483</v>
      </c>
      <c r="K20" s="51">
        <f>IF(K8&gt;0,K16/30,"")</f>
        <v>1103.3333333333333</v>
      </c>
      <c r="L20" s="51">
        <f t="shared" si="13"/>
        <v>1157.0967741935483</v>
      </c>
      <c r="M20" s="51">
        <f>IF(M8&gt;0,M16/30,"")</f>
        <v>1103.3333333333333</v>
      </c>
      <c r="N20" s="51">
        <f t="shared" si="13"/>
        <v>263.54838709677421</v>
      </c>
      <c r="O20" s="52">
        <f>SUM(C20:N20)/COUNT(C20:N20)</f>
        <v>1132.8166410650283</v>
      </c>
      <c r="Q20" s="2"/>
      <c r="R20"/>
      <c r="S20"/>
      <c r="T20"/>
      <c r="U20"/>
      <c r="V20"/>
    </row>
    <row r="21" spans="2:22" s="37" customFormat="1" ht="15" thickBot="1">
      <c r="B21" s="43" t="s">
        <v>47</v>
      </c>
      <c r="C21" s="40">
        <f>IF(C18&gt;0,C17/C18,"")</f>
        <v>0.5</v>
      </c>
      <c r="D21" s="40">
        <f t="shared" ref="D21:N21" si="14">IF(D18&gt;0,D17/D18,"")</f>
        <v>0.5</v>
      </c>
      <c r="E21" s="40">
        <f t="shared" si="14"/>
        <v>0.5</v>
      </c>
      <c r="F21" s="40">
        <f t="shared" si="14"/>
        <v>0.5</v>
      </c>
      <c r="G21" s="40">
        <f t="shared" si="14"/>
        <v>0.5</v>
      </c>
      <c r="H21" s="40">
        <f t="shared" si="14"/>
        <v>0.5</v>
      </c>
      <c r="I21" s="40">
        <f t="shared" si="14"/>
        <v>0.5</v>
      </c>
      <c r="J21" s="40">
        <f t="shared" si="14"/>
        <v>0.5</v>
      </c>
      <c r="K21" s="40">
        <f t="shared" si="14"/>
        <v>0.5</v>
      </c>
      <c r="L21" s="40">
        <f t="shared" si="14"/>
        <v>0.5</v>
      </c>
      <c r="M21" s="40">
        <f t="shared" si="14"/>
        <v>0.5</v>
      </c>
      <c r="N21" s="40">
        <f t="shared" si="14"/>
        <v>0.5</v>
      </c>
      <c r="O21" s="47">
        <f>O17/O18</f>
        <v>0.5</v>
      </c>
      <c r="Q21" s="2"/>
      <c r="R21" s="101" t="s">
        <v>32</v>
      </c>
      <c r="S21" s="102"/>
      <c r="T21"/>
      <c r="U21"/>
      <c r="V21"/>
    </row>
    <row r="22" spans="2:22" ht="15" thickBot="1">
      <c r="B22" s="44" t="s">
        <v>51</v>
      </c>
      <c r="C22" s="74">
        <f t="shared" ref="C22:O22" si="15">IF(C8&gt;0,100/C16*C6-100,"")</f>
        <v>611.9951040391677</v>
      </c>
      <c r="D22" s="74">
        <f t="shared" si="15"/>
        <v>611.9951040391677</v>
      </c>
      <c r="E22" s="74">
        <f t="shared" si="15"/>
        <v>183.26430377890995</v>
      </c>
      <c r="F22" s="74">
        <f t="shared" si="15"/>
        <v>183.26430377890995</v>
      </c>
      <c r="G22" s="74">
        <f t="shared" si="15"/>
        <v>183.26430377890995</v>
      </c>
      <c r="H22" s="74">
        <f t="shared" si="15"/>
        <v>75.369309617123918</v>
      </c>
      <c r="I22" s="74">
        <f t="shared" si="15"/>
        <v>71.20681306787435</v>
      </c>
      <c r="J22" s="74">
        <f t="shared" si="15"/>
        <v>71.20681306787435</v>
      </c>
      <c r="K22" s="74">
        <f t="shared" si="15"/>
        <v>151.05740181268882</v>
      </c>
      <c r="L22" s="74">
        <f t="shared" si="15"/>
        <v>139.39224979091162</v>
      </c>
      <c r="M22" s="74">
        <f t="shared" si="15"/>
        <v>151.05740181268882</v>
      </c>
      <c r="N22" s="74">
        <f t="shared" si="15"/>
        <v>611.9951040391677</v>
      </c>
      <c r="O22" s="75">
        <f t="shared" si="15"/>
        <v>144.50693031153287</v>
      </c>
      <c r="Q22" s="2"/>
      <c r="R22" s="27" t="s">
        <v>22</v>
      </c>
      <c r="S22" s="28">
        <f>O5*S2</f>
        <v>234000</v>
      </c>
      <c r="T22" s="106">
        <f>SUM(S22:S29)</f>
        <v>789879.77429672529</v>
      </c>
      <c r="U22" s="39" t="s">
        <v>43</v>
      </c>
    </row>
    <row r="23" spans="2:22" s="37" customFormat="1">
      <c r="B23" s="131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3"/>
      <c r="Q23" s="2"/>
      <c r="R23" s="137"/>
      <c r="S23" s="138"/>
      <c r="T23" s="107"/>
      <c r="U23" s="139"/>
    </row>
    <row r="24" spans="2:22" s="37" customFormat="1" ht="25">
      <c r="B24" s="136" t="s">
        <v>106</v>
      </c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Q24" s="2"/>
      <c r="T24" s="107"/>
    </row>
    <row r="25" spans="2:22" s="37" customFormat="1" ht="15" thickBot="1">
      <c r="B25" s="5"/>
      <c r="C25" s="5" t="s">
        <v>2</v>
      </c>
      <c r="D25" s="5" t="s">
        <v>3</v>
      </c>
      <c r="E25" s="5" t="s">
        <v>4</v>
      </c>
      <c r="F25" s="5" t="s">
        <v>5</v>
      </c>
      <c r="G25" s="5" t="s">
        <v>6</v>
      </c>
      <c r="H25" s="5" t="s">
        <v>7</v>
      </c>
      <c r="I25" s="5" t="s">
        <v>8</v>
      </c>
      <c r="J25" s="5" t="s">
        <v>9</v>
      </c>
      <c r="K25" s="5" t="s">
        <v>27</v>
      </c>
      <c r="L25" s="5" t="s">
        <v>10</v>
      </c>
      <c r="M25" s="5" t="s">
        <v>26</v>
      </c>
      <c r="N25" s="5" t="s">
        <v>25</v>
      </c>
      <c r="O25" s="5" t="s">
        <v>11</v>
      </c>
      <c r="Q25" s="2"/>
      <c r="S25" s="11"/>
      <c r="T25" s="107"/>
    </row>
    <row r="26" spans="2:22" s="37" customFormat="1">
      <c r="B26" s="141" t="s">
        <v>107</v>
      </c>
      <c r="C26" s="121">
        <v>35401</v>
      </c>
      <c r="D26" s="121">
        <v>51302</v>
      </c>
      <c r="E26" s="121">
        <v>89091</v>
      </c>
      <c r="F26" s="121">
        <v>121745</v>
      </c>
      <c r="G26" s="121">
        <v>147245</v>
      </c>
      <c r="H26" s="121">
        <v>155715</v>
      </c>
      <c r="I26" s="121">
        <v>158028</v>
      </c>
      <c r="J26" s="121">
        <v>131089</v>
      </c>
      <c r="K26" s="121">
        <v>101477</v>
      </c>
      <c r="L26" s="121">
        <v>74483</v>
      </c>
      <c r="M26" s="121">
        <v>33737</v>
      </c>
      <c r="N26" s="121">
        <v>25327</v>
      </c>
      <c r="O26" s="5">
        <f t="shared" ref="O26:O28" si="16">SUM(C26:N26)</f>
        <v>1124640</v>
      </c>
      <c r="Q26" s="2"/>
      <c r="R26" s="99" t="s">
        <v>31</v>
      </c>
      <c r="S26" s="100"/>
      <c r="T26" s="107"/>
      <c r="U26" s="38"/>
    </row>
    <row r="27" spans="2:22" s="37" customFormat="1">
      <c r="B27" s="1" t="s">
        <v>104</v>
      </c>
      <c r="C27" s="125">
        <v>124000</v>
      </c>
      <c r="D27" s="125">
        <v>4000</v>
      </c>
      <c r="E27" s="125">
        <v>4000</v>
      </c>
      <c r="F27" s="125">
        <v>4000</v>
      </c>
      <c r="G27" s="125">
        <v>4</v>
      </c>
      <c r="H27" s="125">
        <v>625</v>
      </c>
      <c r="I27" s="125">
        <v>625</v>
      </c>
      <c r="J27" s="125">
        <v>625</v>
      </c>
      <c r="K27" s="125">
        <v>625</v>
      </c>
      <c r="L27" s="125">
        <v>625</v>
      </c>
      <c r="M27" s="125">
        <v>625</v>
      </c>
      <c r="N27" s="125">
        <v>625</v>
      </c>
      <c r="O27" s="5">
        <f t="shared" si="16"/>
        <v>140379</v>
      </c>
      <c r="Q27" s="2"/>
      <c r="R27" s="23" t="s">
        <v>19</v>
      </c>
      <c r="S27" s="24">
        <f>O27</f>
        <v>140379</v>
      </c>
      <c r="T27" s="107"/>
      <c r="U27" s="62"/>
    </row>
    <row r="28" spans="2:22" s="37" customFormat="1" ht="15" thickBot="1">
      <c r="B28" s="10" t="s">
        <v>17</v>
      </c>
      <c r="C28" s="126">
        <v>11000</v>
      </c>
      <c r="D28" s="126">
        <v>11000</v>
      </c>
      <c r="E28" s="126">
        <v>11000</v>
      </c>
      <c r="F28" s="126">
        <v>11000</v>
      </c>
      <c r="G28" s="126">
        <v>11000</v>
      </c>
      <c r="H28" s="126">
        <v>11000</v>
      </c>
      <c r="I28" s="126">
        <v>11000</v>
      </c>
      <c r="J28" s="126">
        <v>11000</v>
      </c>
      <c r="K28" s="126">
        <v>11000</v>
      </c>
      <c r="L28" s="126">
        <v>11000</v>
      </c>
      <c r="M28" s="126">
        <v>11000</v>
      </c>
      <c r="N28" s="126">
        <v>11000</v>
      </c>
      <c r="O28" s="35">
        <f t="shared" si="16"/>
        <v>132000</v>
      </c>
      <c r="Q28" s="2"/>
      <c r="R28" s="23" t="s">
        <v>18</v>
      </c>
      <c r="S28" s="24">
        <f>O16</f>
        <v>415205</v>
      </c>
      <c r="T28" s="107"/>
      <c r="U28" s="62"/>
    </row>
    <row r="29" spans="2:22" s="37" customFormat="1" ht="16" thickTop="1" thickBot="1">
      <c r="B29" s="6" t="s">
        <v>12</v>
      </c>
      <c r="C29" s="6">
        <f>SUM(C26:C28)</f>
        <v>170401</v>
      </c>
      <c r="D29" s="6">
        <f t="shared" ref="D29:N29" si="17">SUM(D26:D28)</f>
        <v>66302</v>
      </c>
      <c r="E29" s="6">
        <f t="shared" si="17"/>
        <v>104091</v>
      </c>
      <c r="F29" s="6">
        <f t="shared" si="17"/>
        <v>136745</v>
      </c>
      <c r="G29" s="6">
        <f t="shared" si="17"/>
        <v>158249</v>
      </c>
      <c r="H29" s="6">
        <f t="shared" si="17"/>
        <v>167340</v>
      </c>
      <c r="I29" s="6">
        <f t="shared" si="17"/>
        <v>169653</v>
      </c>
      <c r="J29" s="6">
        <f t="shared" si="17"/>
        <v>142714</v>
      </c>
      <c r="K29" s="6">
        <f t="shared" si="17"/>
        <v>113102</v>
      </c>
      <c r="L29" s="6">
        <f t="shared" si="17"/>
        <v>86108</v>
      </c>
      <c r="M29" s="6">
        <f t="shared" si="17"/>
        <v>45362</v>
      </c>
      <c r="N29" s="7">
        <f t="shared" si="17"/>
        <v>36952</v>
      </c>
      <c r="O29" s="6">
        <f>SUM(O26:O28)</f>
        <v>1397019</v>
      </c>
      <c r="Q29" s="2"/>
      <c r="R29" s="23" t="s">
        <v>20</v>
      </c>
      <c r="S29" s="24">
        <f>100/S27*S28</f>
        <v>295.77429672529365</v>
      </c>
      <c r="T29" s="91"/>
    </row>
    <row r="30" spans="2:22" s="37" customFormat="1" ht="15" thickBot="1">
      <c r="B30" s="41" t="s">
        <v>44</v>
      </c>
      <c r="C30" s="50">
        <f>IF(C29&gt;0,C29/$S$3,"")</f>
        <v>17.040099999999999</v>
      </c>
      <c r="D30" s="50">
        <f t="shared" ref="D30:N30" si="18">IF(D29&gt;0,D29/$S$3,"")</f>
        <v>6.6302000000000003</v>
      </c>
      <c r="E30" s="50">
        <f t="shared" si="18"/>
        <v>10.4091</v>
      </c>
      <c r="F30" s="50">
        <f t="shared" si="18"/>
        <v>13.6745</v>
      </c>
      <c r="G30" s="50">
        <f t="shared" si="18"/>
        <v>15.8249</v>
      </c>
      <c r="H30" s="50">
        <f t="shared" si="18"/>
        <v>16.734000000000002</v>
      </c>
      <c r="I30" s="50">
        <f t="shared" si="18"/>
        <v>16.965299999999999</v>
      </c>
      <c r="J30" s="50">
        <f t="shared" si="18"/>
        <v>14.2714</v>
      </c>
      <c r="K30" s="50">
        <f t="shared" si="18"/>
        <v>11.3102</v>
      </c>
      <c r="L30" s="50">
        <f t="shared" si="18"/>
        <v>8.6107999999999993</v>
      </c>
      <c r="M30" s="50">
        <f t="shared" si="18"/>
        <v>4.5362</v>
      </c>
      <c r="N30" s="50">
        <f t="shared" si="18"/>
        <v>3.6951999999999998</v>
      </c>
      <c r="O30" s="53">
        <f>SUM(C30:N30)</f>
        <v>139.70190000000002</v>
      </c>
      <c r="Q30" s="2"/>
      <c r="R30" s="25" t="s">
        <v>21</v>
      </c>
      <c r="S30" s="26">
        <f>100-S29</f>
        <v>-195.77429672529365</v>
      </c>
    </row>
    <row r="31" spans="2:22" s="37" customFormat="1" ht="15" thickBot="1">
      <c r="B31" s="43" t="s">
        <v>46</v>
      </c>
      <c r="C31" s="51">
        <f>IF(C18&gt;0,C27/31,"")</f>
        <v>4000</v>
      </c>
      <c r="D31" s="51">
        <f>IF(D18&gt;0,D27/28,"")</f>
        <v>142.85714285714286</v>
      </c>
      <c r="E31" s="51">
        <f t="shared" ref="E31:N31" si="19">IF(E18&gt;0,E27/31,"")</f>
        <v>129.03225806451613</v>
      </c>
      <c r="F31" s="51">
        <f>IF(F18&gt;0,F27/30,"")</f>
        <v>133.33333333333334</v>
      </c>
      <c r="G31" s="51">
        <f t="shared" ref="G31:P31" si="20">IF(G18&gt;0,G27/31,"")</f>
        <v>0.12903225806451613</v>
      </c>
      <c r="H31" s="51">
        <f>IF(H18&gt;0,H27/30,"")</f>
        <v>20.833333333333332</v>
      </c>
      <c r="I31" s="51">
        <f t="shared" ref="I31:R31" si="21">IF(I18&gt;0,I27/31,"")</f>
        <v>20.161290322580644</v>
      </c>
      <c r="J31" s="51">
        <f t="shared" si="21"/>
        <v>20.161290322580644</v>
      </c>
      <c r="K31" s="51">
        <f>IF(K18&gt;0,K27/30,"")</f>
        <v>20.833333333333332</v>
      </c>
      <c r="L31" s="51">
        <f t="shared" ref="L31:U31" si="22">IF(L18&gt;0,L27/31,"")</f>
        <v>20.161290322580644</v>
      </c>
      <c r="M31" s="51">
        <f>IF(M18&gt;0,M27/30,"")</f>
        <v>20.833333333333332</v>
      </c>
      <c r="N31" s="51">
        <f t="shared" ref="N31:W31" si="23">IF(N18&gt;0,N27/31,"")</f>
        <v>20.161290322580644</v>
      </c>
      <c r="O31" s="52">
        <f>SUM(C31:N31)/COUNT(C31:N31)</f>
        <v>379.04141065028148</v>
      </c>
      <c r="Q31" s="2"/>
    </row>
    <row r="32" spans="2:22" s="37" customFormat="1" ht="15" thickBot="1">
      <c r="B32" s="43" t="s">
        <v>47</v>
      </c>
      <c r="C32" s="40">
        <f>IF(C29&gt;0,C28/C29,"")</f>
        <v>6.4553611774578787E-2</v>
      </c>
      <c r="D32" s="40">
        <f t="shared" ref="D32:N32" si="24">IF(D29&gt;0,D28/D29,"")</f>
        <v>0.16590751410213869</v>
      </c>
      <c r="E32" s="40">
        <f t="shared" si="24"/>
        <v>0.10567676360107982</v>
      </c>
      <c r="F32" s="40">
        <f t="shared" si="24"/>
        <v>8.0441698051117047E-2</v>
      </c>
      <c r="G32" s="40">
        <f t="shared" si="24"/>
        <v>6.9510707808580152E-2</v>
      </c>
      <c r="H32" s="40">
        <f t="shared" si="24"/>
        <v>6.5734432891119882E-2</v>
      </c>
      <c r="I32" s="40">
        <f t="shared" si="24"/>
        <v>6.483822861959411E-2</v>
      </c>
      <c r="J32" s="40">
        <f t="shared" si="24"/>
        <v>7.7077231385848627E-2</v>
      </c>
      <c r="K32" s="40">
        <f t="shared" si="24"/>
        <v>9.7257342929391172E-2</v>
      </c>
      <c r="L32" s="40">
        <f t="shared" si="24"/>
        <v>0.12774655084312725</v>
      </c>
      <c r="M32" s="40">
        <f t="shared" si="24"/>
        <v>0.24249371720823598</v>
      </c>
      <c r="N32" s="40">
        <f t="shared" si="24"/>
        <v>0.29768348127300281</v>
      </c>
      <c r="O32" s="47">
        <f>O28/O29</f>
        <v>9.4486903900376451E-2</v>
      </c>
      <c r="Q32" s="2"/>
      <c r="R32" s="101" t="s">
        <v>32</v>
      </c>
      <c r="S32" s="102"/>
    </row>
    <row r="33" spans="1:21" s="37" customFormat="1" ht="15" thickBot="1">
      <c r="B33" s="44" t="s">
        <v>51</v>
      </c>
      <c r="C33" s="74">
        <f t="shared" ref="C33:O33" si="25">IF(C18&gt;0,100/C27*C16-100,"")</f>
        <v>-93.411290322580641</v>
      </c>
      <c r="D33" s="74">
        <f t="shared" si="25"/>
        <v>104.25</v>
      </c>
      <c r="E33" s="74">
        <f t="shared" si="25"/>
        <v>582.07500000000005</v>
      </c>
      <c r="F33" s="74">
        <f t="shared" si="25"/>
        <v>582.07500000000005</v>
      </c>
      <c r="G33" s="74">
        <f t="shared" si="25"/>
        <v>681975</v>
      </c>
      <c r="H33" s="74">
        <f t="shared" si="25"/>
        <v>10514.4</v>
      </c>
      <c r="I33" s="74">
        <f t="shared" si="25"/>
        <v>11134.880000000001</v>
      </c>
      <c r="J33" s="74">
        <f t="shared" si="25"/>
        <v>11134.880000000001</v>
      </c>
      <c r="K33" s="74">
        <f t="shared" si="25"/>
        <v>5196</v>
      </c>
      <c r="L33" s="74">
        <f t="shared" si="25"/>
        <v>5639.2</v>
      </c>
      <c r="M33" s="74">
        <f t="shared" si="25"/>
        <v>5196</v>
      </c>
      <c r="N33" s="74">
        <f t="shared" si="25"/>
        <v>1207.2</v>
      </c>
      <c r="O33" s="75">
        <f t="shared" si="25"/>
        <v>195.77429672529365</v>
      </c>
      <c r="Q33" s="2"/>
      <c r="R33" s="27" t="s">
        <v>22</v>
      </c>
      <c r="S33" s="28">
        <f>O15*S12</f>
        <v>589839.93557793146</v>
      </c>
      <c r="U33" s="39" t="s">
        <v>43</v>
      </c>
    </row>
    <row r="34" spans="1:21" s="37" customFormat="1">
      <c r="B34" s="142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4"/>
      <c r="Q34" s="2"/>
      <c r="R34" s="137"/>
      <c r="S34" s="138"/>
      <c r="U34" s="139"/>
    </row>
    <row r="35" spans="1:21">
      <c r="A35" s="37"/>
      <c r="Q35" s="2"/>
      <c r="T35" s="64"/>
      <c r="U35" s="64"/>
    </row>
    <row r="36" spans="1:21">
      <c r="Q36" s="2"/>
      <c r="T36" s="64"/>
      <c r="U36" s="63"/>
    </row>
    <row r="37" spans="1:21">
      <c r="Q37" s="2"/>
      <c r="T37" s="64"/>
      <c r="U37" s="64"/>
    </row>
    <row r="38" spans="1:21">
      <c r="Q38" s="2"/>
      <c r="T38" s="64"/>
      <c r="U38" s="64"/>
    </row>
    <row r="39" spans="1:21">
      <c r="Q39" s="2"/>
      <c r="T39" s="64"/>
      <c r="U39" s="64"/>
    </row>
    <row r="40" spans="1:21">
      <c r="Q40" s="2"/>
      <c r="T40" s="64"/>
      <c r="U40" s="64"/>
    </row>
    <row r="41" spans="1:21">
      <c r="Q41" s="2"/>
      <c r="T41" s="64"/>
      <c r="U41" s="64"/>
    </row>
    <row r="42" spans="1:21">
      <c r="Q42" s="2"/>
      <c r="T42" s="64"/>
      <c r="U42" s="64"/>
    </row>
    <row r="43" spans="1:21">
      <c r="Q43" s="2"/>
    </row>
    <row r="44" spans="1:21">
      <c r="Q44" s="2"/>
    </row>
    <row r="45" spans="1:21">
      <c r="Q45" s="2"/>
    </row>
    <row r="46" spans="1:21" s="37" customFormat="1">
      <c r="A46"/>
      <c r="Q46" s="2"/>
    </row>
    <row r="47" spans="1:21" s="37" customFormat="1">
      <c r="Q47" s="2"/>
    </row>
    <row r="48" spans="1:21" s="37" customFormat="1">
      <c r="Q48" s="2"/>
    </row>
    <row r="49" spans="1:17" s="37" customFormat="1">
      <c r="Q49" s="2"/>
    </row>
    <row r="50" spans="1:17">
      <c r="A50" s="37"/>
      <c r="Q50" s="2"/>
    </row>
    <row r="53" spans="1:17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</row>
    <row r="54" spans="1:17">
      <c r="B54" s="5" t="s">
        <v>65</v>
      </c>
      <c r="C54" s="5">
        <f>C9</f>
        <v>0.92977479800584495</v>
      </c>
      <c r="D54" s="5">
        <f t="shared" ref="D54:O54" si="26">D9</f>
        <v>0.92977479800584495</v>
      </c>
      <c r="E54" s="5">
        <f t="shared" si="26"/>
        <v>0.8234864071011736</v>
      </c>
      <c r="F54" s="5">
        <f t="shared" si="26"/>
        <v>0.8234864071011736</v>
      </c>
      <c r="G54" s="5">
        <f t="shared" si="26"/>
        <v>0.8234864071011736</v>
      </c>
      <c r="H54" s="5">
        <f t="shared" si="26"/>
        <v>0.71488739900292242</v>
      </c>
      <c r="I54" s="5">
        <f t="shared" si="26"/>
        <v>0.70795554742218303</v>
      </c>
      <c r="J54" s="5">
        <f t="shared" si="26"/>
        <v>0.70795554742218303</v>
      </c>
      <c r="K54" s="5">
        <f t="shared" si="26"/>
        <v>0.80084235860409148</v>
      </c>
      <c r="L54" s="5">
        <f t="shared" si="26"/>
        <v>0.79113776639105626</v>
      </c>
      <c r="M54" s="5">
        <f t="shared" si="26"/>
        <v>0.80084235860409148</v>
      </c>
      <c r="N54" s="5">
        <f t="shared" si="26"/>
        <v>0.92977479800584495</v>
      </c>
      <c r="O54" s="5">
        <f t="shared" si="26"/>
        <v>0.79550681881984431</v>
      </c>
    </row>
    <row r="55" spans="1:17">
      <c r="B55" s="5" t="s">
        <v>62</v>
      </c>
      <c r="C55" s="5" t="s">
        <v>2</v>
      </c>
      <c r="D55" s="5" t="s">
        <v>3</v>
      </c>
      <c r="E55" s="5" t="s">
        <v>4</v>
      </c>
      <c r="F55" s="5" t="s">
        <v>5</v>
      </c>
      <c r="G55" s="5" t="s">
        <v>6</v>
      </c>
      <c r="H55" s="5" t="s">
        <v>7</v>
      </c>
      <c r="I55" s="5" t="s">
        <v>8</v>
      </c>
      <c r="J55" s="5" t="s">
        <v>9</v>
      </c>
      <c r="K55" s="5" t="s">
        <v>27</v>
      </c>
      <c r="L55" s="5" t="s">
        <v>10</v>
      </c>
      <c r="M55" s="5" t="s">
        <v>26</v>
      </c>
      <c r="N55" s="5" t="s">
        <v>25</v>
      </c>
      <c r="O55" s="5" t="s">
        <v>11</v>
      </c>
    </row>
    <row r="56" spans="1:17">
      <c r="B56" s="76" t="s">
        <v>90</v>
      </c>
      <c r="C56" s="76">
        <v>2</v>
      </c>
      <c r="D56" s="76">
        <v>2</v>
      </c>
      <c r="E56" s="76">
        <v>2</v>
      </c>
      <c r="F56" s="76">
        <v>1</v>
      </c>
      <c r="G56" s="76">
        <v>1</v>
      </c>
      <c r="H56" s="76">
        <v>1</v>
      </c>
      <c r="I56" s="76">
        <v>1</v>
      </c>
      <c r="J56" s="76">
        <v>1</v>
      </c>
      <c r="K56" s="76">
        <v>2</v>
      </c>
      <c r="L56" s="76"/>
      <c r="M56" s="76">
        <v>2</v>
      </c>
      <c r="N56" s="76">
        <v>2</v>
      </c>
      <c r="O56" s="76">
        <f>SUM(C56:N56)</f>
        <v>17</v>
      </c>
    </row>
    <row r="57" spans="1:17">
      <c r="B57" s="76" t="s">
        <v>91</v>
      </c>
      <c r="C57" s="76">
        <v>1</v>
      </c>
      <c r="D57" s="76">
        <v>1</v>
      </c>
      <c r="E57" s="76">
        <v>1</v>
      </c>
      <c r="F57" s="76">
        <v>1</v>
      </c>
      <c r="G57" s="76"/>
      <c r="H57" s="76">
        <v>1</v>
      </c>
      <c r="I57" s="76">
        <v>1</v>
      </c>
      <c r="J57" s="76">
        <v>1</v>
      </c>
      <c r="K57" s="76">
        <v>1</v>
      </c>
      <c r="L57" s="76">
        <v>1</v>
      </c>
      <c r="M57" s="76">
        <v>1</v>
      </c>
      <c r="N57" s="76"/>
      <c r="O57" s="76">
        <f t="shared" ref="O57:O64" si="27">SUM(C57:N57)</f>
        <v>10</v>
      </c>
    </row>
    <row r="58" spans="1:17">
      <c r="B58" s="76" t="s">
        <v>92</v>
      </c>
      <c r="C58" s="76">
        <v>1</v>
      </c>
      <c r="D58" s="76">
        <v>1</v>
      </c>
      <c r="E58" s="76">
        <v>1</v>
      </c>
      <c r="F58" s="76">
        <v>1</v>
      </c>
      <c r="G58" s="76">
        <v>1</v>
      </c>
      <c r="H58" s="76">
        <v>1</v>
      </c>
      <c r="I58" s="76">
        <v>1</v>
      </c>
      <c r="J58" s="76">
        <v>1</v>
      </c>
      <c r="K58" s="76">
        <v>1</v>
      </c>
      <c r="L58" s="76">
        <v>1</v>
      </c>
      <c r="M58" s="76">
        <v>1</v>
      </c>
      <c r="N58" s="76">
        <v>1</v>
      </c>
      <c r="O58" s="76">
        <f t="shared" si="27"/>
        <v>12</v>
      </c>
    </row>
    <row r="59" spans="1:17">
      <c r="B59" s="76" t="s">
        <v>93</v>
      </c>
      <c r="C59" s="76">
        <v>1</v>
      </c>
      <c r="D59" s="76">
        <v>1</v>
      </c>
      <c r="E59" s="76">
        <v>1</v>
      </c>
      <c r="F59" s="76">
        <v>1</v>
      </c>
      <c r="G59" s="76">
        <v>1</v>
      </c>
      <c r="H59" s="76">
        <v>1</v>
      </c>
      <c r="I59" s="76">
        <v>1</v>
      </c>
      <c r="J59" s="76">
        <v>1</v>
      </c>
      <c r="K59" s="76">
        <v>1</v>
      </c>
      <c r="L59" s="76">
        <v>1</v>
      </c>
      <c r="M59" s="76">
        <v>1</v>
      </c>
      <c r="N59" s="76">
        <v>1</v>
      </c>
      <c r="O59" s="76">
        <f t="shared" si="27"/>
        <v>12</v>
      </c>
    </row>
    <row r="60" spans="1:17">
      <c r="B60" s="76" t="s">
        <v>94</v>
      </c>
      <c r="C60" s="76">
        <v>10</v>
      </c>
      <c r="D60" s="76">
        <v>10</v>
      </c>
      <c r="E60" s="76">
        <v>10</v>
      </c>
      <c r="F60" s="76">
        <v>10</v>
      </c>
      <c r="G60" s="76">
        <v>10</v>
      </c>
      <c r="H60" s="76">
        <v>10</v>
      </c>
      <c r="I60" s="76">
        <v>10</v>
      </c>
      <c r="J60" s="76">
        <v>10</v>
      </c>
      <c r="K60" s="76">
        <v>10</v>
      </c>
      <c r="L60" s="76">
        <v>10</v>
      </c>
      <c r="M60" s="76">
        <v>10</v>
      </c>
      <c r="N60" s="76">
        <v>10</v>
      </c>
      <c r="O60" s="76">
        <f t="shared" si="27"/>
        <v>120</v>
      </c>
    </row>
    <row r="61" spans="1:17">
      <c r="B61" s="76" t="s">
        <v>95</v>
      </c>
      <c r="C61" s="76">
        <v>1</v>
      </c>
      <c r="D61" s="113">
        <v>1</v>
      </c>
      <c r="E61" s="113">
        <v>1</v>
      </c>
      <c r="F61" s="113">
        <v>1</v>
      </c>
      <c r="G61" s="113">
        <v>1</v>
      </c>
      <c r="H61" s="113">
        <v>1</v>
      </c>
      <c r="I61" s="113">
        <v>1</v>
      </c>
      <c r="J61" s="113">
        <v>1</v>
      </c>
      <c r="K61" s="113">
        <v>1</v>
      </c>
      <c r="L61" s="113">
        <v>1</v>
      </c>
      <c r="M61" s="113">
        <v>1</v>
      </c>
      <c r="N61" s="113">
        <v>1</v>
      </c>
      <c r="O61" s="76">
        <f t="shared" si="27"/>
        <v>12</v>
      </c>
    </row>
    <row r="62" spans="1:17">
      <c r="B62" s="76" t="s">
        <v>96</v>
      </c>
      <c r="C62" s="76">
        <v>1</v>
      </c>
      <c r="D62" s="113">
        <v>1</v>
      </c>
      <c r="E62" s="113">
        <v>1</v>
      </c>
      <c r="F62" s="113">
        <v>1</v>
      </c>
      <c r="G62" s="113">
        <v>1</v>
      </c>
      <c r="H62" s="113">
        <v>1</v>
      </c>
      <c r="I62" s="113">
        <v>1</v>
      </c>
      <c r="J62" s="113">
        <v>1</v>
      </c>
      <c r="K62" s="113">
        <v>1</v>
      </c>
      <c r="L62" s="113">
        <v>1</v>
      </c>
      <c r="M62" s="113">
        <v>1</v>
      </c>
      <c r="N62" s="113">
        <v>1</v>
      </c>
      <c r="O62" s="76">
        <f t="shared" si="27"/>
        <v>12</v>
      </c>
    </row>
    <row r="63" spans="1:17">
      <c r="B63" s="77" t="s">
        <v>97</v>
      </c>
      <c r="C63" s="77">
        <v>1</v>
      </c>
      <c r="D63" s="113">
        <v>1</v>
      </c>
      <c r="E63" s="113">
        <v>1</v>
      </c>
      <c r="F63" s="113">
        <v>1</v>
      </c>
      <c r="G63" s="113">
        <v>1</v>
      </c>
      <c r="H63" s="113">
        <v>1</v>
      </c>
      <c r="I63" s="113">
        <v>1</v>
      </c>
      <c r="J63" s="113">
        <v>1</v>
      </c>
      <c r="K63" s="113">
        <v>1</v>
      </c>
      <c r="L63" s="113">
        <v>1</v>
      </c>
      <c r="M63" s="113">
        <v>1</v>
      </c>
      <c r="N63" s="113">
        <v>1</v>
      </c>
      <c r="O63" s="76">
        <f t="shared" si="27"/>
        <v>12</v>
      </c>
    </row>
    <row r="64" spans="1:17" ht="15" thickBot="1">
      <c r="B64" s="77" t="s">
        <v>70</v>
      </c>
      <c r="C64" s="77">
        <f>C54-C56-C57-C58-C59-C60-C61-C62-C63</f>
        <v>-17.070225201994155</v>
      </c>
      <c r="D64" s="77">
        <f t="shared" ref="D64:N64" si="28">D54-D56-D57-D58-D59-D60-D61-D62-D63</f>
        <v>-17.070225201994155</v>
      </c>
      <c r="E64" s="77">
        <f t="shared" si="28"/>
        <v>-17.176513592898829</v>
      </c>
      <c r="F64" s="77">
        <f>(F54-F56-F57-F58-F59-F60-F61-F62-F63)</f>
        <v>-16.176513592898829</v>
      </c>
      <c r="G64" s="77">
        <f t="shared" si="28"/>
        <v>-15.176513592898827</v>
      </c>
      <c r="H64" s="77">
        <f t="shared" si="28"/>
        <v>-16.285112600997078</v>
      </c>
      <c r="I64" s="77">
        <f t="shared" si="28"/>
        <v>-16.292044452577816</v>
      </c>
      <c r="J64" s="77">
        <f t="shared" si="28"/>
        <v>-16.292044452577816</v>
      </c>
      <c r="K64" s="77">
        <f t="shared" si="28"/>
        <v>-17.199157641395907</v>
      </c>
      <c r="L64" s="77">
        <f t="shared" si="28"/>
        <v>-15.208862233608944</v>
      </c>
      <c r="M64" s="77">
        <f t="shared" si="28"/>
        <v>-17.199157641395907</v>
      </c>
      <c r="N64" s="77">
        <f t="shared" si="28"/>
        <v>-16.070225201994155</v>
      </c>
      <c r="O64" s="76">
        <f t="shared" si="27"/>
        <v>-197.21659540723246</v>
      </c>
    </row>
    <row r="65" spans="2:15" ht="15" thickBot="1">
      <c r="B65" s="78" t="s">
        <v>11</v>
      </c>
      <c r="C65" s="79">
        <f>SUM(C56:C64)</f>
        <v>0.92977479800584462</v>
      </c>
      <c r="D65" s="79">
        <f t="shared" ref="D65:O65" si="29">SUM(D56:D64)</f>
        <v>0.92977479800584462</v>
      </c>
      <c r="E65" s="79">
        <f t="shared" si="29"/>
        <v>0.82348640710117138</v>
      </c>
      <c r="F65" s="79">
        <f t="shared" si="29"/>
        <v>0.82348640710117138</v>
      </c>
      <c r="G65" s="79">
        <f t="shared" si="29"/>
        <v>0.82348640710117316</v>
      </c>
      <c r="H65" s="79">
        <f t="shared" si="29"/>
        <v>0.71488739900292231</v>
      </c>
      <c r="I65" s="79">
        <f t="shared" si="29"/>
        <v>0.70795554742218414</v>
      </c>
      <c r="J65" s="79">
        <f t="shared" si="29"/>
        <v>0.70795554742218414</v>
      </c>
      <c r="K65" s="79">
        <f t="shared" si="29"/>
        <v>0.80084235860409336</v>
      </c>
      <c r="L65" s="79">
        <f t="shared" si="29"/>
        <v>0.79113776639105637</v>
      </c>
      <c r="M65" s="79">
        <f t="shared" si="29"/>
        <v>0.80084235860409336</v>
      </c>
      <c r="N65" s="79">
        <f t="shared" si="29"/>
        <v>0.92977479800584462</v>
      </c>
      <c r="O65" s="79">
        <f t="shared" si="29"/>
        <v>9.783404592767539</v>
      </c>
    </row>
  </sheetData>
  <mergeCells count="13">
    <mergeCell ref="R32:S32"/>
    <mergeCell ref="R10:S10"/>
    <mergeCell ref="A1:P1"/>
    <mergeCell ref="R1:S1"/>
    <mergeCell ref="B3:O3"/>
    <mergeCell ref="P5:P6"/>
    <mergeCell ref="R6:S6"/>
    <mergeCell ref="B24:O24"/>
    <mergeCell ref="R26:S26"/>
    <mergeCell ref="B13:O13"/>
    <mergeCell ref="R15:S15"/>
    <mergeCell ref="R21:S21"/>
    <mergeCell ref="T22:T29"/>
  </mergeCells>
  <pageMargins left="0.7" right="0.7" top="0.78740157499999996" bottom="0.78740157499999996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4"/>
  <sheetViews>
    <sheetView zoomScale="175" zoomScaleNormal="175" zoomScalePageLayoutView="175" workbookViewId="0">
      <selection activeCell="C41" sqref="C41"/>
    </sheetView>
  </sheetViews>
  <sheetFormatPr baseColWidth="10" defaultRowHeight="14" x14ac:dyDescent="0"/>
  <cols>
    <col min="3" max="14" width="9.5" customWidth="1"/>
    <col min="16" max="16" width="9.83203125" customWidth="1"/>
    <col min="17" max="17" width="2.83203125" customWidth="1"/>
    <col min="18" max="18" width="29.5" bestFit="1" customWidth="1"/>
    <col min="19" max="19" width="15" customWidth="1"/>
    <col min="20" max="20" width="10.33203125" bestFit="1" customWidth="1"/>
    <col min="21" max="21" width="23.5" bestFit="1" customWidth="1"/>
    <col min="22" max="22" width="25.83203125" style="37" bestFit="1" customWidth="1"/>
  </cols>
  <sheetData>
    <row r="1" spans="1:22" ht="25">
      <c r="A1" s="92">
        <v>2027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2"/>
      <c r="R1" s="93" t="s">
        <v>28</v>
      </c>
      <c r="S1" s="94"/>
    </row>
    <row r="2" spans="1:22">
      <c r="Q2" s="2"/>
      <c r="R2" s="14" t="s">
        <v>57</v>
      </c>
      <c r="S2" s="15">
        <v>0</v>
      </c>
    </row>
    <row r="3" spans="1:22" s="37" customFormat="1" ht="25">
      <c r="A3"/>
      <c r="B3" s="96" t="s">
        <v>37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/>
      <c r="Q3" s="2"/>
      <c r="R3" s="112" t="s">
        <v>86</v>
      </c>
      <c r="S3" s="80">
        <f>'2026'!S3</f>
        <v>10000</v>
      </c>
    </row>
    <row r="4" spans="1:22" ht="15" thickBot="1">
      <c r="B4" s="5"/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27</v>
      </c>
      <c r="L4" s="5" t="s">
        <v>10</v>
      </c>
      <c r="M4" s="5" t="s">
        <v>26</v>
      </c>
      <c r="N4" s="5" t="s">
        <v>25</v>
      </c>
      <c r="O4" s="5" t="s">
        <v>11</v>
      </c>
      <c r="Q4" s="2"/>
      <c r="R4" s="16" t="s">
        <v>24</v>
      </c>
      <c r="S4" s="81">
        <f>'2026'!S4</f>
        <v>9.0999999999999998E-2</v>
      </c>
    </row>
    <row r="5" spans="1:22" ht="15" thickBot="1">
      <c r="B5" s="3" t="s">
        <v>13</v>
      </c>
      <c r="C5" s="37">
        <v>5000</v>
      </c>
      <c r="D5" s="37">
        <v>1000</v>
      </c>
      <c r="E5" s="37">
        <v>1000</v>
      </c>
      <c r="F5" s="37">
        <v>1000</v>
      </c>
      <c r="G5" s="37">
        <v>1000</v>
      </c>
      <c r="H5" s="37">
        <v>1000</v>
      </c>
      <c r="I5" s="37">
        <v>1000</v>
      </c>
      <c r="J5" s="37">
        <v>1000</v>
      </c>
      <c r="K5" s="37">
        <v>1000</v>
      </c>
      <c r="L5" s="37">
        <v>1000</v>
      </c>
      <c r="M5" s="37">
        <v>1000</v>
      </c>
      <c r="N5" s="37">
        <v>1000</v>
      </c>
      <c r="O5" s="5">
        <f t="shared" ref="O5:O7" si="0">SUM(C5:N5)</f>
        <v>16000</v>
      </c>
      <c r="P5" s="103">
        <f>O6+O5</f>
        <v>71500</v>
      </c>
      <c r="Q5" s="2"/>
    </row>
    <row r="6" spans="1:22" ht="15" thickTop="1">
      <c r="B6" s="4" t="s">
        <v>14</v>
      </c>
      <c r="C6" s="37">
        <v>500</v>
      </c>
      <c r="D6" s="37">
        <v>5000</v>
      </c>
      <c r="E6" s="37">
        <v>5000</v>
      </c>
      <c r="F6" s="37">
        <v>5000</v>
      </c>
      <c r="G6" s="37">
        <v>5000</v>
      </c>
      <c r="H6" s="37">
        <v>5000</v>
      </c>
      <c r="I6" s="37">
        <v>5000</v>
      </c>
      <c r="J6" s="37">
        <v>5000</v>
      </c>
      <c r="K6" s="37">
        <v>5000</v>
      </c>
      <c r="L6" s="37">
        <v>5000</v>
      </c>
      <c r="M6" s="37">
        <v>5000</v>
      </c>
      <c r="N6" s="37">
        <v>5000</v>
      </c>
      <c r="O6" s="5">
        <f t="shared" si="0"/>
        <v>55500</v>
      </c>
      <c r="P6" s="103"/>
      <c r="Q6" s="2"/>
      <c r="R6" s="104" t="s">
        <v>29</v>
      </c>
      <c r="S6" s="105"/>
      <c r="U6" s="55" t="s">
        <v>36</v>
      </c>
      <c r="V6" s="56" t="s">
        <v>53</v>
      </c>
    </row>
    <row r="7" spans="1:22" ht="15" thickBot="1">
      <c r="B7" s="8" t="s">
        <v>16</v>
      </c>
      <c r="C7" s="9">
        <v>1000</v>
      </c>
      <c r="D7" s="9">
        <v>1000</v>
      </c>
      <c r="E7" s="9">
        <v>1000</v>
      </c>
      <c r="F7" s="9">
        <v>1000</v>
      </c>
      <c r="G7" s="9">
        <v>1000</v>
      </c>
      <c r="H7" s="9">
        <v>1000</v>
      </c>
      <c r="I7" s="9">
        <v>1000</v>
      </c>
      <c r="J7" s="9">
        <v>1000</v>
      </c>
      <c r="K7" s="9">
        <v>1000</v>
      </c>
      <c r="L7" s="9">
        <v>1000</v>
      </c>
      <c r="M7" s="9">
        <v>1000</v>
      </c>
      <c r="N7" s="9">
        <v>1000</v>
      </c>
      <c r="O7" s="54">
        <f t="shared" si="0"/>
        <v>12000</v>
      </c>
      <c r="Q7" s="12"/>
      <c r="R7" s="17" t="s">
        <v>35</v>
      </c>
      <c r="S7" s="82">
        <f>'2026'!T7</f>
        <v>11185791.431238629</v>
      </c>
      <c r="T7" s="11"/>
      <c r="U7" s="57">
        <f>S7-T22</f>
        <v>11173779.431238629</v>
      </c>
      <c r="V7" s="60">
        <f>U7/T22</f>
        <v>930.21806786868376</v>
      </c>
    </row>
    <row r="8" spans="1:22" ht="16" thickTop="1" thickBot="1">
      <c r="B8" s="33" t="s">
        <v>12</v>
      </c>
      <c r="C8" s="33">
        <f>SUM(C5:C7)</f>
        <v>6500</v>
      </c>
      <c r="D8" s="33">
        <f t="shared" ref="D8:N8" si="1">SUM(D5:D7)</f>
        <v>7000</v>
      </c>
      <c r="E8" s="33">
        <f t="shared" si="1"/>
        <v>7000</v>
      </c>
      <c r="F8" s="33">
        <f t="shared" si="1"/>
        <v>7000</v>
      </c>
      <c r="G8" s="33">
        <f t="shared" si="1"/>
        <v>7000</v>
      </c>
      <c r="H8" s="33">
        <f t="shared" si="1"/>
        <v>7000</v>
      </c>
      <c r="I8" s="33">
        <f t="shared" si="1"/>
        <v>7000</v>
      </c>
      <c r="J8" s="33">
        <f t="shared" si="1"/>
        <v>7000</v>
      </c>
      <c r="K8" s="33">
        <f t="shared" si="1"/>
        <v>7000</v>
      </c>
      <c r="L8" s="33">
        <f t="shared" si="1"/>
        <v>7000</v>
      </c>
      <c r="M8" s="33">
        <f t="shared" si="1"/>
        <v>7000</v>
      </c>
      <c r="N8" s="34">
        <f t="shared" si="1"/>
        <v>7000</v>
      </c>
      <c r="O8" s="33">
        <f>SUM(O5:O7)</f>
        <v>83500</v>
      </c>
      <c r="Q8" s="12"/>
      <c r="R8" s="18" t="s">
        <v>34</v>
      </c>
      <c r="S8" s="83">
        <f>'2026'!T8</f>
        <v>4625053.1185151516</v>
      </c>
      <c r="T8" s="11"/>
      <c r="U8" s="58">
        <f>S8-((O6*S2)-O16*S4)</f>
        <v>4625735.6185151516</v>
      </c>
      <c r="V8" s="61">
        <f>U8/U9</f>
        <v>-6777.6346058830059</v>
      </c>
    </row>
    <row r="9" spans="1:22" ht="15" thickBot="1">
      <c r="B9" s="41" t="s">
        <v>40</v>
      </c>
      <c r="C9" s="42">
        <f t="shared" ref="C9:E9" si="2">IF(C8&gt;0,(C5+C6)/C8,"")</f>
        <v>0.84615384615384615</v>
      </c>
      <c r="D9" s="42">
        <f t="shared" si="2"/>
        <v>0.8571428571428571</v>
      </c>
      <c r="E9" s="42">
        <f t="shared" si="2"/>
        <v>0.8571428571428571</v>
      </c>
      <c r="F9" s="42">
        <f>IF(F8&gt;0,(F5+F6)/F8,"")</f>
        <v>0.8571428571428571</v>
      </c>
      <c r="G9" s="42">
        <f t="shared" ref="G9:N9" si="3">IF(G8&gt;0,(G5+G6)/G8,"")</f>
        <v>0.8571428571428571</v>
      </c>
      <c r="H9" s="42">
        <f t="shared" si="3"/>
        <v>0.8571428571428571</v>
      </c>
      <c r="I9" s="42">
        <f t="shared" si="3"/>
        <v>0.8571428571428571</v>
      </c>
      <c r="J9" s="42">
        <f t="shared" si="3"/>
        <v>0.8571428571428571</v>
      </c>
      <c r="K9" s="42">
        <f t="shared" si="3"/>
        <v>0.8571428571428571</v>
      </c>
      <c r="L9" s="42">
        <f t="shared" si="3"/>
        <v>0.8571428571428571</v>
      </c>
      <c r="M9" s="42">
        <f t="shared" si="3"/>
        <v>0.8571428571428571</v>
      </c>
      <c r="N9" s="42">
        <f t="shared" si="3"/>
        <v>0.8571428571428571</v>
      </c>
      <c r="O9" s="46">
        <f t="shared" ref="O9" si="4">(O5+O6)/O8</f>
        <v>0.85628742514970058</v>
      </c>
      <c r="Q9" s="2"/>
      <c r="U9" s="65">
        <f>S8-U8</f>
        <v>-682.5</v>
      </c>
    </row>
    <row r="10" spans="1:22">
      <c r="B10" s="43" t="s">
        <v>41</v>
      </c>
      <c r="C10" s="40">
        <f t="shared" ref="C10:O10" si="5">IF(C8&gt;0,(C5+C6)/C18,"")</f>
        <v>0.11695657721260579</v>
      </c>
      <c r="D10" s="40">
        <f t="shared" si="5"/>
        <v>9.5348578511608689E-2</v>
      </c>
      <c r="E10" s="40">
        <f t="shared" si="5"/>
        <v>5.957345406886691E-2</v>
      </c>
      <c r="F10" s="40">
        <f t="shared" si="5"/>
        <v>4.4987628402189395E-2</v>
      </c>
      <c r="G10" s="40">
        <f t="shared" si="5"/>
        <v>3.7766727513060996E-2</v>
      </c>
      <c r="H10" s="40">
        <f t="shared" si="5"/>
        <v>3.5855145213338116E-2</v>
      </c>
      <c r="I10" s="40">
        <f t="shared" si="5"/>
        <v>3.5366306519778609E-2</v>
      </c>
      <c r="J10" s="40">
        <f t="shared" si="5"/>
        <v>4.2042126210462882E-2</v>
      </c>
      <c r="K10" s="40">
        <f t="shared" si="5"/>
        <v>5.3049459779667914E-2</v>
      </c>
      <c r="L10" s="40">
        <f t="shared" si="5"/>
        <v>6.9679936823523941E-2</v>
      </c>
      <c r="M10" s="40">
        <f t="shared" si="5"/>
        <v>0.13226930029540143</v>
      </c>
      <c r="N10" s="40">
        <f t="shared" si="5"/>
        <v>0.16237280796709244</v>
      </c>
      <c r="O10" s="47">
        <f t="shared" si="5"/>
        <v>5.6560191118072367E-2</v>
      </c>
      <c r="Q10" s="2"/>
      <c r="R10" s="97" t="s">
        <v>30</v>
      </c>
      <c r="S10" s="98"/>
    </row>
    <row r="11" spans="1:22" ht="15" thickBot="1">
      <c r="B11" s="44" t="s">
        <v>42</v>
      </c>
      <c r="C11" s="45">
        <f t="shared" ref="C11:E11" si="6">IF(C8&gt;0,C5*$S$2+C6*$S$2+C17*$S$4,"")</f>
        <v>1001</v>
      </c>
      <c r="D11" s="45">
        <f t="shared" si="6"/>
        <v>1001</v>
      </c>
      <c r="E11" s="45">
        <f t="shared" si="6"/>
        <v>1001</v>
      </c>
      <c r="F11" s="45">
        <f>IF(F8&gt;0,F5*$S$2+F6*$S$2+F17*$S$4,"")</f>
        <v>1001</v>
      </c>
      <c r="G11" s="45">
        <f t="shared" ref="G11:N11" si="7">IF(G8&gt;0,G5*$S$2+G6*$S$2+G17*$S$4,"")</f>
        <v>1001</v>
      </c>
      <c r="H11" s="45">
        <f t="shared" si="7"/>
        <v>1001</v>
      </c>
      <c r="I11" s="45">
        <f t="shared" si="7"/>
        <v>1001</v>
      </c>
      <c r="J11" s="45">
        <f t="shared" si="7"/>
        <v>1001</v>
      </c>
      <c r="K11" s="45">
        <f t="shared" si="7"/>
        <v>1001</v>
      </c>
      <c r="L11" s="45">
        <f t="shared" si="7"/>
        <v>1001</v>
      </c>
      <c r="M11" s="45">
        <f t="shared" si="7"/>
        <v>1001</v>
      </c>
      <c r="N11" s="45">
        <f t="shared" si="7"/>
        <v>1001</v>
      </c>
      <c r="O11" s="48">
        <f>SUM(C11:N11)</f>
        <v>12012</v>
      </c>
      <c r="P11" s="37"/>
      <c r="Q11" s="2"/>
      <c r="R11" s="19" t="s">
        <v>0</v>
      </c>
      <c r="S11" s="20">
        <f>P5/O8</f>
        <v>0.85628742514970058</v>
      </c>
    </row>
    <row r="12" spans="1:22" ht="15" thickBo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2"/>
      <c r="R12" s="21" t="s">
        <v>1</v>
      </c>
      <c r="S12" s="22">
        <f>P5/O18</f>
        <v>5.6560191118072367E-2</v>
      </c>
    </row>
    <row r="13" spans="1:22" s="37" customFormat="1" ht="25">
      <c r="A13"/>
      <c r="B13" s="95" t="s">
        <v>38</v>
      </c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/>
      <c r="Q13" s="2"/>
      <c r="U13" s="38"/>
    </row>
    <row r="14" spans="1:22" ht="15" thickBot="1">
      <c r="B14" s="5"/>
      <c r="C14" s="5" t="s">
        <v>2</v>
      </c>
      <c r="D14" s="5" t="s">
        <v>3</v>
      </c>
      <c r="E14" s="5" t="s">
        <v>4</v>
      </c>
      <c r="F14" s="5" t="s">
        <v>5</v>
      </c>
      <c r="G14" s="5" t="s">
        <v>6</v>
      </c>
      <c r="H14" s="5" t="s">
        <v>7</v>
      </c>
      <c r="I14" s="5" t="s">
        <v>8</v>
      </c>
      <c r="J14" s="5" t="s">
        <v>9</v>
      </c>
      <c r="K14" s="5" t="s">
        <v>27</v>
      </c>
      <c r="L14" s="5" t="s">
        <v>10</v>
      </c>
      <c r="M14" s="5" t="s">
        <v>26</v>
      </c>
      <c r="N14" s="5" t="s">
        <v>25</v>
      </c>
      <c r="O14" s="5" t="s">
        <v>11</v>
      </c>
      <c r="Q14" s="2"/>
      <c r="S14" s="11"/>
    </row>
    <row r="15" spans="1:22">
      <c r="B15" s="3" t="s">
        <v>13</v>
      </c>
      <c r="C15" s="121">
        <v>35401</v>
      </c>
      <c r="D15" s="121">
        <v>51302</v>
      </c>
      <c r="E15" s="121">
        <v>89091</v>
      </c>
      <c r="F15" s="121">
        <v>121745</v>
      </c>
      <c r="G15" s="121">
        <v>147245</v>
      </c>
      <c r="H15" s="121">
        <v>155715</v>
      </c>
      <c r="I15" s="121">
        <v>158028</v>
      </c>
      <c r="J15" s="121">
        <v>131089</v>
      </c>
      <c r="K15" s="121">
        <v>101477</v>
      </c>
      <c r="L15" s="121">
        <v>74483</v>
      </c>
      <c r="M15" s="121">
        <v>33737</v>
      </c>
      <c r="N15" s="121">
        <v>25327</v>
      </c>
      <c r="O15" s="5">
        <f t="shared" ref="O15:O17" si="8">SUM(C15:N15)</f>
        <v>1124640</v>
      </c>
      <c r="Q15" s="2"/>
      <c r="R15" s="99" t="s">
        <v>31</v>
      </c>
      <c r="S15" s="100"/>
      <c r="U15" s="67"/>
    </row>
    <row r="16" spans="1:22">
      <c r="B16" s="1" t="s">
        <v>15</v>
      </c>
      <c r="C16" s="37">
        <v>625</v>
      </c>
      <c r="D16" s="37">
        <v>625</v>
      </c>
      <c r="E16" s="37">
        <v>625</v>
      </c>
      <c r="F16" s="37">
        <v>625</v>
      </c>
      <c r="G16" s="37">
        <v>625</v>
      </c>
      <c r="H16" s="37">
        <v>625</v>
      </c>
      <c r="I16" s="37">
        <v>625</v>
      </c>
      <c r="J16" s="37">
        <v>625</v>
      </c>
      <c r="K16" s="37">
        <v>625</v>
      </c>
      <c r="L16" s="37">
        <v>625</v>
      </c>
      <c r="M16" s="37">
        <v>625</v>
      </c>
      <c r="N16" s="37">
        <v>625</v>
      </c>
      <c r="O16" s="5">
        <f t="shared" si="8"/>
        <v>7500</v>
      </c>
      <c r="Q16" s="2"/>
      <c r="R16" s="23" t="s">
        <v>19</v>
      </c>
      <c r="S16" s="24">
        <f>O16</f>
        <v>7500</v>
      </c>
      <c r="U16" s="67"/>
    </row>
    <row r="17" spans="1:23" ht="15" thickBot="1">
      <c r="B17" s="10" t="s">
        <v>17</v>
      </c>
      <c r="C17" s="9">
        <v>11000</v>
      </c>
      <c r="D17" s="9">
        <v>11000</v>
      </c>
      <c r="E17" s="9">
        <v>11000</v>
      </c>
      <c r="F17" s="9">
        <v>11000</v>
      </c>
      <c r="G17" s="9">
        <v>11000</v>
      </c>
      <c r="H17" s="9">
        <v>11000</v>
      </c>
      <c r="I17" s="9">
        <v>11000</v>
      </c>
      <c r="J17" s="9">
        <v>11000</v>
      </c>
      <c r="K17" s="9">
        <v>11000</v>
      </c>
      <c r="L17" s="9">
        <v>11000</v>
      </c>
      <c r="M17" s="9">
        <v>11000</v>
      </c>
      <c r="N17" s="9">
        <v>11000</v>
      </c>
      <c r="O17" s="54">
        <f t="shared" si="8"/>
        <v>132000</v>
      </c>
      <c r="Q17" s="2"/>
      <c r="R17" s="23" t="s">
        <v>18</v>
      </c>
      <c r="S17" s="24">
        <f>O6</f>
        <v>55500</v>
      </c>
      <c r="U17" s="67"/>
    </row>
    <row r="18" spans="1:23" ht="16" thickTop="1" thickBot="1">
      <c r="B18" s="6" t="s">
        <v>12</v>
      </c>
      <c r="C18" s="6">
        <f>SUM(C15:C17)</f>
        <v>47026</v>
      </c>
      <c r="D18" s="6">
        <f t="shared" ref="D18:N18" si="9">SUM(D15:D17)</f>
        <v>62927</v>
      </c>
      <c r="E18" s="6">
        <f t="shared" si="9"/>
        <v>100716</v>
      </c>
      <c r="F18" s="6">
        <f t="shared" si="9"/>
        <v>133370</v>
      </c>
      <c r="G18" s="6">
        <f t="shared" si="9"/>
        <v>158870</v>
      </c>
      <c r="H18" s="6">
        <f t="shared" si="9"/>
        <v>167340</v>
      </c>
      <c r="I18" s="6">
        <f t="shared" si="9"/>
        <v>169653</v>
      </c>
      <c r="J18" s="6">
        <f t="shared" si="9"/>
        <v>142714</v>
      </c>
      <c r="K18" s="6">
        <f t="shared" si="9"/>
        <v>113102</v>
      </c>
      <c r="L18" s="6">
        <f t="shared" si="9"/>
        <v>86108</v>
      </c>
      <c r="M18" s="6">
        <f t="shared" si="9"/>
        <v>45362</v>
      </c>
      <c r="N18" s="7">
        <f t="shared" si="9"/>
        <v>36952</v>
      </c>
      <c r="O18" s="6">
        <f>SUM(O15:O17)</f>
        <v>1264140</v>
      </c>
      <c r="Q18" s="2"/>
      <c r="R18" s="23" t="s">
        <v>20</v>
      </c>
      <c r="S18" s="24">
        <f>100/S16*S17</f>
        <v>740</v>
      </c>
      <c r="T18" s="37"/>
      <c r="U18" s="68"/>
    </row>
    <row r="19" spans="1:23" ht="15" thickBot="1">
      <c r="A19" s="37"/>
      <c r="B19" s="41" t="s">
        <v>44</v>
      </c>
      <c r="C19" s="50">
        <f>IF(C18&gt;0,C18/$S$3,"")</f>
        <v>4.7026000000000003</v>
      </c>
      <c r="D19" s="50">
        <f t="shared" ref="D19:N19" si="10">IF(D18&gt;0,D18/$S$3,"")</f>
        <v>6.2927</v>
      </c>
      <c r="E19" s="50">
        <f t="shared" si="10"/>
        <v>10.0716</v>
      </c>
      <c r="F19" s="50">
        <f t="shared" si="10"/>
        <v>13.337</v>
      </c>
      <c r="G19" s="50">
        <f t="shared" si="10"/>
        <v>15.887</v>
      </c>
      <c r="H19" s="50">
        <f t="shared" si="10"/>
        <v>16.734000000000002</v>
      </c>
      <c r="I19" s="50">
        <f t="shared" si="10"/>
        <v>16.965299999999999</v>
      </c>
      <c r="J19" s="50">
        <f t="shared" si="10"/>
        <v>14.2714</v>
      </c>
      <c r="K19" s="50">
        <f t="shared" si="10"/>
        <v>11.3102</v>
      </c>
      <c r="L19" s="50">
        <f t="shared" si="10"/>
        <v>8.6107999999999993</v>
      </c>
      <c r="M19" s="50">
        <f t="shared" si="10"/>
        <v>4.5362</v>
      </c>
      <c r="N19" s="50">
        <f t="shared" si="10"/>
        <v>3.6951999999999998</v>
      </c>
      <c r="O19" s="53">
        <f>SUM(C19:N19)</f>
        <v>126.41399999999999</v>
      </c>
      <c r="P19" s="37"/>
      <c r="Q19" s="2"/>
      <c r="R19" s="25" t="s">
        <v>21</v>
      </c>
      <c r="S19" s="26">
        <f>100-S18</f>
        <v>-640</v>
      </c>
      <c r="T19" s="37"/>
      <c r="U19" s="67"/>
    </row>
    <row r="20" spans="1:23" s="37" customFormat="1" ht="15" thickBot="1">
      <c r="B20" s="43" t="s">
        <v>46</v>
      </c>
      <c r="C20" s="51">
        <f>IF(C8&gt;0,C16/31,"")</f>
        <v>20.161290322580644</v>
      </c>
      <c r="D20" s="51">
        <f>IF(D8&gt;0,D16/28,"")</f>
        <v>22.321428571428573</v>
      </c>
      <c r="E20" s="51">
        <f t="shared" ref="E20:N20" si="11">IF(E8&gt;0,E16/31,"")</f>
        <v>20.161290322580644</v>
      </c>
      <c r="F20" s="51">
        <f>IF(F8&gt;0,F16/30,"")</f>
        <v>20.833333333333332</v>
      </c>
      <c r="G20" s="51">
        <f t="shared" si="11"/>
        <v>20.161290322580644</v>
      </c>
      <c r="H20" s="51">
        <f>IF(H8&gt;0,H16/30,"")</f>
        <v>20.833333333333332</v>
      </c>
      <c r="I20" s="51">
        <f t="shared" si="11"/>
        <v>20.161290322580644</v>
      </c>
      <c r="J20" s="51">
        <f t="shared" si="11"/>
        <v>20.161290322580644</v>
      </c>
      <c r="K20" s="51">
        <f>IF(K8&gt;0,K16/30,"")</f>
        <v>20.833333333333332</v>
      </c>
      <c r="L20" s="51">
        <f t="shared" si="11"/>
        <v>20.161290322580644</v>
      </c>
      <c r="M20" s="51">
        <f>IF(M8&gt;0,M16/30,"")</f>
        <v>20.833333333333332</v>
      </c>
      <c r="N20" s="51">
        <f t="shared" si="11"/>
        <v>20.161290322580644</v>
      </c>
      <c r="O20" s="52">
        <f>SUM(C20:N20)/COUNT(C20:N20)</f>
        <v>20.565316180235534</v>
      </c>
      <c r="Q20" s="2"/>
      <c r="R20"/>
      <c r="S20"/>
      <c r="T20"/>
      <c r="U20" s="67"/>
      <c r="W20"/>
    </row>
    <row r="21" spans="1:23" s="37" customFormat="1" ht="15" thickBot="1">
      <c r="B21" s="43" t="s">
        <v>47</v>
      </c>
      <c r="C21" s="40">
        <f>IF(C18&gt;0,C17/C18,"")</f>
        <v>0.23391315442521157</v>
      </c>
      <c r="D21" s="40">
        <f t="shared" ref="D21:N21" si="12">IF(D18&gt;0,D17/D18,"")</f>
        <v>0.1748057272712826</v>
      </c>
      <c r="E21" s="40">
        <f t="shared" si="12"/>
        <v>0.109217999126256</v>
      </c>
      <c r="F21" s="40">
        <f t="shared" si="12"/>
        <v>8.2477318737347233E-2</v>
      </c>
      <c r="G21" s="40">
        <f t="shared" si="12"/>
        <v>6.923900044061182E-2</v>
      </c>
      <c r="H21" s="40">
        <f t="shared" si="12"/>
        <v>6.5734432891119882E-2</v>
      </c>
      <c r="I21" s="40">
        <f t="shared" si="12"/>
        <v>6.483822861959411E-2</v>
      </c>
      <c r="J21" s="40">
        <f t="shared" si="12"/>
        <v>7.7077231385848627E-2</v>
      </c>
      <c r="K21" s="40">
        <f t="shared" si="12"/>
        <v>9.7257342929391172E-2</v>
      </c>
      <c r="L21" s="40">
        <f t="shared" si="12"/>
        <v>0.12774655084312725</v>
      </c>
      <c r="M21" s="40">
        <f t="shared" si="12"/>
        <v>0.24249371720823598</v>
      </c>
      <c r="N21" s="40">
        <f t="shared" si="12"/>
        <v>0.29768348127300281</v>
      </c>
      <c r="O21" s="47">
        <f>O17/O18</f>
        <v>0.1044188143718259</v>
      </c>
      <c r="Q21" s="2"/>
      <c r="R21" s="101" t="s">
        <v>32</v>
      </c>
      <c r="S21" s="102"/>
      <c r="T21"/>
      <c r="W21"/>
    </row>
    <row r="22" spans="1:23" s="37" customFormat="1" ht="15" thickBot="1">
      <c r="A22"/>
      <c r="B22" s="44" t="s">
        <v>51</v>
      </c>
      <c r="C22" s="74">
        <f t="shared" ref="C22:O22" si="13">IF(C8&gt;0,100/C16*C6-100,"")</f>
        <v>-20</v>
      </c>
      <c r="D22" s="74">
        <f t="shared" si="13"/>
        <v>700</v>
      </c>
      <c r="E22" s="74">
        <f t="shared" si="13"/>
        <v>700</v>
      </c>
      <c r="F22" s="74">
        <f t="shared" si="13"/>
        <v>700</v>
      </c>
      <c r="G22" s="74">
        <f t="shared" si="13"/>
        <v>700</v>
      </c>
      <c r="H22" s="74">
        <f t="shared" si="13"/>
        <v>700</v>
      </c>
      <c r="I22" s="74">
        <f t="shared" si="13"/>
        <v>700</v>
      </c>
      <c r="J22" s="74">
        <f t="shared" si="13"/>
        <v>700</v>
      </c>
      <c r="K22" s="74">
        <f t="shared" si="13"/>
        <v>700</v>
      </c>
      <c r="L22" s="74">
        <f t="shared" si="13"/>
        <v>700</v>
      </c>
      <c r="M22" s="74">
        <f t="shared" si="13"/>
        <v>700</v>
      </c>
      <c r="N22" s="74">
        <f t="shared" si="13"/>
        <v>700</v>
      </c>
      <c r="O22" s="75">
        <f t="shared" si="13"/>
        <v>640</v>
      </c>
      <c r="P22"/>
      <c r="Q22" s="2"/>
      <c r="R22" s="27" t="s">
        <v>22</v>
      </c>
      <c r="S22" s="28">
        <f>O5*S2</f>
        <v>0</v>
      </c>
      <c r="T22" s="106">
        <f>SUM(S22:S24)</f>
        <v>12012</v>
      </c>
      <c r="U22" s="39" t="s">
        <v>43</v>
      </c>
      <c r="W22"/>
    </row>
    <row r="23" spans="1:23">
      <c r="Q23" s="2"/>
      <c r="R23" s="27" t="s">
        <v>54</v>
      </c>
      <c r="S23" s="28">
        <f>O6*S2</f>
        <v>0</v>
      </c>
      <c r="T23" s="107"/>
      <c r="U23" s="85">
        <f>1/'2025'!S7*T22</f>
        <v>1.0010000000000002E-3</v>
      </c>
    </row>
    <row r="24" spans="1:23" ht="15" thickBot="1">
      <c r="Q24" s="2"/>
      <c r="R24" s="29" t="s">
        <v>24</v>
      </c>
      <c r="S24" s="30">
        <f>O17*S4</f>
        <v>12012</v>
      </c>
      <c r="T24" s="91"/>
      <c r="U24" s="86"/>
    </row>
    <row r="25" spans="1:23" ht="15" thickBot="1">
      <c r="Q25" s="2"/>
    </row>
    <row r="26" spans="1:23">
      <c r="Q26" s="2"/>
      <c r="R26" s="87" t="s">
        <v>33</v>
      </c>
      <c r="S26" s="88"/>
    </row>
    <row r="27" spans="1:23" ht="15" thickBot="1">
      <c r="Q27" s="2"/>
      <c r="R27" s="31" t="s">
        <v>23</v>
      </c>
      <c r="S27" s="32">
        <f>O7*S2</f>
        <v>0</v>
      </c>
      <c r="U27" s="38"/>
    </row>
    <row r="28" spans="1:23">
      <c r="Q28" s="2"/>
    </row>
    <row r="29" spans="1:23">
      <c r="Q29" s="2"/>
    </row>
    <row r="30" spans="1:23">
      <c r="Q30" s="2"/>
    </row>
    <row r="31" spans="1:23">
      <c r="Q31" s="2"/>
    </row>
    <row r="32" spans="1:23">
      <c r="Q32" s="2"/>
      <c r="S32" s="37"/>
      <c r="T32" s="37"/>
    </row>
    <row r="33" spans="2:20">
      <c r="Q33" s="2"/>
      <c r="S33" s="37"/>
      <c r="T33" s="37"/>
    </row>
    <row r="34" spans="2:20">
      <c r="Q34" s="2"/>
      <c r="S34" s="37"/>
      <c r="T34" s="37"/>
    </row>
    <row r="35" spans="2:20">
      <c r="Q35" s="2"/>
    </row>
    <row r="36" spans="2:20">
      <c r="Q36" s="2"/>
    </row>
    <row r="37" spans="2:20">
      <c r="Q37" s="2"/>
    </row>
    <row r="38" spans="2:20">
      <c r="Q38" s="2"/>
    </row>
    <row r="39" spans="2:20">
      <c r="Q39" s="2"/>
    </row>
    <row r="40" spans="2:20">
      <c r="Q40" s="2"/>
    </row>
    <row r="42" spans="2:20"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</row>
    <row r="43" spans="2:20">
      <c r="B43" s="5" t="s">
        <v>65</v>
      </c>
      <c r="C43" s="5">
        <f>C8</f>
        <v>6500</v>
      </c>
      <c r="D43" s="5">
        <f t="shared" ref="D43:O43" si="14">D8</f>
        <v>7000</v>
      </c>
      <c r="E43" s="5">
        <f t="shared" si="14"/>
        <v>7000</v>
      </c>
      <c r="F43" s="5">
        <f t="shared" si="14"/>
        <v>7000</v>
      </c>
      <c r="G43" s="5">
        <f t="shared" si="14"/>
        <v>7000</v>
      </c>
      <c r="H43" s="5">
        <f t="shared" si="14"/>
        <v>7000</v>
      </c>
      <c r="I43" s="5">
        <f t="shared" si="14"/>
        <v>7000</v>
      </c>
      <c r="J43" s="5">
        <f t="shared" si="14"/>
        <v>7000</v>
      </c>
      <c r="K43" s="5">
        <f t="shared" si="14"/>
        <v>7000</v>
      </c>
      <c r="L43" s="5">
        <f t="shared" si="14"/>
        <v>7000</v>
      </c>
      <c r="M43" s="5">
        <f t="shared" si="14"/>
        <v>7000</v>
      </c>
      <c r="N43" s="5">
        <f t="shared" si="14"/>
        <v>7000</v>
      </c>
      <c r="O43" s="5">
        <f t="shared" si="14"/>
        <v>83500</v>
      </c>
    </row>
    <row r="44" spans="2:20">
      <c r="B44" s="5" t="s">
        <v>62</v>
      </c>
      <c r="C44" s="5" t="s">
        <v>2</v>
      </c>
      <c r="D44" s="5" t="s">
        <v>3</v>
      </c>
      <c r="E44" s="5" t="s">
        <v>4</v>
      </c>
      <c r="F44" s="5" t="s">
        <v>5</v>
      </c>
      <c r="G44" s="5" t="s">
        <v>6</v>
      </c>
      <c r="H44" s="5" t="s">
        <v>7</v>
      </c>
      <c r="I44" s="5" t="s">
        <v>8</v>
      </c>
      <c r="J44" s="5" t="s">
        <v>9</v>
      </c>
      <c r="K44" s="5" t="s">
        <v>27</v>
      </c>
      <c r="L44" s="5" t="s">
        <v>10</v>
      </c>
      <c r="M44" s="5" t="s">
        <v>26</v>
      </c>
      <c r="N44" s="5" t="s">
        <v>25</v>
      </c>
      <c r="O44" s="5" t="s">
        <v>11</v>
      </c>
    </row>
    <row r="45" spans="2:20">
      <c r="B45" s="76" t="s">
        <v>90</v>
      </c>
      <c r="C45" s="76">
        <v>2</v>
      </c>
      <c r="D45" s="76">
        <v>2</v>
      </c>
      <c r="E45" s="76">
        <v>2</v>
      </c>
      <c r="F45" s="76">
        <v>1</v>
      </c>
      <c r="G45" s="76">
        <v>1</v>
      </c>
      <c r="H45" s="76">
        <v>1</v>
      </c>
      <c r="I45" s="76">
        <v>1</v>
      </c>
      <c r="J45" s="76">
        <v>1</v>
      </c>
      <c r="K45" s="76">
        <v>2</v>
      </c>
      <c r="L45" s="76"/>
      <c r="M45" s="76">
        <v>2</v>
      </c>
      <c r="N45" s="76">
        <v>2</v>
      </c>
      <c r="O45" s="76">
        <f>SUM(C45:N45)</f>
        <v>17</v>
      </c>
    </row>
    <row r="46" spans="2:20">
      <c r="B46" s="76" t="s">
        <v>91</v>
      </c>
      <c r="C46" s="76">
        <v>1</v>
      </c>
      <c r="D46" s="76">
        <v>1</v>
      </c>
      <c r="E46" s="76">
        <v>1</v>
      </c>
      <c r="F46" s="76">
        <v>1</v>
      </c>
      <c r="G46" s="76"/>
      <c r="H46" s="76">
        <v>1</v>
      </c>
      <c r="I46" s="76">
        <v>1</v>
      </c>
      <c r="J46" s="76">
        <v>1</v>
      </c>
      <c r="K46" s="76">
        <v>1</v>
      </c>
      <c r="L46" s="76">
        <v>1</v>
      </c>
      <c r="M46" s="76">
        <v>1</v>
      </c>
      <c r="N46" s="76"/>
      <c r="O46" s="76">
        <f t="shared" ref="O46:O53" si="15">SUM(C46:N46)</f>
        <v>10</v>
      </c>
    </row>
    <row r="47" spans="2:20">
      <c r="B47" s="76" t="s">
        <v>92</v>
      </c>
      <c r="C47" s="76">
        <v>1</v>
      </c>
      <c r="D47" s="76">
        <v>1</v>
      </c>
      <c r="E47" s="76">
        <v>1</v>
      </c>
      <c r="F47" s="76">
        <v>1</v>
      </c>
      <c r="G47" s="76">
        <v>1</v>
      </c>
      <c r="H47" s="76">
        <v>1</v>
      </c>
      <c r="I47" s="76">
        <v>1</v>
      </c>
      <c r="J47" s="76">
        <v>1</v>
      </c>
      <c r="K47" s="76">
        <v>1</v>
      </c>
      <c r="L47" s="76">
        <v>1</v>
      </c>
      <c r="M47" s="76">
        <v>1</v>
      </c>
      <c r="N47" s="76">
        <v>1</v>
      </c>
      <c r="O47" s="76">
        <f t="shared" si="15"/>
        <v>12</v>
      </c>
    </row>
    <row r="48" spans="2:20">
      <c r="B48" s="76" t="s">
        <v>93</v>
      </c>
      <c r="C48" s="76">
        <v>1</v>
      </c>
      <c r="D48" s="76">
        <v>1</v>
      </c>
      <c r="E48" s="76">
        <v>1</v>
      </c>
      <c r="F48" s="76">
        <v>1</v>
      </c>
      <c r="G48" s="76">
        <v>1</v>
      </c>
      <c r="H48" s="76">
        <v>1</v>
      </c>
      <c r="I48" s="76">
        <v>1</v>
      </c>
      <c r="J48" s="76">
        <v>1</v>
      </c>
      <c r="K48" s="76">
        <v>1</v>
      </c>
      <c r="L48" s="76">
        <v>1</v>
      </c>
      <c r="M48" s="76">
        <v>1</v>
      </c>
      <c r="N48" s="76">
        <v>1</v>
      </c>
      <c r="O48" s="76">
        <f t="shared" si="15"/>
        <v>12</v>
      </c>
    </row>
    <row r="49" spans="2:15">
      <c r="B49" s="76" t="s">
        <v>94</v>
      </c>
      <c r="C49" s="76">
        <v>10</v>
      </c>
      <c r="D49" s="76">
        <v>10</v>
      </c>
      <c r="E49" s="76">
        <v>10</v>
      </c>
      <c r="F49" s="76">
        <v>10</v>
      </c>
      <c r="G49" s="76">
        <v>10</v>
      </c>
      <c r="H49" s="76">
        <v>10</v>
      </c>
      <c r="I49" s="76">
        <v>10</v>
      </c>
      <c r="J49" s="76">
        <v>10</v>
      </c>
      <c r="K49" s="76">
        <v>10</v>
      </c>
      <c r="L49" s="76">
        <v>10</v>
      </c>
      <c r="M49" s="76">
        <v>10</v>
      </c>
      <c r="N49" s="76">
        <v>10</v>
      </c>
      <c r="O49" s="76">
        <f t="shared" si="15"/>
        <v>120</v>
      </c>
    </row>
    <row r="50" spans="2:15">
      <c r="B50" s="76" t="s">
        <v>95</v>
      </c>
      <c r="C50" s="76">
        <v>1</v>
      </c>
      <c r="D50" s="113">
        <v>1</v>
      </c>
      <c r="E50" s="113">
        <v>1</v>
      </c>
      <c r="F50" s="113">
        <v>1</v>
      </c>
      <c r="G50" s="113">
        <v>1</v>
      </c>
      <c r="H50" s="113">
        <v>1</v>
      </c>
      <c r="I50" s="113">
        <v>1</v>
      </c>
      <c r="J50" s="113">
        <v>1</v>
      </c>
      <c r="K50" s="113">
        <v>1</v>
      </c>
      <c r="L50" s="113">
        <v>1</v>
      </c>
      <c r="M50" s="113">
        <v>1</v>
      </c>
      <c r="N50" s="113">
        <v>1</v>
      </c>
      <c r="O50" s="76">
        <f t="shared" si="15"/>
        <v>12</v>
      </c>
    </row>
    <row r="51" spans="2:15">
      <c r="B51" s="76" t="s">
        <v>96</v>
      </c>
      <c r="C51" s="76">
        <v>1</v>
      </c>
      <c r="D51" s="113">
        <v>1</v>
      </c>
      <c r="E51" s="113">
        <v>1</v>
      </c>
      <c r="F51" s="113">
        <v>1</v>
      </c>
      <c r="G51" s="113">
        <v>1</v>
      </c>
      <c r="H51" s="113">
        <v>1</v>
      </c>
      <c r="I51" s="113">
        <v>1</v>
      </c>
      <c r="J51" s="113">
        <v>1</v>
      </c>
      <c r="K51" s="113">
        <v>1</v>
      </c>
      <c r="L51" s="113">
        <v>1</v>
      </c>
      <c r="M51" s="113">
        <v>1</v>
      </c>
      <c r="N51" s="113">
        <v>1</v>
      </c>
      <c r="O51" s="76">
        <f t="shared" si="15"/>
        <v>12</v>
      </c>
    </row>
    <row r="52" spans="2:15">
      <c r="B52" s="77" t="s">
        <v>97</v>
      </c>
      <c r="C52" s="77">
        <v>1</v>
      </c>
      <c r="D52" s="113">
        <v>1</v>
      </c>
      <c r="E52" s="113">
        <v>1</v>
      </c>
      <c r="F52" s="113">
        <v>1</v>
      </c>
      <c r="G52" s="113">
        <v>1</v>
      </c>
      <c r="H52" s="113">
        <v>1</v>
      </c>
      <c r="I52" s="113">
        <v>1</v>
      </c>
      <c r="J52" s="113">
        <v>1</v>
      </c>
      <c r="K52" s="113">
        <v>1</v>
      </c>
      <c r="L52" s="113">
        <v>1</v>
      </c>
      <c r="M52" s="113">
        <v>1</v>
      </c>
      <c r="N52" s="113">
        <v>1</v>
      </c>
      <c r="O52" s="76">
        <f t="shared" si="15"/>
        <v>12</v>
      </c>
    </row>
    <row r="53" spans="2:15" ht="15" thickBot="1">
      <c r="B53" s="77" t="s">
        <v>70</v>
      </c>
      <c r="C53" s="77">
        <f>C43-C45-C46-C47-C48-C49-C50-C51-C52</f>
        <v>6482</v>
      </c>
      <c r="D53" s="77">
        <f t="shared" ref="D53:N53" si="16">D43-D45-D46-D47-D48-D49-D50-D51-D52</f>
        <v>6982</v>
      </c>
      <c r="E53" s="77">
        <f t="shared" si="16"/>
        <v>6982</v>
      </c>
      <c r="F53" s="77">
        <f>(F43-F45-F46-F47-F48-F49-F50-F51-F52)</f>
        <v>6983</v>
      </c>
      <c r="G53" s="77">
        <f t="shared" si="16"/>
        <v>6984</v>
      </c>
      <c r="H53" s="77">
        <f t="shared" si="16"/>
        <v>6983</v>
      </c>
      <c r="I53" s="77">
        <f t="shared" si="16"/>
        <v>6983</v>
      </c>
      <c r="J53" s="77">
        <f t="shared" si="16"/>
        <v>6983</v>
      </c>
      <c r="K53" s="77">
        <f t="shared" si="16"/>
        <v>6982</v>
      </c>
      <c r="L53" s="77">
        <f t="shared" si="16"/>
        <v>6984</v>
      </c>
      <c r="M53" s="77">
        <f t="shared" si="16"/>
        <v>6982</v>
      </c>
      <c r="N53" s="77">
        <f t="shared" si="16"/>
        <v>6983</v>
      </c>
      <c r="O53" s="76">
        <f t="shared" si="15"/>
        <v>83293</v>
      </c>
    </row>
    <row r="54" spans="2:15" ht="15" thickBot="1">
      <c r="B54" s="78" t="s">
        <v>11</v>
      </c>
      <c r="C54" s="79">
        <f>SUM(C45:C53)</f>
        <v>6500</v>
      </c>
      <c r="D54" s="79">
        <f t="shared" ref="D54:O54" si="17">SUM(D45:D53)</f>
        <v>7000</v>
      </c>
      <c r="E54" s="79">
        <f t="shared" si="17"/>
        <v>7000</v>
      </c>
      <c r="F54" s="79">
        <f t="shared" si="17"/>
        <v>7000</v>
      </c>
      <c r="G54" s="79">
        <f t="shared" si="17"/>
        <v>7000</v>
      </c>
      <c r="H54" s="79">
        <f t="shared" si="17"/>
        <v>7000</v>
      </c>
      <c r="I54" s="79">
        <f t="shared" si="17"/>
        <v>7000</v>
      </c>
      <c r="J54" s="79">
        <f t="shared" si="17"/>
        <v>7000</v>
      </c>
      <c r="K54" s="79">
        <f t="shared" si="17"/>
        <v>7000</v>
      </c>
      <c r="L54" s="79">
        <f t="shared" si="17"/>
        <v>7000</v>
      </c>
      <c r="M54" s="79">
        <f t="shared" si="17"/>
        <v>7000</v>
      </c>
      <c r="N54" s="79">
        <f t="shared" si="17"/>
        <v>7000</v>
      </c>
      <c r="O54" s="79">
        <f t="shared" si="17"/>
        <v>83500</v>
      </c>
    </row>
  </sheetData>
  <mergeCells count="12">
    <mergeCell ref="R26:S26"/>
    <mergeCell ref="R10:S10"/>
    <mergeCell ref="A1:P1"/>
    <mergeCell ref="R1:S1"/>
    <mergeCell ref="B3:O3"/>
    <mergeCell ref="P5:P6"/>
    <mergeCell ref="R6:S6"/>
    <mergeCell ref="U23:U24"/>
    <mergeCell ref="B13:O13"/>
    <mergeCell ref="R15:S15"/>
    <mergeCell ref="R21:S21"/>
    <mergeCell ref="T22:T24"/>
  </mergeCells>
  <pageMargins left="0.7" right="0.7" top="0.78740157499999996" bottom="0.78740157499999996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workbookViewId="0">
      <selection activeCell="C15" sqref="C15:N15"/>
    </sheetView>
  </sheetViews>
  <sheetFormatPr baseColWidth="10" defaultRowHeight="14" x14ac:dyDescent="0"/>
  <cols>
    <col min="1" max="1" width="10.83203125" style="37"/>
    <col min="2" max="2" width="11.83203125" style="37" customWidth="1"/>
    <col min="3" max="14" width="9.5" style="37" customWidth="1"/>
    <col min="15" max="15" width="10.83203125" style="37"/>
    <col min="16" max="16" width="9.83203125" style="37" customWidth="1"/>
    <col min="17" max="17" width="2.83203125" style="37" customWidth="1"/>
    <col min="18" max="18" width="29.5" style="37" bestFit="1" customWidth="1"/>
    <col min="19" max="19" width="13.1640625" style="37" customWidth="1"/>
    <col min="20" max="20" width="10.33203125" style="37" bestFit="1" customWidth="1"/>
    <col min="21" max="21" width="23.5" style="37" bestFit="1" customWidth="1"/>
    <col min="22" max="22" width="25.83203125" style="37" customWidth="1"/>
    <col min="23" max="16384" width="10.83203125" style="37"/>
  </cols>
  <sheetData>
    <row r="1" spans="1:22" ht="25">
      <c r="A1" s="92">
        <v>2028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2"/>
      <c r="R1" s="93" t="s">
        <v>28</v>
      </c>
      <c r="S1" s="94"/>
    </row>
    <row r="2" spans="1:22">
      <c r="Q2" s="2"/>
      <c r="R2" s="14" t="s">
        <v>58</v>
      </c>
      <c r="S2" s="15">
        <v>0</v>
      </c>
    </row>
    <row r="3" spans="1:22" ht="25">
      <c r="B3" s="96" t="s">
        <v>37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Q3" s="2"/>
      <c r="R3" s="112" t="s">
        <v>86</v>
      </c>
      <c r="S3" s="49">
        <f>'2027'!S3</f>
        <v>10000</v>
      </c>
    </row>
    <row r="4" spans="1:22" ht="15" thickBot="1">
      <c r="B4" s="5"/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27</v>
      </c>
      <c r="L4" s="5" t="s">
        <v>10</v>
      </c>
      <c r="M4" s="5" t="s">
        <v>26</v>
      </c>
      <c r="N4" s="5" t="s">
        <v>25</v>
      </c>
      <c r="O4" s="5" t="s">
        <v>11</v>
      </c>
      <c r="Q4" s="2"/>
      <c r="R4" s="16" t="s">
        <v>24</v>
      </c>
      <c r="S4" s="36">
        <f>'2027'!S4</f>
        <v>9.0999999999999998E-2</v>
      </c>
    </row>
    <row r="5" spans="1:22" ht="15" thickBot="1">
      <c r="B5" s="3" t="s">
        <v>13</v>
      </c>
      <c r="C5" s="37">
        <v>5000</v>
      </c>
      <c r="D5" s="37">
        <v>1000</v>
      </c>
      <c r="E5" s="37">
        <v>1000</v>
      </c>
      <c r="F5" s="37">
        <v>1000</v>
      </c>
      <c r="G5" s="37">
        <v>1000</v>
      </c>
      <c r="H5" s="37">
        <v>1000</v>
      </c>
      <c r="I5" s="37">
        <v>1000</v>
      </c>
      <c r="J5" s="37">
        <v>1000</v>
      </c>
      <c r="K5" s="37">
        <v>1000</v>
      </c>
      <c r="L5" s="37">
        <v>1000</v>
      </c>
      <c r="M5" s="37">
        <v>1000</v>
      </c>
      <c r="N5" s="37">
        <v>1000</v>
      </c>
      <c r="O5" s="5">
        <f t="shared" ref="O5:O7" si="0">SUM(C5:N5)</f>
        <v>16000</v>
      </c>
      <c r="P5" s="103">
        <f>O6+O5</f>
        <v>71500</v>
      </c>
      <c r="Q5" s="2"/>
    </row>
    <row r="6" spans="1:22" ht="15" thickTop="1">
      <c r="B6" s="4" t="s">
        <v>14</v>
      </c>
      <c r="C6" s="37">
        <v>500</v>
      </c>
      <c r="D6" s="37">
        <v>5000</v>
      </c>
      <c r="E6" s="37">
        <v>5000</v>
      </c>
      <c r="F6" s="37">
        <v>5000</v>
      </c>
      <c r="G6" s="37">
        <v>5000</v>
      </c>
      <c r="H6" s="37">
        <v>5000</v>
      </c>
      <c r="I6" s="37">
        <v>5000</v>
      </c>
      <c r="J6" s="37">
        <v>5000</v>
      </c>
      <c r="K6" s="37">
        <v>5000</v>
      </c>
      <c r="L6" s="37">
        <v>5000</v>
      </c>
      <c r="M6" s="37">
        <v>5000</v>
      </c>
      <c r="N6" s="37">
        <v>5000</v>
      </c>
      <c r="O6" s="5">
        <f t="shared" si="0"/>
        <v>55500</v>
      </c>
      <c r="P6" s="103"/>
      <c r="Q6" s="2"/>
      <c r="R6" s="104" t="s">
        <v>29</v>
      </c>
      <c r="S6" s="105"/>
      <c r="U6" s="55" t="s">
        <v>36</v>
      </c>
      <c r="V6" s="56" t="s">
        <v>53</v>
      </c>
    </row>
    <row r="7" spans="1:22" ht="15" thickBot="1">
      <c r="B7" s="8" t="s">
        <v>16</v>
      </c>
      <c r="C7" s="9">
        <v>1000</v>
      </c>
      <c r="D7" s="9">
        <v>1000</v>
      </c>
      <c r="E7" s="9">
        <v>1000</v>
      </c>
      <c r="F7" s="9">
        <v>1000</v>
      </c>
      <c r="G7" s="9">
        <v>1000</v>
      </c>
      <c r="H7" s="9">
        <v>1000</v>
      </c>
      <c r="I7" s="9">
        <v>1000</v>
      </c>
      <c r="J7" s="9">
        <v>1000</v>
      </c>
      <c r="K7" s="9">
        <v>1000</v>
      </c>
      <c r="L7" s="9">
        <v>1000</v>
      </c>
      <c r="M7" s="9">
        <v>1000</v>
      </c>
      <c r="N7" s="9">
        <v>1000</v>
      </c>
      <c r="O7" s="54">
        <f t="shared" si="0"/>
        <v>12000</v>
      </c>
      <c r="Q7" s="12"/>
      <c r="R7" s="17" t="s">
        <v>35</v>
      </c>
      <c r="S7" s="82">
        <f>'2027'!U7</f>
        <v>11173779.431238629</v>
      </c>
      <c r="T7" s="11"/>
      <c r="U7" s="57">
        <f>S7-T22</f>
        <v>11161767.431238629</v>
      </c>
      <c r="V7" s="60">
        <f>U7/T22</f>
        <v>929.21806786868376</v>
      </c>
    </row>
    <row r="8" spans="1:22" ht="16" thickTop="1" thickBot="1">
      <c r="B8" s="33" t="s">
        <v>12</v>
      </c>
      <c r="C8" s="33">
        <f t="shared" ref="C8:O8" si="1">SUM(C5:C7)</f>
        <v>6500</v>
      </c>
      <c r="D8" s="33">
        <f t="shared" si="1"/>
        <v>7000</v>
      </c>
      <c r="E8" s="33">
        <f t="shared" si="1"/>
        <v>7000</v>
      </c>
      <c r="F8" s="33">
        <f t="shared" si="1"/>
        <v>7000</v>
      </c>
      <c r="G8" s="33">
        <f t="shared" si="1"/>
        <v>7000</v>
      </c>
      <c r="H8" s="33">
        <f t="shared" si="1"/>
        <v>7000</v>
      </c>
      <c r="I8" s="33">
        <f t="shared" si="1"/>
        <v>7000</v>
      </c>
      <c r="J8" s="33">
        <f t="shared" si="1"/>
        <v>7000</v>
      </c>
      <c r="K8" s="33">
        <f t="shared" si="1"/>
        <v>7000</v>
      </c>
      <c r="L8" s="33">
        <f t="shared" si="1"/>
        <v>7000</v>
      </c>
      <c r="M8" s="33">
        <f t="shared" si="1"/>
        <v>7000</v>
      </c>
      <c r="N8" s="34">
        <f t="shared" si="1"/>
        <v>7000</v>
      </c>
      <c r="O8" s="33">
        <f t="shared" si="1"/>
        <v>83500</v>
      </c>
      <c r="Q8" s="12"/>
      <c r="R8" s="18" t="s">
        <v>34</v>
      </c>
      <c r="S8" s="83">
        <f>'2027'!U8</f>
        <v>4625735.6185151516</v>
      </c>
      <c r="T8" s="11"/>
      <c r="U8" s="58">
        <f>S8-((O6*S2)-O16*S4)</f>
        <v>4626418.1185151516</v>
      </c>
      <c r="V8" s="61">
        <f>U8/U9</f>
        <v>-6778.6346058830059</v>
      </c>
    </row>
    <row r="9" spans="1:22" ht="15" thickBot="1">
      <c r="B9" s="41" t="s">
        <v>40</v>
      </c>
      <c r="C9" s="42">
        <f t="shared" ref="C9:N9" si="2">IF(C8&gt;0,(C5+C6)/C8,"")</f>
        <v>0.84615384615384615</v>
      </c>
      <c r="D9" s="42">
        <f t="shared" si="2"/>
        <v>0.8571428571428571</v>
      </c>
      <c r="E9" s="42">
        <f t="shared" si="2"/>
        <v>0.8571428571428571</v>
      </c>
      <c r="F9" s="42">
        <f t="shared" si="2"/>
        <v>0.8571428571428571</v>
      </c>
      <c r="G9" s="42">
        <f t="shared" si="2"/>
        <v>0.8571428571428571</v>
      </c>
      <c r="H9" s="42">
        <f t="shared" si="2"/>
        <v>0.8571428571428571</v>
      </c>
      <c r="I9" s="42">
        <f t="shared" si="2"/>
        <v>0.8571428571428571</v>
      </c>
      <c r="J9" s="42">
        <f t="shared" si="2"/>
        <v>0.8571428571428571</v>
      </c>
      <c r="K9" s="42">
        <f t="shared" si="2"/>
        <v>0.8571428571428571</v>
      </c>
      <c r="L9" s="42">
        <f t="shared" si="2"/>
        <v>0.8571428571428571</v>
      </c>
      <c r="M9" s="42">
        <f t="shared" si="2"/>
        <v>0.8571428571428571</v>
      </c>
      <c r="N9" s="42">
        <f t="shared" si="2"/>
        <v>0.8571428571428571</v>
      </c>
      <c r="O9" s="46">
        <f>(O5+O6)/O8</f>
        <v>0.85628742514970058</v>
      </c>
      <c r="Q9" s="2"/>
      <c r="U9" s="65">
        <f>S8-U8</f>
        <v>-682.5</v>
      </c>
    </row>
    <row r="10" spans="1:22">
      <c r="B10" s="43" t="s">
        <v>41</v>
      </c>
      <c r="C10" s="40">
        <f t="shared" ref="C10:O10" si="3">IF(C8&gt;0,(C5+C6)/C18,"")</f>
        <v>0.11695657721260579</v>
      </c>
      <c r="D10" s="40">
        <f t="shared" si="3"/>
        <v>9.5348578511608689E-2</v>
      </c>
      <c r="E10" s="40">
        <f t="shared" si="3"/>
        <v>5.957345406886691E-2</v>
      </c>
      <c r="F10" s="40">
        <f t="shared" si="3"/>
        <v>4.4987628402189395E-2</v>
      </c>
      <c r="G10" s="40">
        <f t="shared" si="3"/>
        <v>3.7766727513060996E-2</v>
      </c>
      <c r="H10" s="40">
        <f t="shared" si="3"/>
        <v>3.5855145213338116E-2</v>
      </c>
      <c r="I10" s="40">
        <f t="shared" si="3"/>
        <v>3.5366306519778609E-2</v>
      </c>
      <c r="J10" s="40">
        <f t="shared" si="3"/>
        <v>4.2042126210462882E-2</v>
      </c>
      <c r="K10" s="40">
        <f t="shared" si="3"/>
        <v>5.3049459779667914E-2</v>
      </c>
      <c r="L10" s="40">
        <f t="shared" si="3"/>
        <v>6.9679936823523941E-2</v>
      </c>
      <c r="M10" s="40">
        <f t="shared" si="3"/>
        <v>0.13226930029540143</v>
      </c>
      <c r="N10" s="40">
        <f t="shared" si="3"/>
        <v>0.16237280796709244</v>
      </c>
      <c r="O10" s="47">
        <f t="shared" si="3"/>
        <v>5.6560191118072367E-2</v>
      </c>
      <c r="Q10" s="2"/>
      <c r="R10" s="97" t="s">
        <v>30</v>
      </c>
      <c r="S10" s="98"/>
    </row>
    <row r="11" spans="1:22" ht="15" thickBot="1">
      <c r="B11" s="44" t="s">
        <v>42</v>
      </c>
      <c r="C11" s="45">
        <f t="shared" ref="C11:N11" si="4">IF(C8&gt;0,C5*$S$2+C6*$S$2+C17*$S$4,"")</f>
        <v>1001</v>
      </c>
      <c r="D11" s="45">
        <f t="shared" si="4"/>
        <v>1001</v>
      </c>
      <c r="E11" s="45">
        <f t="shared" si="4"/>
        <v>1001</v>
      </c>
      <c r="F11" s="45">
        <f t="shared" si="4"/>
        <v>1001</v>
      </c>
      <c r="G11" s="45">
        <f t="shared" si="4"/>
        <v>1001</v>
      </c>
      <c r="H11" s="45">
        <f t="shared" si="4"/>
        <v>1001</v>
      </c>
      <c r="I11" s="45">
        <f t="shared" si="4"/>
        <v>1001</v>
      </c>
      <c r="J11" s="45">
        <f t="shared" si="4"/>
        <v>1001</v>
      </c>
      <c r="K11" s="45">
        <f t="shared" si="4"/>
        <v>1001</v>
      </c>
      <c r="L11" s="45">
        <f t="shared" si="4"/>
        <v>1001</v>
      </c>
      <c r="M11" s="45">
        <f t="shared" si="4"/>
        <v>1001</v>
      </c>
      <c r="N11" s="45">
        <f t="shared" si="4"/>
        <v>1001</v>
      </c>
      <c r="O11" s="48">
        <f>SUM(C11:N11)</f>
        <v>12012</v>
      </c>
      <c r="Q11" s="2"/>
      <c r="R11" s="19" t="s">
        <v>0</v>
      </c>
      <c r="S11" s="20">
        <f>P5/O8</f>
        <v>0.85628742514970058</v>
      </c>
    </row>
    <row r="12" spans="1:22" ht="15" thickBot="1">
      <c r="Q12" s="2"/>
      <c r="R12" s="21" t="s">
        <v>1</v>
      </c>
      <c r="S12" s="22">
        <f>P5/O18</f>
        <v>5.6560191118072367E-2</v>
      </c>
    </row>
    <row r="13" spans="1:22" ht="25">
      <c r="B13" s="95" t="s">
        <v>38</v>
      </c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Q13" s="2"/>
    </row>
    <row r="14" spans="1:22" ht="15" thickBot="1">
      <c r="B14" s="5"/>
      <c r="C14" s="5" t="s">
        <v>2</v>
      </c>
      <c r="D14" s="5" t="s">
        <v>3</v>
      </c>
      <c r="E14" s="5" t="s">
        <v>4</v>
      </c>
      <c r="F14" s="5" t="s">
        <v>5</v>
      </c>
      <c r="G14" s="5" t="s">
        <v>6</v>
      </c>
      <c r="H14" s="5" t="s">
        <v>7</v>
      </c>
      <c r="I14" s="5" t="s">
        <v>8</v>
      </c>
      <c r="J14" s="5" t="s">
        <v>9</v>
      </c>
      <c r="K14" s="5" t="s">
        <v>27</v>
      </c>
      <c r="L14" s="5" t="s">
        <v>10</v>
      </c>
      <c r="M14" s="5" t="s">
        <v>26</v>
      </c>
      <c r="N14" s="5" t="s">
        <v>25</v>
      </c>
      <c r="O14" s="5" t="s">
        <v>11</v>
      </c>
      <c r="Q14" s="2"/>
      <c r="S14" s="11"/>
    </row>
    <row r="15" spans="1:22">
      <c r="B15" s="3" t="s">
        <v>13</v>
      </c>
      <c r="C15" s="121">
        <v>35401</v>
      </c>
      <c r="D15" s="121">
        <v>51302</v>
      </c>
      <c r="E15" s="121">
        <v>89091</v>
      </c>
      <c r="F15" s="121">
        <v>121745</v>
      </c>
      <c r="G15" s="121">
        <v>147245</v>
      </c>
      <c r="H15" s="121">
        <v>155715</v>
      </c>
      <c r="I15" s="121">
        <v>158028</v>
      </c>
      <c r="J15" s="121">
        <v>131089</v>
      </c>
      <c r="K15" s="121">
        <v>101477</v>
      </c>
      <c r="L15" s="121">
        <v>74483</v>
      </c>
      <c r="M15" s="121">
        <v>33737</v>
      </c>
      <c r="N15" s="121">
        <v>25327</v>
      </c>
      <c r="O15" s="5">
        <f t="shared" ref="O15:O17" si="5">SUM(C15:N15)</f>
        <v>1124640</v>
      </c>
      <c r="Q15" s="2"/>
      <c r="R15" s="99" t="s">
        <v>31</v>
      </c>
      <c r="S15" s="100"/>
    </row>
    <row r="16" spans="1:22">
      <c r="B16" s="1" t="s">
        <v>15</v>
      </c>
      <c r="C16" s="37">
        <v>625</v>
      </c>
      <c r="D16" s="37">
        <v>625</v>
      </c>
      <c r="E16" s="37">
        <v>625</v>
      </c>
      <c r="F16" s="37">
        <v>625</v>
      </c>
      <c r="G16" s="37">
        <v>625</v>
      </c>
      <c r="H16" s="37">
        <v>625</v>
      </c>
      <c r="I16" s="37">
        <v>625</v>
      </c>
      <c r="J16" s="37">
        <v>625</v>
      </c>
      <c r="K16" s="37">
        <v>625</v>
      </c>
      <c r="L16" s="37">
        <v>625</v>
      </c>
      <c r="M16" s="37">
        <v>625</v>
      </c>
      <c r="N16" s="37">
        <v>625</v>
      </c>
      <c r="O16" s="5">
        <f t="shared" si="5"/>
        <v>7500</v>
      </c>
      <c r="Q16" s="2"/>
      <c r="R16" s="23" t="s">
        <v>19</v>
      </c>
      <c r="S16" s="24">
        <f>O16</f>
        <v>7500</v>
      </c>
      <c r="U16" s="59" t="s">
        <v>48</v>
      </c>
    </row>
    <row r="17" spans="2:21" ht="15" thickBot="1">
      <c r="B17" s="10" t="s">
        <v>17</v>
      </c>
      <c r="C17" s="9">
        <v>11000</v>
      </c>
      <c r="D17" s="9">
        <v>11000</v>
      </c>
      <c r="E17" s="9">
        <v>11000</v>
      </c>
      <c r="F17" s="9">
        <v>11000</v>
      </c>
      <c r="G17" s="9">
        <v>11000</v>
      </c>
      <c r="H17" s="9">
        <v>11000</v>
      </c>
      <c r="I17" s="9">
        <v>11000</v>
      </c>
      <c r="J17" s="9">
        <v>11000</v>
      </c>
      <c r="K17" s="9">
        <v>11000</v>
      </c>
      <c r="L17" s="9">
        <v>11000</v>
      </c>
      <c r="M17" s="9">
        <v>11000</v>
      </c>
      <c r="N17" s="9">
        <v>11000</v>
      </c>
      <c r="O17" s="54">
        <f t="shared" si="5"/>
        <v>132000</v>
      </c>
      <c r="Q17" s="2"/>
      <c r="R17" s="23" t="s">
        <v>18</v>
      </c>
      <c r="S17" s="24">
        <f>O6</f>
        <v>55500</v>
      </c>
      <c r="U17" s="66" t="s">
        <v>49</v>
      </c>
    </row>
    <row r="18" spans="2:21" ht="16" thickTop="1" thickBot="1">
      <c r="B18" s="6" t="s">
        <v>12</v>
      </c>
      <c r="C18" s="6">
        <f>SUM(C15:C17)</f>
        <v>47026</v>
      </c>
      <c r="D18" s="6">
        <f t="shared" ref="D18:N18" si="6">SUM(D15:D17)</f>
        <v>62927</v>
      </c>
      <c r="E18" s="6">
        <f t="shared" si="6"/>
        <v>100716</v>
      </c>
      <c r="F18" s="6">
        <f t="shared" si="6"/>
        <v>133370</v>
      </c>
      <c r="G18" s="6">
        <f t="shared" si="6"/>
        <v>158870</v>
      </c>
      <c r="H18" s="6">
        <f t="shared" si="6"/>
        <v>167340</v>
      </c>
      <c r="I18" s="6">
        <f t="shared" si="6"/>
        <v>169653</v>
      </c>
      <c r="J18" s="6">
        <f t="shared" si="6"/>
        <v>142714</v>
      </c>
      <c r="K18" s="6">
        <f t="shared" si="6"/>
        <v>113102</v>
      </c>
      <c r="L18" s="6">
        <f t="shared" si="6"/>
        <v>86108</v>
      </c>
      <c r="M18" s="6">
        <f t="shared" si="6"/>
        <v>45362</v>
      </c>
      <c r="N18" s="7">
        <f t="shared" si="6"/>
        <v>36952</v>
      </c>
      <c r="O18" s="6">
        <f>SUM(O15:O17)</f>
        <v>1264140</v>
      </c>
      <c r="Q18" s="2"/>
      <c r="R18" s="23" t="s">
        <v>20</v>
      </c>
      <c r="S18" s="24">
        <f>100/S16*S17</f>
        <v>740</v>
      </c>
      <c r="U18" s="59" t="s">
        <v>50</v>
      </c>
    </row>
    <row r="19" spans="2:21" ht="15" thickBot="1">
      <c r="B19" s="41" t="s">
        <v>44</v>
      </c>
      <c r="C19" s="50">
        <f>IF(C18&gt;0,C18/$S$3,"")</f>
        <v>4.7026000000000003</v>
      </c>
      <c r="D19" s="50">
        <f t="shared" ref="D19:N19" si="7">IF(D18&gt;0,D18/$S$3,"")</f>
        <v>6.2927</v>
      </c>
      <c r="E19" s="50">
        <f t="shared" si="7"/>
        <v>10.0716</v>
      </c>
      <c r="F19" s="50">
        <f t="shared" si="7"/>
        <v>13.337</v>
      </c>
      <c r="G19" s="50">
        <f t="shared" si="7"/>
        <v>15.887</v>
      </c>
      <c r="H19" s="50">
        <f t="shared" si="7"/>
        <v>16.734000000000002</v>
      </c>
      <c r="I19" s="50">
        <f t="shared" si="7"/>
        <v>16.965299999999999</v>
      </c>
      <c r="J19" s="50">
        <f t="shared" si="7"/>
        <v>14.2714</v>
      </c>
      <c r="K19" s="50">
        <f t="shared" si="7"/>
        <v>11.3102</v>
      </c>
      <c r="L19" s="50">
        <f t="shared" si="7"/>
        <v>8.6107999999999993</v>
      </c>
      <c r="M19" s="50">
        <f t="shared" si="7"/>
        <v>4.5362</v>
      </c>
      <c r="N19" s="50">
        <f t="shared" si="7"/>
        <v>3.6951999999999998</v>
      </c>
      <c r="O19" s="53">
        <f>SUM(C19:N19)</f>
        <v>126.41399999999999</v>
      </c>
      <c r="Q19" s="2"/>
      <c r="R19" s="25" t="s">
        <v>21</v>
      </c>
      <c r="S19" s="26">
        <f>100-S18</f>
        <v>-640</v>
      </c>
    </row>
    <row r="20" spans="2:21" ht="15" thickBot="1">
      <c r="B20" s="43" t="s">
        <v>46</v>
      </c>
      <c r="C20" s="51">
        <f>IF(C8&gt;0,C16/31,"")</f>
        <v>20.161290322580644</v>
      </c>
      <c r="D20" s="51">
        <f>IF(D8&gt;0,D16/28,"")</f>
        <v>22.321428571428573</v>
      </c>
      <c r="E20" s="51">
        <f>IF(E8&gt;0,E16/31,"")</f>
        <v>20.161290322580644</v>
      </c>
      <c r="F20" s="51">
        <f>IF(F8&gt;0,F16/30,"")</f>
        <v>20.833333333333332</v>
      </c>
      <c r="G20" s="51">
        <f>IF(G8&gt;0,G16/31,"")</f>
        <v>20.161290322580644</v>
      </c>
      <c r="H20" s="51">
        <f>IF(H8&gt;0,H16/30,"")</f>
        <v>20.833333333333332</v>
      </c>
      <c r="I20" s="51">
        <f>IF(I8&gt;0,I16/31,"")</f>
        <v>20.161290322580644</v>
      </c>
      <c r="J20" s="51">
        <f>IF(J8&gt;0,J16/31,"")</f>
        <v>20.161290322580644</v>
      </c>
      <c r="K20" s="51">
        <f>IF(K8&gt;0,K16/30,"")</f>
        <v>20.833333333333332</v>
      </c>
      <c r="L20" s="51">
        <f>IF(L8&gt;0,L16/31,"")</f>
        <v>20.161290322580644</v>
      </c>
      <c r="M20" s="51">
        <f>IF(M8&gt;0,M16/30,"")</f>
        <v>20.833333333333332</v>
      </c>
      <c r="N20" s="51">
        <f>IF(N8&gt;0,N16/31,"")</f>
        <v>20.161290322580644</v>
      </c>
      <c r="O20" s="52">
        <f>SUM(C20:N20)/COUNT(C20:N20)</f>
        <v>20.565316180235534</v>
      </c>
      <c r="Q20" s="2"/>
    </row>
    <row r="21" spans="2:21" ht="15" thickBot="1">
      <c r="B21" s="43" t="s">
        <v>47</v>
      </c>
      <c r="C21" s="40">
        <f>IF(C18&gt;0,C17/C18,"")</f>
        <v>0.23391315442521157</v>
      </c>
      <c r="D21" s="40">
        <f t="shared" ref="D21:N21" si="8">IF(D18&gt;0,D17/D18,"")</f>
        <v>0.1748057272712826</v>
      </c>
      <c r="E21" s="40">
        <f t="shared" si="8"/>
        <v>0.109217999126256</v>
      </c>
      <c r="F21" s="40">
        <f t="shared" si="8"/>
        <v>8.2477318737347233E-2</v>
      </c>
      <c r="G21" s="40">
        <f t="shared" si="8"/>
        <v>6.923900044061182E-2</v>
      </c>
      <c r="H21" s="40">
        <f t="shared" si="8"/>
        <v>6.5734432891119882E-2</v>
      </c>
      <c r="I21" s="40">
        <f t="shared" si="8"/>
        <v>6.483822861959411E-2</v>
      </c>
      <c r="J21" s="40">
        <f t="shared" si="8"/>
        <v>7.7077231385848627E-2</v>
      </c>
      <c r="K21" s="40">
        <f t="shared" si="8"/>
        <v>9.7257342929391172E-2</v>
      </c>
      <c r="L21" s="40">
        <f t="shared" si="8"/>
        <v>0.12774655084312725</v>
      </c>
      <c r="M21" s="40">
        <f t="shared" si="8"/>
        <v>0.24249371720823598</v>
      </c>
      <c r="N21" s="40">
        <f t="shared" si="8"/>
        <v>0.29768348127300281</v>
      </c>
      <c r="O21" s="47">
        <f>O17/O18</f>
        <v>0.1044188143718259</v>
      </c>
      <c r="Q21" s="2"/>
      <c r="R21" s="101" t="s">
        <v>32</v>
      </c>
      <c r="S21" s="102"/>
    </row>
    <row r="22" spans="2:21" ht="15" thickBot="1">
      <c r="B22" s="44" t="s">
        <v>51</v>
      </c>
      <c r="C22" s="74">
        <f t="shared" ref="C22:O22" si="9">IF(C8&gt;0,100/C16*C6-100,"")</f>
        <v>-20</v>
      </c>
      <c r="D22" s="74">
        <f t="shared" si="9"/>
        <v>700</v>
      </c>
      <c r="E22" s="74">
        <f t="shared" si="9"/>
        <v>700</v>
      </c>
      <c r="F22" s="74">
        <f t="shared" si="9"/>
        <v>700</v>
      </c>
      <c r="G22" s="74">
        <f t="shared" si="9"/>
        <v>700</v>
      </c>
      <c r="H22" s="74">
        <f t="shared" si="9"/>
        <v>700</v>
      </c>
      <c r="I22" s="74">
        <f t="shared" si="9"/>
        <v>700</v>
      </c>
      <c r="J22" s="74">
        <f t="shared" si="9"/>
        <v>700</v>
      </c>
      <c r="K22" s="74">
        <f t="shared" si="9"/>
        <v>700</v>
      </c>
      <c r="L22" s="74">
        <f t="shared" si="9"/>
        <v>700</v>
      </c>
      <c r="M22" s="74">
        <f t="shared" si="9"/>
        <v>700</v>
      </c>
      <c r="N22" s="74">
        <f t="shared" si="9"/>
        <v>700</v>
      </c>
      <c r="O22" s="75">
        <f t="shared" si="9"/>
        <v>640</v>
      </c>
      <c r="Q22" s="2"/>
      <c r="R22" s="27" t="s">
        <v>22</v>
      </c>
      <c r="S22" s="28">
        <f>O5*S2</f>
        <v>0</v>
      </c>
      <c r="T22" s="106">
        <f>SUM(S22:S24)</f>
        <v>12012</v>
      </c>
      <c r="U22" s="39" t="s">
        <v>43</v>
      </c>
    </row>
    <row r="23" spans="2:21">
      <c r="Q23" s="2"/>
      <c r="R23" s="27" t="s">
        <v>54</v>
      </c>
      <c r="S23" s="28">
        <f>O6*S2</f>
        <v>0</v>
      </c>
      <c r="T23" s="107"/>
      <c r="U23" s="85">
        <f>1/'2025'!S7*T22</f>
        <v>1.0010000000000002E-3</v>
      </c>
    </row>
    <row r="24" spans="2:21" ht="15" thickBot="1">
      <c r="Q24" s="2"/>
      <c r="R24" s="29" t="s">
        <v>24</v>
      </c>
      <c r="S24" s="30">
        <f>O17*S4</f>
        <v>12012</v>
      </c>
      <c r="T24" s="91"/>
      <c r="U24" s="86"/>
    </row>
    <row r="25" spans="2:21" ht="15" thickBot="1">
      <c r="Q25" s="2"/>
    </row>
    <row r="26" spans="2:21">
      <c r="Q26" s="2"/>
      <c r="R26" s="87" t="s">
        <v>33</v>
      </c>
      <c r="S26" s="88"/>
    </row>
    <row r="27" spans="2:21" ht="15" thickBot="1">
      <c r="Q27" s="2"/>
      <c r="R27" s="31" t="s">
        <v>23</v>
      </c>
      <c r="S27" s="32">
        <f>O7*S2</f>
        <v>0</v>
      </c>
      <c r="U27" s="38"/>
    </row>
    <row r="28" spans="2:21">
      <c r="Q28" s="2"/>
    </row>
    <row r="29" spans="2:21">
      <c r="Q29" s="2"/>
    </row>
    <row r="30" spans="2:21">
      <c r="Q30" s="2"/>
    </row>
    <row r="31" spans="2:21">
      <c r="Q31" s="2"/>
    </row>
    <row r="32" spans="2:21">
      <c r="Q32" s="2"/>
    </row>
    <row r="33" spans="2:17">
      <c r="Q33" s="2"/>
    </row>
    <row r="34" spans="2:17">
      <c r="Q34" s="2"/>
    </row>
    <row r="35" spans="2:17">
      <c r="Q35" s="2"/>
    </row>
    <row r="36" spans="2:17">
      <c r="Q36" s="2"/>
    </row>
    <row r="37" spans="2:17">
      <c r="Q37" s="2"/>
    </row>
    <row r="38" spans="2:17">
      <c r="Q38" s="2"/>
    </row>
    <row r="39" spans="2:17">
      <c r="Q39" s="2"/>
    </row>
    <row r="40" spans="2:17">
      <c r="Q40" s="2"/>
    </row>
    <row r="43" spans="2:17">
      <c r="B43" s="5" t="s">
        <v>65</v>
      </c>
      <c r="C43" s="5">
        <f>C8</f>
        <v>6500</v>
      </c>
      <c r="D43" s="5">
        <f t="shared" ref="D43:O43" si="10">D8</f>
        <v>7000</v>
      </c>
      <c r="E43" s="5">
        <f t="shared" si="10"/>
        <v>7000</v>
      </c>
      <c r="F43" s="5">
        <f t="shared" si="10"/>
        <v>7000</v>
      </c>
      <c r="G43" s="5">
        <f t="shared" si="10"/>
        <v>7000</v>
      </c>
      <c r="H43" s="5">
        <f t="shared" si="10"/>
        <v>7000</v>
      </c>
      <c r="I43" s="5">
        <f t="shared" si="10"/>
        <v>7000</v>
      </c>
      <c r="J43" s="5">
        <f t="shared" si="10"/>
        <v>7000</v>
      </c>
      <c r="K43" s="5">
        <f t="shared" si="10"/>
        <v>7000</v>
      </c>
      <c r="L43" s="5">
        <f t="shared" si="10"/>
        <v>7000</v>
      </c>
      <c r="M43" s="5">
        <f t="shared" si="10"/>
        <v>7000</v>
      </c>
      <c r="N43" s="5">
        <f t="shared" si="10"/>
        <v>7000</v>
      </c>
      <c r="O43" s="5">
        <f t="shared" si="10"/>
        <v>83500</v>
      </c>
    </row>
    <row r="44" spans="2:17">
      <c r="B44" s="5" t="s">
        <v>62</v>
      </c>
      <c r="C44" s="5" t="s">
        <v>2</v>
      </c>
      <c r="D44" s="5" t="s">
        <v>3</v>
      </c>
      <c r="E44" s="5" t="s">
        <v>4</v>
      </c>
      <c r="F44" s="5" t="s">
        <v>5</v>
      </c>
      <c r="G44" s="5" t="s">
        <v>6</v>
      </c>
      <c r="H44" s="5" t="s">
        <v>7</v>
      </c>
      <c r="I44" s="5" t="s">
        <v>8</v>
      </c>
      <c r="J44" s="5" t="s">
        <v>9</v>
      </c>
      <c r="K44" s="5" t="s">
        <v>27</v>
      </c>
      <c r="L44" s="5" t="s">
        <v>10</v>
      </c>
      <c r="M44" s="5" t="s">
        <v>26</v>
      </c>
      <c r="N44" s="5" t="s">
        <v>25</v>
      </c>
      <c r="O44" s="5" t="s">
        <v>11</v>
      </c>
    </row>
    <row r="45" spans="2:17">
      <c r="B45" s="76" t="s">
        <v>90</v>
      </c>
      <c r="C45" s="76">
        <v>2</v>
      </c>
      <c r="D45" s="76">
        <v>2</v>
      </c>
      <c r="E45" s="76">
        <v>2</v>
      </c>
      <c r="F45" s="76">
        <v>1</v>
      </c>
      <c r="G45" s="76">
        <v>1</v>
      </c>
      <c r="H45" s="76">
        <v>1</v>
      </c>
      <c r="I45" s="76">
        <v>1</v>
      </c>
      <c r="J45" s="76">
        <v>1</v>
      </c>
      <c r="K45" s="76">
        <v>2</v>
      </c>
      <c r="L45" s="76"/>
      <c r="M45" s="76">
        <v>2</v>
      </c>
      <c r="N45" s="76">
        <v>2</v>
      </c>
      <c r="O45" s="76">
        <f>SUM(C45:N45)</f>
        <v>17</v>
      </c>
    </row>
    <row r="46" spans="2:17">
      <c r="B46" s="76" t="s">
        <v>91</v>
      </c>
      <c r="C46" s="76">
        <v>1</v>
      </c>
      <c r="D46" s="76">
        <v>1</v>
      </c>
      <c r="E46" s="76">
        <v>1</v>
      </c>
      <c r="F46" s="76">
        <v>1</v>
      </c>
      <c r="G46" s="76"/>
      <c r="H46" s="76">
        <v>1</v>
      </c>
      <c r="I46" s="76">
        <v>1</v>
      </c>
      <c r="J46" s="76">
        <v>1</v>
      </c>
      <c r="K46" s="76">
        <v>1</v>
      </c>
      <c r="L46" s="76">
        <v>1</v>
      </c>
      <c r="M46" s="76">
        <v>1</v>
      </c>
      <c r="N46" s="76"/>
      <c r="O46" s="76">
        <f t="shared" ref="O46:O53" si="11">SUM(C46:N46)</f>
        <v>10</v>
      </c>
    </row>
    <row r="47" spans="2:17">
      <c r="B47" s="76" t="s">
        <v>92</v>
      </c>
      <c r="C47" s="76">
        <v>1</v>
      </c>
      <c r="D47" s="76">
        <v>1</v>
      </c>
      <c r="E47" s="76">
        <v>1</v>
      </c>
      <c r="F47" s="76">
        <v>1</v>
      </c>
      <c r="G47" s="76">
        <v>1</v>
      </c>
      <c r="H47" s="76">
        <v>1</v>
      </c>
      <c r="I47" s="76">
        <v>1</v>
      </c>
      <c r="J47" s="76">
        <v>1</v>
      </c>
      <c r="K47" s="76">
        <v>1</v>
      </c>
      <c r="L47" s="76">
        <v>1</v>
      </c>
      <c r="M47" s="76">
        <v>1</v>
      </c>
      <c r="N47" s="76">
        <v>1</v>
      </c>
      <c r="O47" s="76">
        <f t="shared" si="11"/>
        <v>12</v>
      </c>
    </row>
    <row r="48" spans="2:17">
      <c r="B48" s="76" t="s">
        <v>93</v>
      </c>
      <c r="C48" s="76">
        <v>1</v>
      </c>
      <c r="D48" s="76">
        <v>1</v>
      </c>
      <c r="E48" s="76">
        <v>1</v>
      </c>
      <c r="F48" s="76">
        <v>1</v>
      </c>
      <c r="G48" s="76">
        <v>1</v>
      </c>
      <c r="H48" s="76">
        <v>1</v>
      </c>
      <c r="I48" s="76">
        <v>1</v>
      </c>
      <c r="J48" s="76">
        <v>1</v>
      </c>
      <c r="K48" s="76">
        <v>1</v>
      </c>
      <c r="L48" s="76">
        <v>1</v>
      </c>
      <c r="M48" s="76">
        <v>1</v>
      </c>
      <c r="N48" s="76">
        <v>1</v>
      </c>
      <c r="O48" s="76">
        <f t="shared" si="11"/>
        <v>12</v>
      </c>
    </row>
    <row r="49" spans="2:15">
      <c r="B49" s="76" t="s">
        <v>94</v>
      </c>
      <c r="C49" s="76">
        <v>10</v>
      </c>
      <c r="D49" s="76">
        <v>10</v>
      </c>
      <c r="E49" s="76">
        <v>10</v>
      </c>
      <c r="F49" s="76">
        <v>10</v>
      </c>
      <c r="G49" s="76">
        <v>10</v>
      </c>
      <c r="H49" s="76">
        <v>10</v>
      </c>
      <c r="I49" s="76">
        <v>10</v>
      </c>
      <c r="J49" s="76">
        <v>10</v>
      </c>
      <c r="K49" s="76">
        <v>10</v>
      </c>
      <c r="L49" s="76">
        <v>10</v>
      </c>
      <c r="M49" s="76">
        <v>10</v>
      </c>
      <c r="N49" s="76">
        <v>10</v>
      </c>
      <c r="O49" s="76">
        <f t="shared" si="11"/>
        <v>120</v>
      </c>
    </row>
    <row r="50" spans="2:15">
      <c r="B50" s="76" t="s">
        <v>95</v>
      </c>
      <c r="C50" s="76">
        <v>1</v>
      </c>
      <c r="D50" s="113">
        <v>1</v>
      </c>
      <c r="E50" s="113">
        <v>1</v>
      </c>
      <c r="F50" s="113">
        <v>1</v>
      </c>
      <c r="G50" s="113">
        <v>1</v>
      </c>
      <c r="H50" s="113">
        <v>1</v>
      </c>
      <c r="I50" s="113">
        <v>1</v>
      </c>
      <c r="J50" s="113">
        <v>1</v>
      </c>
      <c r="K50" s="113">
        <v>1</v>
      </c>
      <c r="L50" s="113">
        <v>1</v>
      </c>
      <c r="M50" s="113">
        <v>1</v>
      </c>
      <c r="N50" s="113">
        <v>1</v>
      </c>
      <c r="O50" s="76">
        <f t="shared" si="11"/>
        <v>12</v>
      </c>
    </row>
    <row r="51" spans="2:15">
      <c r="B51" s="76" t="s">
        <v>96</v>
      </c>
      <c r="C51" s="76">
        <v>1</v>
      </c>
      <c r="D51" s="113">
        <v>1</v>
      </c>
      <c r="E51" s="113">
        <v>1</v>
      </c>
      <c r="F51" s="113">
        <v>1</v>
      </c>
      <c r="G51" s="113">
        <v>1</v>
      </c>
      <c r="H51" s="113">
        <v>1</v>
      </c>
      <c r="I51" s="113">
        <v>1</v>
      </c>
      <c r="J51" s="113">
        <v>1</v>
      </c>
      <c r="K51" s="113">
        <v>1</v>
      </c>
      <c r="L51" s="113">
        <v>1</v>
      </c>
      <c r="M51" s="113">
        <v>1</v>
      </c>
      <c r="N51" s="113">
        <v>1</v>
      </c>
      <c r="O51" s="76">
        <f t="shared" si="11"/>
        <v>12</v>
      </c>
    </row>
    <row r="52" spans="2:15">
      <c r="B52" s="77" t="s">
        <v>97</v>
      </c>
      <c r="C52" s="77">
        <v>1</v>
      </c>
      <c r="D52" s="113">
        <v>1</v>
      </c>
      <c r="E52" s="113">
        <v>1</v>
      </c>
      <c r="F52" s="113">
        <v>1</v>
      </c>
      <c r="G52" s="113">
        <v>1</v>
      </c>
      <c r="H52" s="113">
        <v>1</v>
      </c>
      <c r="I52" s="113">
        <v>1</v>
      </c>
      <c r="J52" s="113">
        <v>1</v>
      </c>
      <c r="K52" s="113">
        <v>1</v>
      </c>
      <c r="L52" s="113">
        <v>1</v>
      </c>
      <c r="M52" s="113">
        <v>1</v>
      </c>
      <c r="N52" s="113">
        <v>1</v>
      </c>
      <c r="O52" s="76">
        <f t="shared" si="11"/>
        <v>12</v>
      </c>
    </row>
    <row r="53" spans="2:15" ht="15" thickBot="1">
      <c r="B53" s="77" t="s">
        <v>70</v>
      </c>
      <c r="C53" s="77">
        <f>C43-C45-C46-C47-C48-C49-C50-C51-C52</f>
        <v>6482</v>
      </c>
      <c r="D53" s="77">
        <f t="shared" ref="D53:N53" si="12">D43-D45-D46-D47-D48-D49-D50-D51-D52</f>
        <v>6982</v>
      </c>
      <c r="E53" s="77">
        <f t="shared" si="12"/>
        <v>6982</v>
      </c>
      <c r="F53" s="77">
        <f>(F43-F45-F46-F47-F48-F49-F50-F51-F52)</f>
        <v>6983</v>
      </c>
      <c r="G53" s="77">
        <f t="shared" si="12"/>
        <v>6984</v>
      </c>
      <c r="H53" s="77">
        <f t="shared" si="12"/>
        <v>6983</v>
      </c>
      <c r="I53" s="77">
        <f t="shared" si="12"/>
        <v>6983</v>
      </c>
      <c r="J53" s="77">
        <f t="shared" si="12"/>
        <v>6983</v>
      </c>
      <c r="K53" s="77">
        <f t="shared" si="12"/>
        <v>6982</v>
      </c>
      <c r="L53" s="77">
        <f t="shared" si="12"/>
        <v>6984</v>
      </c>
      <c r="M53" s="77">
        <f t="shared" si="12"/>
        <v>6982</v>
      </c>
      <c r="N53" s="77">
        <f t="shared" si="12"/>
        <v>6983</v>
      </c>
      <c r="O53" s="76">
        <f t="shared" si="11"/>
        <v>83293</v>
      </c>
    </row>
    <row r="54" spans="2:15" ht="15" thickBot="1">
      <c r="B54" s="78" t="s">
        <v>11</v>
      </c>
      <c r="C54" s="79">
        <f>SUM(C45:C53)</f>
        <v>6500</v>
      </c>
      <c r="D54" s="79">
        <f t="shared" ref="D54:O54" si="13">SUM(D45:D53)</f>
        <v>7000</v>
      </c>
      <c r="E54" s="79">
        <f t="shared" si="13"/>
        <v>7000</v>
      </c>
      <c r="F54" s="79">
        <f t="shared" si="13"/>
        <v>7000</v>
      </c>
      <c r="G54" s="79">
        <f t="shared" si="13"/>
        <v>7000</v>
      </c>
      <c r="H54" s="79">
        <f t="shared" si="13"/>
        <v>7000</v>
      </c>
      <c r="I54" s="79">
        <f t="shared" si="13"/>
        <v>7000</v>
      </c>
      <c r="J54" s="79">
        <f t="shared" si="13"/>
        <v>7000</v>
      </c>
      <c r="K54" s="79">
        <f t="shared" si="13"/>
        <v>7000</v>
      </c>
      <c r="L54" s="79">
        <f t="shared" si="13"/>
        <v>7000</v>
      </c>
      <c r="M54" s="79">
        <f t="shared" si="13"/>
        <v>7000</v>
      </c>
      <c r="N54" s="79">
        <f t="shared" si="13"/>
        <v>7000</v>
      </c>
      <c r="O54" s="79">
        <f t="shared" si="13"/>
        <v>83500</v>
      </c>
    </row>
  </sheetData>
  <mergeCells count="12">
    <mergeCell ref="T22:T24"/>
    <mergeCell ref="U23:U24"/>
    <mergeCell ref="R26:S26"/>
    <mergeCell ref="A1:P1"/>
    <mergeCell ref="R1:S1"/>
    <mergeCell ref="B3:O3"/>
    <mergeCell ref="P5:P6"/>
    <mergeCell ref="R6:S6"/>
    <mergeCell ref="R10:S10"/>
    <mergeCell ref="B13:O13"/>
    <mergeCell ref="R15:S15"/>
    <mergeCell ref="R21:S21"/>
  </mergeCells>
  <pageMargins left="0.7" right="0.7" top="0.78740157499999996" bottom="0.78740157499999996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workbookViewId="0">
      <selection activeCell="C15" sqref="C15:N15"/>
    </sheetView>
  </sheetViews>
  <sheetFormatPr baseColWidth="10" defaultRowHeight="14" x14ac:dyDescent="0"/>
  <cols>
    <col min="1" max="1" width="10.83203125" style="37"/>
    <col min="2" max="2" width="11.83203125" style="37" customWidth="1"/>
    <col min="3" max="14" width="9.5" style="37" customWidth="1"/>
    <col min="15" max="15" width="10.83203125" style="37"/>
    <col min="16" max="16" width="9.83203125" style="37" customWidth="1"/>
    <col min="17" max="17" width="2.83203125" style="37" customWidth="1"/>
    <col min="18" max="18" width="29.5" style="37" bestFit="1" customWidth="1"/>
    <col min="19" max="19" width="10.83203125" style="37"/>
    <col min="20" max="20" width="10.33203125" style="37" bestFit="1" customWidth="1"/>
    <col min="21" max="21" width="23.5" style="37" bestFit="1" customWidth="1"/>
    <col min="22" max="22" width="25.83203125" style="37" customWidth="1"/>
    <col min="23" max="16384" width="10.83203125" style="37"/>
  </cols>
  <sheetData>
    <row r="1" spans="1:22" ht="25">
      <c r="A1" s="92">
        <v>2029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2"/>
      <c r="R1" s="93" t="s">
        <v>28</v>
      </c>
      <c r="S1" s="94"/>
    </row>
    <row r="2" spans="1:22">
      <c r="Q2" s="2"/>
      <c r="R2" s="14" t="s">
        <v>84</v>
      </c>
      <c r="S2" s="15">
        <v>0</v>
      </c>
    </row>
    <row r="3" spans="1:22" ht="25">
      <c r="B3" s="96" t="s">
        <v>37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Q3" s="2"/>
      <c r="R3" s="14" t="s">
        <v>45</v>
      </c>
      <c r="S3" s="49">
        <f>'2028'!S3</f>
        <v>10000</v>
      </c>
    </row>
    <row r="4" spans="1:22" ht="15" thickBot="1">
      <c r="B4" s="5"/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27</v>
      </c>
      <c r="L4" s="5" t="s">
        <v>10</v>
      </c>
      <c r="M4" s="5" t="s">
        <v>26</v>
      </c>
      <c r="N4" s="5" t="s">
        <v>25</v>
      </c>
      <c r="O4" s="5" t="s">
        <v>11</v>
      </c>
      <c r="Q4" s="2"/>
      <c r="R4" s="16" t="s">
        <v>24</v>
      </c>
      <c r="S4" s="36">
        <f>'2028'!S4</f>
        <v>9.0999999999999998E-2</v>
      </c>
    </row>
    <row r="5" spans="1:22" ht="15" thickBot="1">
      <c r="B5" s="3" t="s">
        <v>13</v>
      </c>
      <c r="C5" s="37">
        <v>5000</v>
      </c>
      <c r="D5" s="37">
        <v>1000</v>
      </c>
      <c r="E5" s="37">
        <v>1000</v>
      </c>
      <c r="F5" s="37">
        <v>1000</v>
      </c>
      <c r="G5" s="37">
        <v>1000</v>
      </c>
      <c r="H5" s="37">
        <v>1000</v>
      </c>
      <c r="I5" s="37">
        <v>1000</v>
      </c>
      <c r="J5" s="37">
        <v>1000</v>
      </c>
      <c r="K5" s="37">
        <v>1000</v>
      </c>
      <c r="L5" s="37">
        <v>1000</v>
      </c>
      <c r="M5" s="37">
        <v>1000</v>
      </c>
      <c r="N5" s="37">
        <v>1000</v>
      </c>
      <c r="O5" s="5">
        <f t="shared" ref="O5:O7" si="0">SUM(C5:N5)</f>
        <v>16000</v>
      </c>
      <c r="P5" s="103">
        <f>O6+O5</f>
        <v>71500</v>
      </c>
      <c r="Q5" s="2"/>
    </row>
    <row r="6" spans="1:22" ht="15" thickTop="1">
      <c r="B6" s="4" t="s">
        <v>14</v>
      </c>
      <c r="C6" s="37">
        <v>500</v>
      </c>
      <c r="D6" s="37">
        <v>5000</v>
      </c>
      <c r="E6" s="37">
        <v>5000</v>
      </c>
      <c r="F6" s="37">
        <v>5000</v>
      </c>
      <c r="G6" s="37">
        <v>5000</v>
      </c>
      <c r="H6" s="37">
        <v>5000</v>
      </c>
      <c r="I6" s="37">
        <v>5000</v>
      </c>
      <c r="J6" s="37">
        <v>5000</v>
      </c>
      <c r="K6" s="37">
        <v>5000</v>
      </c>
      <c r="L6" s="37">
        <v>5000</v>
      </c>
      <c r="M6" s="37">
        <v>5000</v>
      </c>
      <c r="N6" s="37">
        <v>5000</v>
      </c>
      <c r="O6" s="5">
        <f t="shared" si="0"/>
        <v>55500</v>
      </c>
      <c r="P6" s="103"/>
      <c r="Q6" s="2"/>
      <c r="R6" s="104" t="s">
        <v>29</v>
      </c>
      <c r="S6" s="105"/>
      <c r="U6" s="55" t="s">
        <v>36</v>
      </c>
      <c r="V6" s="56" t="s">
        <v>53</v>
      </c>
    </row>
    <row r="7" spans="1:22" ht="15" thickBot="1">
      <c r="B7" s="8" t="s">
        <v>16</v>
      </c>
      <c r="C7" s="9">
        <v>1000</v>
      </c>
      <c r="D7" s="9">
        <v>1000</v>
      </c>
      <c r="E7" s="9">
        <v>1000</v>
      </c>
      <c r="F7" s="9">
        <v>1000</v>
      </c>
      <c r="G7" s="9">
        <v>1000</v>
      </c>
      <c r="H7" s="9">
        <v>1000</v>
      </c>
      <c r="I7" s="9">
        <v>1000</v>
      </c>
      <c r="J7" s="9">
        <v>1000</v>
      </c>
      <c r="K7" s="9">
        <v>1000</v>
      </c>
      <c r="L7" s="9">
        <v>1000</v>
      </c>
      <c r="M7" s="9">
        <v>1000</v>
      </c>
      <c r="N7" s="9">
        <v>1000</v>
      </c>
      <c r="O7" s="54">
        <f t="shared" si="0"/>
        <v>12000</v>
      </c>
      <c r="Q7" s="12"/>
      <c r="R7" s="17" t="s">
        <v>35</v>
      </c>
      <c r="S7" s="82">
        <f>'2028'!U7</f>
        <v>11161767.431238629</v>
      </c>
      <c r="T7" s="11"/>
      <c r="U7" s="57">
        <f>S7-T22</f>
        <v>11149755.431238629</v>
      </c>
      <c r="V7" s="60">
        <f>U7/T22</f>
        <v>928.21806786868376</v>
      </c>
    </row>
    <row r="8" spans="1:22" ht="16" thickTop="1" thickBot="1">
      <c r="B8" s="33" t="s">
        <v>12</v>
      </c>
      <c r="C8" s="33">
        <f t="shared" ref="C8:O8" si="1">SUM(C5:C7)</f>
        <v>6500</v>
      </c>
      <c r="D8" s="33">
        <f t="shared" si="1"/>
        <v>7000</v>
      </c>
      <c r="E8" s="33">
        <f t="shared" si="1"/>
        <v>7000</v>
      </c>
      <c r="F8" s="33">
        <f t="shared" si="1"/>
        <v>7000</v>
      </c>
      <c r="G8" s="33">
        <f t="shared" si="1"/>
        <v>7000</v>
      </c>
      <c r="H8" s="33">
        <f t="shared" si="1"/>
        <v>7000</v>
      </c>
      <c r="I8" s="33">
        <f t="shared" si="1"/>
        <v>7000</v>
      </c>
      <c r="J8" s="33">
        <f t="shared" si="1"/>
        <v>7000</v>
      </c>
      <c r="K8" s="33">
        <f t="shared" si="1"/>
        <v>7000</v>
      </c>
      <c r="L8" s="33">
        <f t="shared" si="1"/>
        <v>7000</v>
      </c>
      <c r="M8" s="33">
        <f t="shared" si="1"/>
        <v>7000</v>
      </c>
      <c r="N8" s="34">
        <f t="shared" si="1"/>
        <v>7000</v>
      </c>
      <c r="O8" s="33">
        <f t="shared" si="1"/>
        <v>83500</v>
      </c>
      <c r="Q8" s="12"/>
      <c r="R8" s="18" t="s">
        <v>34</v>
      </c>
      <c r="S8" s="83">
        <f>'2028'!U8</f>
        <v>4626418.1185151516</v>
      </c>
      <c r="T8" s="11"/>
      <c r="U8" s="58">
        <f>S8-((O6*S2)-O16*S4)</f>
        <v>4627100.6185151516</v>
      </c>
      <c r="V8" s="61">
        <f>U8/U9</f>
        <v>-6779.6346058830059</v>
      </c>
    </row>
    <row r="9" spans="1:22" ht="15" thickBot="1">
      <c r="B9" s="41" t="s">
        <v>40</v>
      </c>
      <c r="C9" s="42">
        <f t="shared" ref="C9:N9" si="2">IF(C8&gt;0,(C5+C6)/C8,"")</f>
        <v>0.84615384615384615</v>
      </c>
      <c r="D9" s="42">
        <f t="shared" si="2"/>
        <v>0.8571428571428571</v>
      </c>
      <c r="E9" s="42">
        <f t="shared" si="2"/>
        <v>0.8571428571428571</v>
      </c>
      <c r="F9" s="42">
        <f t="shared" si="2"/>
        <v>0.8571428571428571</v>
      </c>
      <c r="G9" s="42">
        <f t="shared" si="2"/>
        <v>0.8571428571428571</v>
      </c>
      <c r="H9" s="42">
        <f t="shared" si="2"/>
        <v>0.8571428571428571</v>
      </c>
      <c r="I9" s="42">
        <f t="shared" si="2"/>
        <v>0.8571428571428571</v>
      </c>
      <c r="J9" s="42">
        <f t="shared" si="2"/>
        <v>0.8571428571428571</v>
      </c>
      <c r="K9" s="42">
        <f t="shared" si="2"/>
        <v>0.8571428571428571</v>
      </c>
      <c r="L9" s="42">
        <f t="shared" si="2"/>
        <v>0.8571428571428571</v>
      </c>
      <c r="M9" s="42">
        <f t="shared" si="2"/>
        <v>0.8571428571428571</v>
      </c>
      <c r="N9" s="42">
        <f t="shared" si="2"/>
        <v>0.8571428571428571</v>
      </c>
      <c r="O9" s="46">
        <f>(O5+O6)/O8</f>
        <v>0.85628742514970058</v>
      </c>
      <c r="Q9" s="2"/>
      <c r="U9" s="65">
        <f>S8-U8</f>
        <v>-682.5</v>
      </c>
    </row>
    <row r="10" spans="1:22">
      <c r="B10" s="43" t="s">
        <v>41</v>
      </c>
      <c r="C10" s="40">
        <f t="shared" ref="C10:O10" si="3">IF(C8&gt;0,(C5+C6)/C18,"")</f>
        <v>0.11695657721260579</v>
      </c>
      <c r="D10" s="40">
        <f t="shared" si="3"/>
        <v>9.5348578511608689E-2</v>
      </c>
      <c r="E10" s="40">
        <f t="shared" si="3"/>
        <v>5.957345406886691E-2</v>
      </c>
      <c r="F10" s="40">
        <f t="shared" si="3"/>
        <v>4.4987628402189395E-2</v>
      </c>
      <c r="G10" s="40">
        <f t="shared" si="3"/>
        <v>3.7766727513060996E-2</v>
      </c>
      <c r="H10" s="40">
        <f t="shared" si="3"/>
        <v>3.5855145213338116E-2</v>
      </c>
      <c r="I10" s="40">
        <f t="shared" si="3"/>
        <v>3.5366306519778609E-2</v>
      </c>
      <c r="J10" s="40">
        <f t="shared" si="3"/>
        <v>4.2042126210462882E-2</v>
      </c>
      <c r="K10" s="40">
        <f t="shared" si="3"/>
        <v>5.3049459779667914E-2</v>
      </c>
      <c r="L10" s="40">
        <f t="shared" si="3"/>
        <v>6.9679936823523941E-2</v>
      </c>
      <c r="M10" s="40">
        <f t="shared" si="3"/>
        <v>0.13226930029540143</v>
      </c>
      <c r="N10" s="40">
        <f t="shared" si="3"/>
        <v>0.16237280796709244</v>
      </c>
      <c r="O10" s="47">
        <f t="shared" si="3"/>
        <v>5.6560191118072367E-2</v>
      </c>
      <c r="Q10" s="2"/>
      <c r="R10" s="97" t="s">
        <v>30</v>
      </c>
      <c r="S10" s="98"/>
    </row>
    <row r="11" spans="1:22" ht="15" thickBot="1">
      <c r="B11" s="44" t="s">
        <v>42</v>
      </c>
      <c r="C11" s="45">
        <f t="shared" ref="C11:N11" si="4">IF(C8&gt;0,C5*$S$2+C6*$S$2+C17*$S$4,"")</f>
        <v>1001</v>
      </c>
      <c r="D11" s="45">
        <f t="shared" si="4"/>
        <v>1001</v>
      </c>
      <c r="E11" s="45">
        <f t="shared" si="4"/>
        <v>1001</v>
      </c>
      <c r="F11" s="45">
        <f t="shared" si="4"/>
        <v>1001</v>
      </c>
      <c r="G11" s="45">
        <f t="shared" si="4"/>
        <v>1001</v>
      </c>
      <c r="H11" s="45">
        <f t="shared" si="4"/>
        <v>1001</v>
      </c>
      <c r="I11" s="45">
        <f t="shared" si="4"/>
        <v>1001</v>
      </c>
      <c r="J11" s="45">
        <f t="shared" si="4"/>
        <v>1001</v>
      </c>
      <c r="K11" s="45">
        <f t="shared" si="4"/>
        <v>1001</v>
      </c>
      <c r="L11" s="45">
        <f t="shared" si="4"/>
        <v>1001</v>
      </c>
      <c r="M11" s="45">
        <f t="shared" si="4"/>
        <v>1001</v>
      </c>
      <c r="N11" s="45">
        <f t="shared" si="4"/>
        <v>1001</v>
      </c>
      <c r="O11" s="48">
        <f>SUM(C11:N11)</f>
        <v>12012</v>
      </c>
      <c r="Q11" s="2"/>
      <c r="R11" s="19" t="s">
        <v>0</v>
      </c>
      <c r="S11" s="20">
        <f>P5/O8</f>
        <v>0.85628742514970058</v>
      </c>
    </row>
    <row r="12" spans="1:22" ht="15" thickBot="1">
      <c r="Q12" s="2"/>
      <c r="R12" s="21" t="s">
        <v>1</v>
      </c>
      <c r="S12" s="22">
        <f>P5/O18</f>
        <v>5.6560191118072367E-2</v>
      </c>
    </row>
    <row r="13" spans="1:22" ht="25">
      <c r="B13" s="95" t="s">
        <v>38</v>
      </c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Q13" s="2"/>
    </row>
    <row r="14" spans="1:22" ht="15" thickBot="1">
      <c r="B14" s="5"/>
      <c r="C14" s="5" t="s">
        <v>2</v>
      </c>
      <c r="D14" s="5" t="s">
        <v>3</v>
      </c>
      <c r="E14" s="5" t="s">
        <v>4</v>
      </c>
      <c r="F14" s="5" t="s">
        <v>5</v>
      </c>
      <c r="G14" s="5" t="s">
        <v>6</v>
      </c>
      <c r="H14" s="5" t="s">
        <v>7</v>
      </c>
      <c r="I14" s="5" t="s">
        <v>8</v>
      </c>
      <c r="J14" s="5" t="s">
        <v>9</v>
      </c>
      <c r="K14" s="5" t="s">
        <v>27</v>
      </c>
      <c r="L14" s="5" t="s">
        <v>10</v>
      </c>
      <c r="M14" s="5" t="s">
        <v>26</v>
      </c>
      <c r="N14" s="5" t="s">
        <v>25</v>
      </c>
      <c r="O14" s="5" t="s">
        <v>11</v>
      </c>
      <c r="Q14" s="2"/>
      <c r="S14" s="11"/>
    </row>
    <row r="15" spans="1:22">
      <c r="B15" s="3" t="s">
        <v>13</v>
      </c>
      <c r="C15" s="121">
        <v>35401</v>
      </c>
      <c r="D15" s="121">
        <v>51302</v>
      </c>
      <c r="E15" s="121">
        <v>89091</v>
      </c>
      <c r="F15" s="121">
        <v>121745</v>
      </c>
      <c r="G15" s="121">
        <v>147245</v>
      </c>
      <c r="H15" s="121">
        <v>155715</v>
      </c>
      <c r="I15" s="121">
        <v>158028</v>
      </c>
      <c r="J15" s="121">
        <v>131089</v>
      </c>
      <c r="K15" s="121">
        <v>101477</v>
      </c>
      <c r="L15" s="121">
        <v>74483</v>
      </c>
      <c r="M15" s="121">
        <v>33737</v>
      </c>
      <c r="N15" s="121">
        <v>25327</v>
      </c>
      <c r="O15" s="5">
        <f t="shared" ref="O15:O17" si="5">SUM(C15:N15)</f>
        <v>1124640</v>
      </c>
      <c r="Q15" s="2"/>
      <c r="R15" s="99" t="s">
        <v>31</v>
      </c>
      <c r="S15" s="100"/>
    </row>
    <row r="16" spans="1:22">
      <c r="B16" s="1" t="s">
        <v>15</v>
      </c>
      <c r="C16" s="37">
        <v>625</v>
      </c>
      <c r="D16" s="37">
        <v>625</v>
      </c>
      <c r="E16" s="37">
        <v>625</v>
      </c>
      <c r="F16" s="37">
        <v>625</v>
      </c>
      <c r="G16" s="37">
        <v>625</v>
      </c>
      <c r="H16" s="37">
        <v>625</v>
      </c>
      <c r="I16" s="37">
        <v>625</v>
      </c>
      <c r="J16" s="37">
        <v>625</v>
      </c>
      <c r="K16" s="37">
        <v>625</v>
      </c>
      <c r="L16" s="37">
        <v>625</v>
      </c>
      <c r="M16" s="37">
        <v>625</v>
      </c>
      <c r="N16" s="37">
        <v>625</v>
      </c>
      <c r="O16" s="5">
        <f t="shared" si="5"/>
        <v>7500</v>
      </c>
      <c r="Q16" s="2"/>
      <c r="R16" s="23" t="s">
        <v>19</v>
      </c>
      <c r="S16" s="24">
        <f>O16</f>
        <v>7500</v>
      </c>
      <c r="U16" s="59" t="s">
        <v>48</v>
      </c>
    </row>
    <row r="17" spans="2:21" ht="15" thickBot="1">
      <c r="B17" s="10" t="s">
        <v>17</v>
      </c>
      <c r="C17" s="9">
        <v>11000</v>
      </c>
      <c r="D17" s="9">
        <v>11000</v>
      </c>
      <c r="E17" s="9">
        <v>11000</v>
      </c>
      <c r="F17" s="9">
        <v>11000</v>
      </c>
      <c r="G17" s="9">
        <v>11000</v>
      </c>
      <c r="H17" s="9">
        <v>11000</v>
      </c>
      <c r="I17" s="9">
        <v>11000</v>
      </c>
      <c r="J17" s="9">
        <v>11000</v>
      </c>
      <c r="K17" s="9">
        <v>11000</v>
      </c>
      <c r="L17" s="9">
        <v>11000</v>
      </c>
      <c r="M17" s="9">
        <v>11000</v>
      </c>
      <c r="N17" s="9">
        <v>11000</v>
      </c>
      <c r="O17" s="54">
        <f t="shared" si="5"/>
        <v>132000</v>
      </c>
      <c r="Q17" s="2"/>
      <c r="R17" s="23" t="s">
        <v>18</v>
      </c>
      <c r="S17" s="24">
        <f>O6</f>
        <v>55500</v>
      </c>
      <c r="U17" s="66" t="s">
        <v>49</v>
      </c>
    </row>
    <row r="18" spans="2:21" ht="16" thickTop="1" thickBot="1">
      <c r="B18" s="6" t="s">
        <v>12</v>
      </c>
      <c r="C18" s="6">
        <f>SUM(C15:C17)</f>
        <v>47026</v>
      </c>
      <c r="D18" s="6">
        <f t="shared" ref="D18:N18" si="6">SUM(D15:D17)</f>
        <v>62927</v>
      </c>
      <c r="E18" s="6">
        <f t="shared" si="6"/>
        <v>100716</v>
      </c>
      <c r="F18" s="6">
        <f t="shared" si="6"/>
        <v>133370</v>
      </c>
      <c r="G18" s="6">
        <f t="shared" si="6"/>
        <v>158870</v>
      </c>
      <c r="H18" s="6">
        <f t="shared" si="6"/>
        <v>167340</v>
      </c>
      <c r="I18" s="6">
        <f t="shared" si="6"/>
        <v>169653</v>
      </c>
      <c r="J18" s="6">
        <f t="shared" si="6"/>
        <v>142714</v>
      </c>
      <c r="K18" s="6">
        <f t="shared" si="6"/>
        <v>113102</v>
      </c>
      <c r="L18" s="6">
        <f t="shared" si="6"/>
        <v>86108</v>
      </c>
      <c r="M18" s="6">
        <f t="shared" si="6"/>
        <v>45362</v>
      </c>
      <c r="N18" s="7">
        <f t="shared" si="6"/>
        <v>36952</v>
      </c>
      <c r="O18" s="6">
        <f>SUM(O15:O17)</f>
        <v>1264140</v>
      </c>
      <c r="Q18" s="2"/>
      <c r="R18" s="23" t="s">
        <v>20</v>
      </c>
      <c r="S18" s="24">
        <f>100/S16*S17</f>
        <v>740</v>
      </c>
      <c r="U18" s="59" t="s">
        <v>50</v>
      </c>
    </row>
    <row r="19" spans="2:21" ht="15" thickBot="1">
      <c r="B19" s="41" t="s">
        <v>44</v>
      </c>
      <c r="C19" s="50">
        <f>IF(C18&gt;0,C18/$S$3,"")</f>
        <v>4.7026000000000003</v>
      </c>
      <c r="D19" s="50">
        <f t="shared" ref="D19:N19" si="7">IF(D18&gt;0,D18/$S$3,"")</f>
        <v>6.2927</v>
      </c>
      <c r="E19" s="50">
        <f t="shared" si="7"/>
        <v>10.0716</v>
      </c>
      <c r="F19" s="50">
        <f t="shared" si="7"/>
        <v>13.337</v>
      </c>
      <c r="G19" s="50">
        <f t="shared" si="7"/>
        <v>15.887</v>
      </c>
      <c r="H19" s="50">
        <f t="shared" si="7"/>
        <v>16.734000000000002</v>
      </c>
      <c r="I19" s="50">
        <f t="shared" si="7"/>
        <v>16.965299999999999</v>
      </c>
      <c r="J19" s="50">
        <f t="shared" si="7"/>
        <v>14.2714</v>
      </c>
      <c r="K19" s="50">
        <f t="shared" si="7"/>
        <v>11.3102</v>
      </c>
      <c r="L19" s="50">
        <f t="shared" si="7"/>
        <v>8.6107999999999993</v>
      </c>
      <c r="M19" s="50">
        <f t="shared" si="7"/>
        <v>4.5362</v>
      </c>
      <c r="N19" s="50">
        <f t="shared" si="7"/>
        <v>3.6951999999999998</v>
      </c>
      <c r="O19" s="53">
        <f>SUM(C19:N19)</f>
        <v>126.41399999999999</v>
      </c>
      <c r="Q19" s="2"/>
      <c r="R19" s="25" t="s">
        <v>21</v>
      </c>
      <c r="S19" s="26">
        <f>100-S18</f>
        <v>-640</v>
      </c>
    </row>
    <row r="20" spans="2:21" ht="15" thickBot="1">
      <c r="B20" s="43" t="s">
        <v>46</v>
      </c>
      <c r="C20" s="51">
        <f>IF(C8&gt;0,C16/31,"")</f>
        <v>20.161290322580644</v>
      </c>
      <c r="D20" s="51">
        <f>IF(D8&gt;0,D16/28,"")</f>
        <v>22.321428571428573</v>
      </c>
      <c r="E20" s="51">
        <f>IF(E8&gt;0,E16/31,"")</f>
        <v>20.161290322580644</v>
      </c>
      <c r="F20" s="51">
        <f>IF(F8&gt;0,F16/30,"")</f>
        <v>20.833333333333332</v>
      </c>
      <c r="G20" s="51">
        <f>IF(G8&gt;0,G16/31,"")</f>
        <v>20.161290322580644</v>
      </c>
      <c r="H20" s="51">
        <f>IF(H8&gt;0,H16/30,"")</f>
        <v>20.833333333333332</v>
      </c>
      <c r="I20" s="51">
        <f>IF(I8&gt;0,I16/31,"")</f>
        <v>20.161290322580644</v>
      </c>
      <c r="J20" s="51">
        <f>IF(J8&gt;0,J16/31,"")</f>
        <v>20.161290322580644</v>
      </c>
      <c r="K20" s="51">
        <f>IF(K8&gt;0,K16/30,"")</f>
        <v>20.833333333333332</v>
      </c>
      <c r="L20" s="51">
        <f>IF(L8&gt;0,L16/31,"")</f>
        <v>20.161290322580644</v>
      </c>
      <c r="M20" s="51">
        <f>IF(M8&gt;0,M16/30,"")</f>
        <v>20.833333333333332</v>
      </c>
      <c r="N20" s="51">
        <f>IF(N8&gt;0,N16/31,"")</f>
        <v>20.161290322580644</v>
      </c>
      <c r="O20" s="52">
        <f>SUM(C20:N20)/COUNT(C20:N20)</f>
        <v>20.565316180235534</v>
      </c>
      <c r="Q20" s="2"/>
    </row>
    <row r="21" spans="2:21" ht="15" thickBot="1">
      <c r="B21" s="43" t="s">
        <v>47</v>
      </c>
      <c r="C21" s="40">
        <f>IF(C18&gt;0,C17/C18,"")</f>
        <v>0.23391315442521157</v>
      </c>
      <c r="D21" s="40">
        <f t="shared" ref="D21:N21" si="8">IF(D18&gt;0,D17/D18,"")</f>
        <v>0.1748057272712826</v>
      </c>
      <c r="E21" s="40">
        <f t="shared" si="8"/>
        <v>0.109217999126256</v>
      </c>
      <c r="F21" s="40">
        <f t="shared" si="8"/>
        <v>8.2477318737347233E-2</v>
      </c>
      <c r="G21" s="40">
        <f t="shared" si="8"/>
        <v>6.923900044061182E-2</v>
      </c>
      <c r="H21" s="40">
        <f t="shared" si="8"/>
        <v>6.5734432891119882E-2</v>
      </c>
      <c r="I21" s="40">
        <f t="shared" si="8"/>
        <v>6.483822861959411E-2</v>
      </c>
      <c r="J21" s="40">
        <f t="shared" si="8"/>
        <v>7.7077231385848627E-2</v>
      </c>
      <c r="K21" s="40">
        <f t="shared" si="8"/>
        <v>9.7257342929391172E-2</v>
      </c>
      <c r="L21" s="40">
        <f t="shared" si="8"/>
        <v>0.12774655084312725</v>
      </c>
      <c r="M21" s="40">
        <f t="shared" si="8"/>
        <v>0.24249371720823598</v>
      </c>
      <c r="N21" s="40">
        <f t="shared" si="8"/>
        <v>0.29768348127300281</v>
      </c>
      <c r="O21" s="47">
        <f>O17/O18</f>
        <v>0.1044188143718259</v>
      </c>
      <c r="Q21" s="2"/>
      <c r="R21" s="101" t="s">
        <v>32</v>
      </c>
      <c r="S21" s="102"/>
    </row>
    <row r="22" spans="2:21" ht="15" thickBot="1">
      <c r="B22" s="44" t="s">
        <v>51</v>
      </c>
      <c r="C22" s="74">
        <f t="shared" ref="C22:O22" si="9">IF(C8&gt;0,100/C16*C6-100,"")</f>
        <v>-20</v>
      </c>
      <c r="D22" s="74">
        <f t="shared" si="9"/>
        <v>700</v>
      </c>
      <c r="E22" s="74">
        <f t="shared" si="9"/>
        <v>700</v>
      </c>
      <c r="F22" s="74">
        <f t="shared" si="9"/>
        <v>700</v>
      </c>
      <c r="G22" s="74">
        <f t="shared" si="9"/>
        <v>700</v>
      </c>
      <c r="H22" s="74">
        <f t="shared" si="9"/>
        <v>700</v>
      </c>
      <c r="I22" s="74">
        <f t="shared" si="9"/>
        <v>700</v>
      </c>
      <c r="J22" s="74">
        <f t="shared" si="9"/>
        <v>700</v>
      </c>
      <c r="K22" s="74">
        <f t="shared" si="9"/>
        <v>700</v>
      </c>
      <c r="L22" s="74">
        <f t="shared" si="9"/>
        <v>700</v>
      </c>
      <c r="M22" s="74">
        <f t="shared" si="9"/>
        <v>700</v>
      </c>
      <c r="N22" s="74">
        <f t="shared" si="9"/>
        <v>700</v>
      </c>
      <c r="O22" s="75">
        <f t="shared" si="9"/>
        <v>640</v>
      </c>
      <c r="Q22" s="2"/>
      <c r="R22" s="27" t="s">
        <v>22</v>
      </c>
      <c r="S22" s="28">
        <f>O5*S2</f>
        <v>0</v>
      </c>
      <c r="T22" s="106">
        <f>SUM(S22:S24)</f>
        <v>12012</v>
      </c>
      <c r="U22" s="39" t="s">
        <v>43</v>
      </c>
    </row>
    <row r="23" spans="2:21">
      <c r="Q23" s="2"/>
      <c r="R23" s="27" t="s">
        <v>54</v>
      </c>
      <c r="S23" s="28">
        <f>O6*S2</f>
        <v>0</v>
      </c>
      <c r="T23" s="107"/>
      <c r="U23" s="85">
        <f>1/'2025'!S7*T22</f>
        <v>1.0010000000000002E-3</v>
      </c>
    </row>
    <row r="24" spans="2:21" ht="15" thickBot="1">
      <c r="Q24" s="2"/>
      <c r="R24" s="29" t="s">
        <v>24</v>
      </c>
      <c r="S24" s="30">
        <f>O17*S4</f>
        <v>12012</v>
      </c>
      <c r="T24" s="91"/>
      <c r="U24" s="86"/>
    </row>
    <row r="25" spans="2:21" ht="15" thickBot="1">
      <c r="Q25" s="2"/>
    </row>
    <row r="26" spans="2:21">
      <c r="Q26" s="2"/>
      <c r="R26" s="87" t="s">
        <v>33</v>
      </c>
      <c r="S26" s="88"/>
    </row>
    <row r="27" spans="2:21" ht="15" thickBot="1">
      <c r="Q27" s="2"/>
      <c r="R27" s="31" t="s">
        <v>23</v>
      </c>
      <c r="S27" s="32">
        <f>O7*S2</f>
        <v>0</v>
      </c>
      <c r="U27" s="38"/>
    </row>
    <row r="28" spans="2:21">
      <c r="Q28" s="2"/>
    </row>
    <row r="29" spans="2:21">
      <c r="Q29" s="2"/>
    </row>
    <row r="30" spans="2:21">
      <c r="Q30" s="2"/>
    </row>
    <row r="31" spans="2:21">
      <c r="Q31" s="2"/>
    </row>
    <row r="32" spans="2:21">
      <c r="Q32" s="2"/>
    </row>
    <row r="33" spans="2:17">
      <c r="Q33" s="2"/>
    </row>
    <row r="34" spans="2:17">
      <c r="Q34" s="2"/>
    </row>
    <row r="35" spans="2:17">
      <c r="Q35" s="2"/>
    </row>
    <row r="36" spans="2:17">
      <c r="Q36" s="2"/>
    </row>
    <row r="37" spans="2:17">
      <c r="Q37" s="2"/>
    </row>
    <row r="38" spans="2:17">
      <c r="Q38" s="2"/>
    </row>
    <row r="39" spans="2:17">
      <c r="Q39" s="2"/>
    </row>
    <row r="40" spans="2:17">
      <c r="Q40" s="2"/>
    </row>
    <row r="43" spans="2:17">
      <c r="B43" s="5" t="s">
        <v>65</v>
      </c>
      <c r="C43" s="5">
        <f>C8</f>
        <v>6500</v>
      </c>
      <c r="D43" s="5">
        <f t="shared" ref="D43:O43" si="10">D8</f>
        <v>7000</v>
      </c>
      <c r="E43" s="5">
        <f t="shared" si="10"/>
        <v>7000</v>
      </c>
      <c r="F43" s="5">
        <f t="shared" si="10"/>
        <v>7000</v>
      </c>
      <c r="G43" s="5">
        <f t="shared" si="10"/>
        <v>7000</v>
      </c>
      <c r="H43" s="5">
        <f t="shared" si="10"/>
        <v>7000</v>
      </c>
      <c r="I43" s="5">
        <f t="shared" si="10"/>
        <v>7000</v>
      </c>
      <c r="J43" s="5">
        <f t="shared" si="10"/>
        <v>7000</v>
      </c>
      <c r="K43" s="5">
        <f t="shared" si="10"/>
        <v>7000</v>
      </c>
      <c r="L43" s="5">
        <f t="shared" si="10"/>
        <v>7000</v>
      </c>
      <c r="M43" s="5">
        <f t="shared" si="10"/>
        <v>7000</v>
      </c>
      <c r="N43" s="5">
        <f t="shared" si="10"/>
        <v>7000</v>
      </c>
      <c r="O43" s="5">
        <f t="shared" si="10"/>
        <v>83500</v>
      </c>
    </row>
    <row r="44" spans="2:17">
      <c r="B44" s="5" t="s">
        <v>62</v>
      </c>
      <c r="C44" s="5" t="s">
        <v>2</v>
      </c>
      <c r="D44" s="5" t="s">
        <v>3</v>
      </c>
      <c r="E44" s="5" t="s">
        <v>4</v>
      </c>
      <c r="F44" s="5" t="s">
        <v>5</v>
      </c>
      <c r="G44" s="5" t="s">
        <v>6</v>
      </c>
      <c r="H44" s="5" t="s">
        <v>7</v>
      </c>
      <c r="I44" s="5" t="s">
        <v>8</v>
      </c>
      <c r="J44" s="5" t="s">
        <v>9</v>
      </c>
      <c r="K44" s="5" t="s">
        <v>27</v>
      </c>
      <c r="L44" s="5" t="s">
        <v>10</v>
      </c>
      <c r="M44" s="5" t="s">
        <v>26</v>
      </c>
      <c r="N44" s="5" t="s">
        <v>25</v>
      </c>
      <c r="O44" s="5" t="s">
        <v>11</v>
      </c>
    </row>
    <row r="45" spans="2:17">
      <c r="B45" s="76" t="s">
        <v>90</v>
      </c>
      <c r="C45" s="76">
        <v>2</v>
      </c>
      <c r="D45" s="76">
        <v>2</v>
      </c>
      <c r="E45" s="76">
        <v>2</v>
      </c>
      <c r="F45" s="76">
        <v>1</v>
      </c>
      <c r="G45" s="76">
        <v>1</v>
      </c>
      <c r="H45" s="76">
        <v>1</v>
      </c>
      <c r="I45" s="76">
        <v>1</v>
      </c>
      <c r="J45" s="76">
        <v>1</v>
      </c>
      <c r="K45" s="76">
        <v>2</v>
      </c>
      <c r="L45" s="76"/>
      <c r="M45" s="76">
        <v>2</v>
      </c>
      <c r="N45" s="76">
        <v>2</v>
      </c>
      <c r="O45" s="76">
        <f>SUM(C45:N45)</f>
        <v>17</v>
      </c>
    </row>
    <row r="46" spans="2:17">
      <c r="B46" s="76" t="s">
        <v>91</v>
      </c>
      <c r="C46" s="76">
        <v>1</v>
      </c>
      <c r="D46" s="76">
        <v>1</v>
      </c>
      <c r="E46" s="76">
        <v>1</v>
      </c>
      <c r="F46" s="76">
        <v>1</v>
      </c>
      <c r="G46" s="76"/>
      <c r="H46" s="76">
        <v>1</v>
      </c>
      <c r="I46" s="76">
        <v>1</v>
      </c>
      <c r="J46" s="76">
        <v>1</v>
      </c>
      <c r="K46" s="76">
        <v>1</v>
      </c>
      <c r="L46" s="76">
        <v>1</v>
      </c>
      <c r="M46" s="76">
        <v>1</v>
      </c>
      <c r="N46" s="76"/>
      <c r="O46" s="76">
        <f t="shared" ref="O46:O53" si="11">SUM(C46:N46)</f>
        <v>10</v>
      </c>
    </row>
    <row r="47" spans="2:17">
      <c r="B47" s="76" t="s">
        <v>92</v>
      </c>
      <c r="C47" s="76">
        <v>1</v>
      </c>
      <c r="D47" s="76">
        <v>1</v>
      </c>
      <c r="E47" s="76">
        <v>1</v>
      </c>
      <c r="F47" s="76">
        <v>1</v>
      </c>
      <c r="G47" s="76">
        <v>1</v>
      </c>
      <c r="H47" s="76">
        <v>1</v>
      </c>
      <c r="I47" s="76">
        <v>1</v>
      </c>
      <c r="J47" s="76">
        <v>1</v>
      </c>
      <c r="K47" s="76">
        <v>1</v>
      </c>
      <c r="L47" s="76">
        <v>1</v>
      </c>
      <c r="M47" s="76">
        <v>1</v>
      </c>
      <c r="N47" s="76">
        <v>1</v>
      </c>
      <c r="O47" s="76">
        <f t="shared" si="11"/>
        <v>12</v>
      </c>
    </row>
    <row r="48" spans="2:17">
      <c r="B48" s="76" t="s">
        <v>93</v>
      </c>
      <c r="C48" s="76">
        <v>1</v>
      </c>
      <c r="D48" s="76">
        <v>1</v>
      </c>
      <c r="E48" s="76">
        <v>1</v>
      </c>
      <c r="F48" s="76">
        <v>1</v>
      </c>
      <c r="G48" s="76">
        <v>1</v>
      </c>
      <c r="H48" s="76">
        <v>1</v>
      </c>
      <c r="I48" s="76">
        <v>1</v>
      </c>
      <c r="J48" s="76">
        <v>1</v>
      </c>
      <c r="K48" s="76">
        <v>1</v>
      </c>
      <c r="L48" s="76">
        <v>1</v>
      </c>
      <c r="M48" s="76">
        <v>1</v>
      </c>
      <c r="N48" s="76">
        <v>1</v>
      </c>
      <c r="O48" s="76">
        <f t="shared" si="11"/>
        <v>12</v>
      </c>
    </row>
    <row r="49" spans="2:15">
      <c r="B49" s="76" t="s">
        <v>94</v>
      </c>
      <c r="C49" s="76">
        <v>10</v>
      </c>
      <c r="D49" s="76">
        <v>10</v>
      </c>
      <c r="E49" s="76">
        <v>10</v>
      </c>
      <c r="F49" s="76">
        <v>10</v>
      </c>
      <c r="G49" s="76">
        <v>10</v>
      </c>
      <c r="H49" s="76">
        <v>10</v>
      </c>
      <c r="I49" s="76">
        <v>10</v>
      </c>
      <c r="J49" s="76">
        <v>10</v>
      </c>
      <c r="K49" s="76">
        <v>10</v>
      </c>
      <c r="L49" s="76">
        <v>10</v>
      </c>
      <c r="M49" s="76">
        <v>10</v>
      </c>
      <c r="N49" s="76">
        <v>10</v>
      </c>
      <c r="O49" s="76">
        <f t="shared" si="11"/>
        <v>120</v>
      </c>
    </row>
    <row r="50" spans="2:15">
      <c r="B50" s="76" t="s">
        <v>95</v>
      </c>
      <c r="C50" s="76">
        <v>1</v>
      </c>
      <c r="D50" s="113">
        <v>1</v>
      </c>
      <c r="E50" s="113">
        <v>1</v>
      </c>
      <c r="F50" s="113">
        <v>1</v>
      </c>
      <c r="G50" s="113">
        <v>1</v>
      </c>
      <c r="H50" s="113">
        <v>1</v>
      </c>
      <c r="I50" s="113">
        <v>1</v>
      </c>
      <c r="J50" s="113">
        <v>1</v>
      </c>
      <c r="K50" s="113">
        <v>1</v>
      </c>
      <c r="L50" s="113">
        <v>1</v>
      </c>
      <c r="M50" s="113">
        <v>1</v>
      </c>
      <c r="N50" s="113">
        <v>1</v>
      </c>
      <c r="O50" s="76">
        <f t="shared" si="11"/>
        <v>12</v>
      </c>
    </row>
    <row r="51" spans="2:15">
      <c r="B51" s="76" t="s">
        <v>96</v>
      </c>
      <c r="C51" s="76">
        <v>1</v>
      </c>
      <c r="D51" s="113">
        <v>1</v>
      </c>
      <c r="E51" s="113">
        <v>1</v>
      </c>
      <c r="F51" s="113">
        <v>1</v>
      </c>
      <c r="G51" s="113">
        <v>1</v>
      </c>
      <c r="H51" s="113">
        <v>1</v>
      </c>
      <c r="I51" s="113">
        <v>1</v>
      </c>
      <c r="J51" s="113">
        <v>1</v>
      </c>
      <c r="K51" s="113">
        <v>1</v>
      </c>
      <c r="L51" s="113">
        <v>1</v>
      </c>
      <c r="M51" s="113">
        <v>1</v>
      </c>
      <c r="N51" s="113">
        <v>1</v>
      </c>
      <c r="O51" s="76">
        <f t="shared" si="11"/>
        <v>12</v>
      </c>
    </row>
    <row r="52" spans="2:15">
      <c r="B52" s="77" t="s">
        <v>97</v>
      </c>
      <c r="C52" s="77">
        <v>1</v>
      </c>
      <c r="D52" s="113">
        <v>1</v>
      </c>
      <c r="E52" s="113">
        <v>1</v>
      </c>
      <c r="F52" s="113">
        <v>1</v>
      </c>
      <c r="G52" s="113">
        <v>1</v>
      </c>
      <c r="H52" s="113">
        <v>1</v>
      </c>
      <c r="I52" s="113">
        <v>1</v>
      </c>
      <c r="J52" s="113">
        <v>1</v>
      </c>
      <c r="K52" s="113">
        <v>1</v>
      </c>
      <c r="L52" s="113">
        <v>1</v>
      </c>
      <c r="M52" s="113">
        <v>1</v>
      </c>
      <c r="N52" s="113">
        <v>1</v>
      </c>
      <c r="O52" s="76">
        <f t="shared" si="11"/>
        <v>12</v>
      </c>
    </row>
    <row r="53" spans="2:15" ht="15" thickBot="1">
      <c r="B53" s="77" t="s">
        <v>70</v>
      </c>
      <c r="C53" s="77">
        <f>C43-C45-C46-C47-C48-C49-C50-C51-C52</f>
        <v>6482</v>
      </c>
      <c r="D53" s="77">
        <f t="shared" ref="D53:N53" si="12">D43-D45-D46-D47-D48-D49-D50-D51-D52</f>
        <v>6982</v>
      </c>
      <c r="E53" s="77">
        <f t="shared" si="12"/>
        <v>6982</v>
      </c>
      <c r="F53" s="77">
        <f>(F43-F45-F46-F47-F48-F49-F50-F51-F52)</f>
        <v>6983</v>
      </c>
      <c r="G53" s="77">
        <f t="shared" si="12"/>
        <v>6984</v>
      </c>
      <c r="H53" s="77">
        <f t="shared" si="12"/>
        <v>6983</v>
      </c>
      <c r="I53" s="77">
        <f t="shared" si="12"/>
        <v>6983</v>
      </c>
      <c r="J53" s="77">
        <f t="shared" si="12"/>
        <v>6983</v>
      </c>
      <c r="K53" s="77">
        <f t="shared" si="12"/>
        <v>6982</v>
      </c>
      <c r="L53" s="77">
        <f t="shared" si="12"/>
        <v>6984</v>
      </c>
      <c r="M53" s="77">
        <f t="shared" si="12"/>
        <v>6982</v>
      </c>
      <c r="N53" s="77">
        <f t="shared" si="12"/>
        <v>6983</v>
      </c>
      <c r="O53" s="76">
        <f t="shared" si="11"/>
        <v>83293</v>
      </c>
    </row>
    <row r="54" spans="2:15" ht="15" thickBot="1">
      <c r="B54" s="78" t="s">
        <v>11</v>
      </c>
      <c r="C54" s="79">
        <f>SUM(C45:C53)</f>
        <v>6500</v>
      </c>
      <c r="D54" s="79">
        <f t="shared" ref="D54:O54" si="13">SUM(D45:D53)</f>
        <v>7000</v>
      </c>
      <c r="E54" s="79">
        <f t="shared" si="13"/>
        <v>7000</v>
      </c>
      <c r="F54" s="79">
        <f t="shared" si="13"/>
        <v>7000</v>
      </c>
      <c r="G54" s="79">
        <f t="shared" si="13"/>
        <v>7000</v>
      </c>
      <c r="H54" s="79">
        <f t="shared" si="13"/>
        <v>7000</v>
      </c>
      <c r="I54" s="79">
        <f t="shared" si="13"/>
        <v>7000</v>
      </c>
      <c r="J54" s="79">
        <f t="shared" si="13"/>
        <v>7000</v>
      </c>
      <c r="K54" s="79">
        <f t="shared" si="13"/>
        <v>7000</v>
      </c>
      <c r="L54" s="79">
        <f t="shared" si="13"/>
        <v>7000</v>
      </c>
      <c r="M54" s="79">
        <f t="shared" si="13"/>
        <v>7000</v>
      </c>
      <c r="N54" s="79">
        <f t="shared" si="13"/>
        <v>7000</v>
      </c>
      <c r="O54" s="79">
        <f t="shared" si="13"/>
        <v>83500</v>
      </c>
    </row>
  </sheetData>
  <mergeCells count="12">
    <mergeCell ref="T22:T24"/>
    <mergeCell ref="U23:U24"/>
    <mergeCell ref="R26:S26"/>
    <mergeCell ref="A1:P1"/>
    <mergeCell ref="R1:S1"/>
    <mergeCell ref="B3:O3"/>
    <mergeCell ref="P5:P6"/>
    <mergeCell ref="R6:S6"/>
    <mergeCell ref="R10:S10"/>
    <mergeCell ref="B13:O13"/>
    <mergeCell ref="R15:S15"/>
    <mergeCell ref="R21:S21"/>
  </mergeCells>
  <pageMargins left="0.7" right="0.7" top="0.78740157499999996" bottom="0.78740157499999996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workbookViewId="0">
      <selection activeCell="C15" sqref="C15:N15"/>
    </sheetView>
  </sheetViews>
  <sheetFormatPr baseColWidth="10" defaultRowHeight="14" x14ac:dyDescent="0"/>
  <cols>
    <col min="1" max="1" width="10.83203125" style="37"/>
    <col min="2" max="2" width="11.83203125" style="37" customWidth="1"/>
    <col min="3" max="14" width="9.5" style="37" customWidth="1"/>
    <col min="15" max="15" width="10.83203125" style="37"/>
    <col min="16" max="16" width="9.83203125" style="37" customWidth="1"/>
    <col min="17" max="17" width="2.83203125" style="37" customWidth="1"/>
    <col min="18" max="18" width="29.5" style="37" bestFit="1" customWidth="1"/>
    <col min="19" max="19" width="10.83203125" style="37"/>
    <col min="20" max="20" width="10.33203125" style="37" bestFit="1" customWidth="1"/>
    <col min="21" max="21" width="23.5" style="37" bestFit="1" customWidth="1"/>
    <col min="22" max="22" width="25.83203125" style="37" customWidth="1"/>
    <col min="23" max="16384" width="10.83203125" style="37"/>
  </cols>
  <sheetData>
    <row r="1" spans="1:22" ht="25">
      <c r="A1" s="92">
        <v>2030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2"/>
      <c r="R1" s="93" t="s">
        <v>28</v>
      </c>
      <c r="S1" s="94"/>
    </row>
    <row r="2" spans="1:22">
      <c r="Q2" s="2"/>
      <c r="R2" s="14" t="s">
        <v>83</v>
      </c>
      <c r="S2" s="15">
        <v>0</v>
      </c>
    </row>
    <row r="3" spans="1:22" ht="25">
      <c r="B3" s="96" t="s">
        <v>37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Q3" s="2"/>
      <c r="R3" s="112" t="s">
        <v>86</v>
      </c>
      <c r="S3" s="49">
        <f>'2029'!S3</f>
        <v>10000</v>
      </c>
    </row>
    <row r="4" spans="1:22" ht="15" thickBot="1">
      <c r="B4" s="5"/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27</v>
      </c>
      <c r="L4" s="5" t="s">
        <v>10</v>
      </c>
      <c r="M4" s="5" t="s">
        <v>26</v>
      </c>
      <c r="N4" s="5" t="s">
        <v>25</v>
      </c>
      <c r="O4" s="5" t="s">
        <v>11</v>
      </c>
      <c r="Q4" s="2"/>
      <c r="R4" s="16" t="s">
        <v>24</v>
      </c>
      <c r="S4" s="36">
        <f>'2029'!S4</f>
        <v>9.0999999999999998E-2</v>
      </c>
    </row>
    <row r="5" spans="1:22" ht="15" thickBot="1">
      <c r="B5" s="3" t="s">
        <v>13</v>
      </c>
      <c r="C5" s="37">
        <v>5000</v>
      </c>
      <c r="D5" s="37">
        <v>1000</v>
      </c>
      <c r="E5" s="37">
        <v>1000</v>
      </c>
      <c r="F5" s="37">
        <v>1000</v>
      </c>
      <c r="G5" s="37">
        <v>1000</v>
      </c>
      <c r="H5" s="37">
        <v>1000</v>
      </c>
      <c r="I5" s="37">
        <v>1000</v>
      </c>
      <c r="J5" s="37">
        <v>1000</v>
      </c>
      <c r="K5" s="37">
        <v>1000</v>
      </c>
      <c r="L5" s="37">
        <v>1000</v>
      </c>
      <c r="M5" s="37">
        <v>1000</v>
      </c>
      <c r="N5" s="37">
        <v>1000</v>
      </c>
      <c r="O5" s="5">
        <f t="shared" ref="O5:O7" si="0">SUM(C5:N5)</f>
        <v>16000</v>
      </c>
      <c r="P5" s="103">
        <f>O6+O5</f>
        <v>71500</v>
      </c>
      <c r="Q5" s="2"/>
    </row>
    <row r="6" spans="1:22" ht="15" thickTop="1">
      <c r="B6" s="4" t="s">
        <v>14</v>
      </c>
      <c r="C6" s="37">
        <v>500</v>
      </c>
      <c r="D6" s="37">
        <v>5000</v>
      </c>
      <c r="E6" s="37">
        <v>5000</v>
      </c>
      <c r="F6" s="37">
        <v>5000</v>
      </c>
      <c r="G6" s="37">
        <v>5000</v>
      </c>
      <c r="H6" s="37">
        <v>5000</v>
      </c>
      <c r="I6" s="37">
        <v>5000</v>
      </c>
      <c r="J6" s="37">
        <v>5000</v>
      </c>
      <c r="K6" s="37">
        <v>5000</v>
      </c>
      <c r="L6" s="37">
        <v>5000</v>
      </c>
      <c r="M6" s="37">
        <v>5000</v>
      </c>
      <c r="N6" s="37">
        <v>5000</v>
      </c>
      <c r="O6" s="5">
        <f t="shared" si="0"/>
        <v>55500</v>
      </c>
      <c r="P6" s="103"/>
      <c r="Q6" s="2"/>
      <c r="R6" s="104" t="s">
        <v>29</v>
      </c>
      <c r="S6" s="105"/>
      <c r="U6" s="55" t="s">
        <v>36</v>
      </c>
      <c r="V6" s="56" t="s">
        <v>53</v>
      </c>
    </row>
    <row r="7" spans="1:22" ht="15" thickBot="1">
      <c r="B7" s="8" t="s">
        <v>16</v>
      </c>
      <c r="C7" s="9">
        <v>1000</v>
      </c>
      <c r="D7" s="9">
        <v>1000</v>
      </c>
      <c r="E7" s="9">
        <v>1000</v>
      </c>
      <c r="F7" s="9">
        <v>1000</v>
      </c>
      <c r="G7" s="9">
        <v>1000</v>
      </c>
      <c r="H7" s="9">
        <v>1000</v>
      </c>
      <c r="I7" s="9">
        <v>1000</v>
      </c>
      <c r="J7" s="9">
        <v>1000</v>
      </c>
      <c r="K7" s="9">
        <v>1000</v>
      </c>
      <c r="L7" s="9">
        <v>1000</v>
      </c>
      <c r="M7" s="9">
        <v>1000</v>
      </c>
      <c r="N7" s="9">
        <v>1000</v>
      </c>
      <c r="O7" s="54">
        <f t="shared" si="0"/>
        <v>12000</v>
      </c>
      <c r="Q7" s="12"/>
      <c r="R7" s="17" t="s">
        <v>35</v>
      </c>
      <c r="S7" s="82">
        <f>'2029'!U7</f>
        <v>11149755.431238629</v>
      </c>
      <c r="T7" s="11"/>
      <c r="U7" s="57">
        <f>S7-T22</f>
        <v>11137743.431238629</v>
      </c>
      <c r="V7" s="60">
        <f>U7/T22</f>
        <v>927.21806786868376</v>
      </c>
    </row>
    <row r="8" spans="1:22" ht="16" thickTop="1" thickBot="1">
      <c r="B8" s="33" t="s">
        <v>12</v>
      </c>
      <c r="C8" s="33">
        <f t="shared" ref="C8:O8" si="1">SUM(C5:C7)</f>
        <v>6500</v>
      </c>
      <c r="D8" s="33">
        <f t="shared" si="1"/>
        <v>7000</v>
      </c>
      <c r="E8" s="33">
        <f t="shared" si="1"/>
        <v>7000</v>
      </c>
      <c r="F8" s="33">
        <f t="shared" si="1"/>
        <v>7000</v>
      </c>
      <c r="G8" s="33">
        <f t="shared" si="1"/>
        <v>7000</v>
      </c>
      <c r="H8" s="33">
        <f t="shared" si="1"/>
        <v>7000</v>
      </c>
      <c r="I8" s="33">
        <f t="shared" si="1"/>
        <v>7000</v>
      </c>
      <c r="J8" s="33">
        <f t="shared" si="1"/>
        <v>7000</v>
      </c>
      <c r="K8" s="33">
        <f t="shared" si="1"/>
        <v>7000</v>
      </c>
      <c r="L8" s="33">
        <f t="shared" si="1"/>
        <v>7000</v>
      </c>
      <c r="M8" s="33">
        <f t="shared" si="1"/>
        <v>7000</v>
      </c>
      <c r="N8" s="34">
        <f t="shared" si="1"/>
        <v>7000</v>
      </c>
      <c r="O8" s="33">
        <f t="shared" si="1"/>
        <v>83500</v>
      </c>
      <c r="Q8" s="12"/>
      <c r="R8" s="18" t="s">
        <v>34</v>
      </c>
      <c r="S8" s="83">
        <f>'2029'!U8</f>
        <v>4627100.6185151516</v>
      </c>
      <c r="T8" s="11"/>
      <c r="U8" s="58">
        <f>S8-((O6*S2)-O16*S4)</f>
        <v>4627783.1185151516</v>
      </c>
      <c r="V8" s="61">
        <f>U8/U9</f>
        <v>-6780.6346058830059</v>
      </c>
    </row>
    <row r="9" spans="1:22" ht="15" thickBot="1">
      <c r="B9" s="41" t="s">
        <v>40</v>
      </c>
      <c r="C9" s="42">
        <f t="shared" ref="C9:N9" si="2">IF(C8&gt;0,(C5+C6)/C8,"")</f>
        <v>0.84615384615384615</v>
      </c>
      <c r="D9" s="42">
        <f t="shared" si="2"/>
        <v>0.8571428571428571</v>
      </c>
      <c r="E9" s="42">
        <f t="shared" si="2"/>
        <v>0.8571428571428571</v>
      </c>
      <c r="F9" s="42">
        <f t="shared" si="2"/>
        <v>0.8571428571428571</v>
      </c>
      <c r="G9" s="42">
        <f t="shared" si="2"/>
        <v>0.8571428571428571</v>
      </c>
      <c r="H9" s="42">
        <f t="shared" si="2"/>
        <v>0.8571428571428571</v>
      </c>
      <c r="I9" s="42">
        <f t="shared" si="2"/>
        <v>0.8571428571428571</v>
      </c>
      <c r="J9" s="42">
        <f t="shared" si="2"/>
        <v>0.8571428571428571</v>
      </c>
      <c r="K9" s="42">
        <f t="shared" si="2"/>
        <v>0.8571428571428571</v>
      </c>
      <c r="L9" s="42">
        <f t="shared" si="2"/>
        <v>0.8571428571428571</v>
      </c>
      <c r="M9" s="42">
        <f t="shared" si="2"/>
        <v>0.8571428571428571</v>
      </c>
      <c r="N9" s="42">
        <f t="shared" si="2"/>
        <v>0.8571428571428571</v>
      </c>
      <c r="O9" s="46">
        <f>(O5+O6)/O8</f>
        <v>0.85628742514970058</v>
      </c>
      <c r="Q9" s="2"/>
      <c r="U9" s="65">
        <f>S8-U8</f>
        <v>-682.5</v>
      </c>
    </row>
    <row r="10" spans="1:22">
      <c r="B10" s="43" t="s">
        <v>41</v>
      </c>
      <c r="C10" s="40">
        <f t="shared" ref="C10:O10" si="3">IF(C8&gt;0,(C5+C6)/C18,"")</f>
        <v>0.11695657721260579</v>
      </c>
      <c r="D10" s="40">
        <f t="shared" si="3"/>
        <v>9.5348578511608689E-2</v>
      </c>
      <c r="E10" s="40">
        <f t="shared" si="3"/>
        <v>5.957345406886691E-2</v>
      </c>
      <c r="F10" s="40">
        <f t="shared" si="3"/>
        <v>4.4987628402189395E-2</v>
      </c>
      <c r="G10" s="40">
        <f t="shared" si="3"/>
        <v>3.7766727513060996E-2</v>
      </c>
      <c r="H10" s="40">
        <f t="shared" si="3"/>
        <v>3.5855145213338116E-2</v>
      </c>
      <c r="I10" s="40">
        <f t="shared" si="3"/>
        <v>3.5366306519778609E-2</v>
      </c>
      <c r="J10" s="40">
        <f t="shared" si="3"/>
        <v>4.2042126210462882E-2</v>
      </c>
      <c r="K10" s="40">
        <f t="shared" si="3"/>
        <v>5.3049459779667914E-2</v>
      </c>
      <c r="L10" s="40">
        <f t="shared" si="3"/>
        <v>6.9679936823523941E-2</v>
      </c>
      <c r="M10" s="40">
        <f t="shared" si="3"/>
        <v>0.13226930029540143</v>
      </c>
      <c r="N10" s="40">
        <f t="shared" si="3"/>
        <v>0.16237280796709244</v>
      </c>
      <c r="O10" s="47">
        <f t="shared" si="3"/>
        <v>5.6560191118072367E-2</v>
      </c>
      <c r="Q10" s="2"/>
      <c r="R10" s="97" t="s">
        <v>30</v>
      </c>
      <c r="S10" s="98"/>
    </row>
    <row r="11" spans="1:22" ht="15" thickBot="1">
      <c r="B11" s="44" t="s">
        <v>42</v>
      </c>
      <c r="C11" s="45">
        <f t="shared" ref="C11:N11" si="4">IF(C8&gt;0,C5*$S$2+C6*$S$2+C17*$S$4,"")</f>
        <v>1001</v>
      </c>
      <c r="D11" s="45">
        <f t="shared" si="4"/>
        <v>1001</v>
      </c>
      <c r="E11" s="45">
        <f t="shared" si="4"/>
        <v>1001</v>
      </c>
      <c r="F11" s="45">
        <f t="shared" si="4"/>
        <v>1001</v>
      </c>
      <c r="G11" s="45">
        <f t="shared" si="4"/>
        <v>1001</v>
      </c>
      <c r="H11" s="45">
        <f t="shared" si="4"/>
        <v>1001</v>
      </c>
      <c r="I11" s="45">
        <f t="shared" si="4"/>
        <v>1001</v>
      </c>
      <c r="J11" s="45">
        <f t="shared" si="4"/>
        <v>1001</v>
      </c>
      <c r="K11" s="45">
        <f t="shared" si="4"/>
        <v>1001</v>
      </c>
      <c r="L11" s="45">
        <f t="shared" si="4"/>
        <v>1001</v>
      </c>
      <c r="M11" s="45">
        <f t="shared" si="4"/>
        <v>1001</v>
      </c>
      <c r="N11" s="45">
        <f t="shared" si="4"/>
        <v>1001</v>
      </c>
      <c r="O11" s="48">
        <f>SUM(C11:N11)</f>
        <v>12012</v>
      </c>
      <c r="Q11" s="2"/>
      <c r="R11" s="19" t="s">
        <v>0</v>
      </c>
      <c r="S11" s="20">
        <f>P5/O8</f>
        <v>0.85628742514970058</v>
      </c>
    </row>
    <row r="12" spans="1:22" ht="15" thickBot="1">
      <c r="Q12" s="2"/>
      <c r="R12" s="21" t="s">
        <v>1</v>
      </c>
      <c r="S12" s="22">
        <f>P5/O18</f>
        <v>5.6560191118072367E-2</v>
      </c>
    </row>
    <row r="13" spans="1:22" ht="25">
      <c r="B13" s="95" t="s">
        <v>38</v>
      </c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Q13" s="2"/>
    </row>
    <row r="14" spans="1:22" ht="15" thickBot="1">
      <c r="B14" s="5"/>
      <c r="C14" s="5" t="s">
        <v>2</v>
      </c>
      <c r="D14" s="5" t="s">
        <v>3</v>
      </c>
      <c r="E14" s="5" t="s">
        <v>4</v>
      </c>
      <c r="F14" s="5" t="s">
        <v>5</v>
      </c>
      <c r="G14" s="5" t="s">
        <v>6</v>
      </c>
      <c r="H14" s="5" t="s">
        <v>7</v>
      </c>
      <c r="I14" s="5" t="s">
        <v>8</v>
      </c>
      <c r="J14" s="5" t="s">
        <v>9</v>
      </c>
      <c r="K14" s="5" t="s">
        <v>27</v>
      </c>
      <c r="L14" s="5" t="s">
        <v>10</v>
      </c>
      <c r="M14" s="5" t="s">
        <v>26</v>
      </c>
      <c r="N14" s="5" t="s">
        <v>25</v>
      </c>
      <c r="O14" s="5" t="s">
        <v>11</v>
      </c>
      <c r="Q14" s="2"/>
      <c r="S14" s="11"/>
    </row>
    <row r="15" spans="1:22">
      <c r="B15" s="3" t="s">
        <v>13</v>
      </c>
      <c r="C15" s="123">
        <v>35401</v>
      </c>
      <c r="D15" s="123">
        <v>51302</v>
      </c>
      <c r="E15" s="123">
        <v>89091</v>
      </c>
      <c r="F15" s="123">
        <v>121745</v>
      </c>
      <c r="G15" s="123">
        <v>147245</v>
      </c>
      <c r="H15" s="123">
        <v>155715</v>
      </c>
      <c r="I15" s="123">
        <v>158028</v>
      </c>
      <c r="J15" s="123">
        <v>131089</v>
      </c>
      <c r="K15" s="123">
        <v>101477</v>
      </c>
      <c r="L15" s="123">
        <v>74483</v>
      </c>
      <c r="M15" s="123">
        <v>33737</v>
      </c>
      <c r="N15" s="123">
        <v>25327</v>
      </c>
      <c r="O15" s="5">
        <f t="shared" ref="O15:O17" si="5">SUM(C15:N15)</f>
        <v>1124640</v>
      </c>
      <c r="Q15" s="2"/>
      <c r="R15" s="99" t="s">
        <v>31</v>
      </c>
      <c r="S15" s="100"/>
    </row>
    <row r="16" spans="1:22">
      <c r="B16" s="1" t="s">
        <v>15</v>
      </c>
      <c r="C16" s="37">
        <v>625</v>
      </c>
      <c r="D16" s="37">
        <v>625</v>
      </c>
      <c r="E16" s="37">
        <v>625</v>
      </c>
      <c r="F16" s="37">
        <v>625</v>
      </c>
      <c r="G16" s="37">
        <v>625</v>
      </c>
      <c r="H16" s="37">
        <v>625</v>
      </c>
      <c r="I16" s="37">
        <v>625</v>
      </c>
      <c r="J16" s="37">
        <v>625</v>
      </c>
      <c r="K16" s="37">
        <v>625</v>
      </c>
      <c r="L16" s="37">
        <v>625</v>
      </c>
      <c r="M16" s="37">
        <v>625</v>
      </c>
      <c r="N16" s="37">
        <v>625</v>
      </c>
      <c r="O16" s="5">
        <f t="shared" si="5"/>
        <v>7500</v>
      </c>
      <c r="Q16" s="2"/>
      <c r="R16" s="23" t="s">
        <v>19</v>
      </c>
      <c r="S16" s="24">
        <f>O16</f>
        <v>7500</v>
      </c>
      <c r="U16" s="59" t="s">
        <v>48</v>
      </c>
    </row>
    <row r="17" spans="2:21" ht="15" thickBot="1">
      <c r="B17" s="10" t="s">
        <v>17</v>
      </c>
      <c r="C17" s="9">
        <v>11000</v>
      </c>
      <c r="D17" s="9">
        <v>11000</v>
      </c>
      <c r="E17" s="9">
        <v>11000</v>
      </c>
      <c r="F17" s="9">
        <v>11000</v>
      </c>
      <c r="G17" s="9">
        <v>11000</v>
      </c>
      <c r="H17" s="9">
        <v>11000</v>
      </c>
      <c r="I17" s="9">
        <v>11000</v>
      </c>
      <c r="J17" s="9">
        <v>11000</v>
      </c>
      <c r="K17" s="9">
        <v>11000</v>
      </c>
      <c r="L17" s="9">
        <v>11000</v>
      </c>
      <c r="M17" s="9">
        <v>11000</v>
      </c>
      <c r="N17" s="9">
        <v>11000</v>
      </c>
      <c r="O17" s="54">
        <f t="shared" si="5"/>
        <v>132000</v>
      </c>
      <c r="Q17" s="2"/>
      <c r="R17" s="23" t="s">
        <v>18</v>
      </c>
      <c r="S17" s="24">
        <f>O6</f>
        <v>55500</v>
      </c>
      <c r="U17" s="66" t="s">
        <v>49</v>
      </c>
    </row>
    <row r="18" spans="2:21" ht="16" thickTop="1" thickBot="1">
      <c r="B18" s="6" t="s">
        <v>12</v>
      </c>
      <c r="C18" s="6">
        <f>SUM(C15:C17)</f>
        <v>47026</v>
      </c>
      <c r="D18" s="6">
        <f t="shared" ref="D18:N18" si="6">SUM(D15:D17)</f>
        <v>62927</v>
      </c>
      <c r="E18" s="6">
        <f t="shared" si="6"/>
        <v>100716</v>
      </c>
      <c r="F18" s="6">
        <f t="shared" si="6"/>
        <v>133370</v>
      </c>
      <c r="G18" s="6">
        <f t="shared" si="6"/>
        <v>158870</v>
      </c>
      <c r="H18" s="6">
        <f t="shared" si="6"/>
        <v>167340</v>
      </c>
      <c r="I18" s="6">
        <f t="shared" si="6"/>
        <v>169653</v>
      </c>
      <c r="J18" s="6">
        <f t="shared" si="6"/>
        <v>142714</v>
      </c>
      <c r="K18" s="6">
        <f t="shared" si="6"/>
        <v>113102</v>
      </c>
      <c r="L18" s="6">
        <f t="shared" si="6"/>
        <v>86108</v>
      </c>
      <c r="M18" s="6">
        <f t="shared" si="6"/>
        <v>45362</v>
      </c>
      <c r="N18" s="7">
        <f t="shared" si="6"/>
        <v>36952</v>
      </c>
      <c r="O18" s="6">
        <f>SUM(O15:O17)</f>
        <v>1264140</v>
      </c>
      <c r="Q18" s="2"/>
      <c r="R18" s="23" t="s">
        <v>20</v>
      </c>
      <c r="S18" s="24">
        <f>100/S16*S17</f>
        <v>740</v>
      </c>
      <c r="U18" s="59" t="s">
        <v>50</v>
      </c>
    </row>
    <row r="19" spans="2:21" ht="15" thickBot="1">
      <c r="B19" s="41" t="s">
        <v>44</v>
      </c>
      <c r="C19" s="50">
        <f>IF(C18&gt;0,C18/$S$3,"")</f>
        <v>4.7026000000000003</v>
      </c>
      <c r="D19" s="50">
        <f t="shared" ref="D19:N19" si="7">IF(D18&gt;0,D18/$S$3,"")</f>
        <v>6.2927</v>
      </c>
      <c r="E19" s="50">
        <f t="shared" si="7"/>
        <v>10.0716</v>
      </c>
      <c r="F19" s="50">
        <f t="shared" si="7"/>
        <v>13.337</v>
      </c>
      <c r="G19" s="50">
        <f t="shared" si="7"/>
        <v>15.887</v>
      </c>
      <c r="H19" s="50">
        <f t="shared" si="7"/>
        <v>16.734000000000002</v>
      </c>
      <c r="I19" s="50">
        <f t="shared" si="7"/>
        <v>16.965299999999999</v>
      </c>
      <c r="J19" s="50">
        <f t="shared" si="7"/>
        <v>14.2714</v>
      </c>
      <c r="K19" s="50">
        <f t="shared" si="7"/>
        <v>11.3102</v>
      </c>
      <c r="L19" s="50">
        <f t="shared" si="7"/>
        <v>8.6107999999999993</v>
      </c>
      <c r="M19" s="50">
        <f t="shared" si="7"/>
        <v>4.5362</v>
      </c>
      <c r="N19" s="50">
        <f t="shared" si="7"/>
        <v>3.6951999999999998</v>
      </c>
      <c r="O19" s="53">
        <f>SUM(C19:N19)</f>
        <v>126.41399999999999</v>
      </c>
      <c r="Q19" s="2"/>
      <c r="R19" s="25" t="s">
        <v>21</v>
      </c>
      <c r="S19" s="26">
        <f>100-S18</f>
        <v>-640</v>
      </c>
    </row>
    <row r="20" spans="2:21" ht="15" thickBot="1">
      <c r="B20" s="43" t="s">
        <v>46</v>
      </c>
      <c r="C20" s="51">
        <f>IF(C8&gt;0,C16/31,"")</f>
        <v>20.161290322580644</v>
      </c>
      <c r="D20" s="51">
        <f>IF(D8&gt;0,D16/28,"")</f>
        <v>22.321428571428573</v>
      </c>
      <c r="E20" s="51">
        <f>IF(E8&gt;0,E16/31,"")</f>
        <v>20.161290322580644</v>
      </c>
      <c r="F20" s="51">
        <f>IF(F8&gt;0,F16/30,"")</f>
        <v>20.833333333333332</v>
      </c>
      <c r="G20" s="51">
        <f>IF(G8&gt;0,G16/31,"")</f>
        <v>20.161290322580644</v>
      </c>
      <c r="H20" s="51">
        <f>IF(H8&gt;0,H16/30,"")</f>
        <v>20.833333333333332</v>
      </c>
      <c r="I20" s="51">
        <f>IF(I8&gt;0,I16/31,"")</f>
        <v>20.161290322580644</v>
      </c>
      <c r="J20" s="51">
        <f>IF(J8&gt;0,J16/31,"")</f>
        <v>20.161290322580644</v>
      </c>
      <c r="K20" s="51">
        <f>IF(K8&gt;0,K16/30,"")</f>
        <v>20.833333333333332</v>
      </c>
      <c r="L20" s="51">
        <f>IF(L8&gt;0,L16/31,"")</f>
        <v>20.161290322580644</v>
      </c>
      <c r="M20" s="51">
        <f>IF(M8&gt;0,M16/30,"")</f>
        <v>20.833333333333332</v>
      </c>
      <c r="N20" s="51">
        <f>IF(N8&gt;0,N16/31,"")</f>
        <v>20.161290322580644</v>
      </c>
      <c r="O20" s="52">
        <f>SUM(C20:N20)/COUNT(C20:N20)</f>
        <v>20.565316180235534</v>
      </c>
      <c r="Q20" s="2"/>
    </row>
    <row r="21" spans="2:21" ht="15" thickBot="1">
      <c r="B21" s="43" t="s">
        <v>47</v>
      </c>
      <c r="C21" s="40">
        <f>IF(C18&gt;0,C17/C18,"")</f>
        <v>0.23391315442521157</v>
      </c>
      <c r="D21" s="40">
        <f t="shared" ref="D21:N21" si="8">IF(D18&gt;0,D17/D18,"")</f>
        <v>0.1748057272712826</v>
      </c>
      <c r="E21" s="40">
        <f t="shared" si="8"/>
        <v>0.109217999126256</v>
      </c>
      <c r="F21" s="40">
        <f t="shared" si="8"/>
        <v>8.2477318737347233E-2</v>
      </c>
      <c r="G21" s="40">
        <f t="shared" si="8"/>
        <v>6.923900044061182E-2</v>
      </c>
      <c r="H21" s="40">
        <f t="shared" si="8"/>
        <v>6.5734432891119882E-2</v>
      </c>
      <c r="I21" s="40">
        <f t="shared" si="8"/>
        <v>6.483822861959411E-2</v>
      </c>
      <c r="J21" s="40">
        <f t="shared" si="8"/>
        <v>7.7077231385848627E-2</v>
      </c>
      <c r="K21" s="40">
        <f t="shared" si="8"/>
        <v>9.7257342929391172E-2</v>
      </c>
      <c r="L21" s="40">
        <f t="shared" si="8"/>
        <v>0.12774655084312725</v>
      </c>
      <c r="M21" s="40">
        <f t="shared" si="8"/>
        <v>0.24249371720823598</v>
      </c>
      <c r="N21" s="40">
        <f t="shared" si="8"/>
        <v>0.29768348127300281</v>
      </c>
      <c r="O21" s="47">
        <f>O17/O18</f>
        <v>0.1044188143718259</v>
      </c>
      <c r="Q21" s="2"/>
      <c r="R21" s="101" t="s">
        <v>32</v>
      </c>
      <c r="S21" s="102"/>
    </row>
    <row r="22" spans="2:21" ht="15" thickBot="1">
      <c r="B22" s="44" t="s">
        <v>51</v>
      </c>
      <c r="C22" s="74">
        <f t="shared" ref="C22:O22" si="9">IF(C8&gt;0,100/C16*C6-100,"")</f>
        <v>-20</v>
      </c>
      <c r="D22" s="74">
        <f t="shared" si="9"/>
        <v>700</v>
      </c>
      <c r="E22" s="74">
        <f t="shared" si="9"/>
        <v>700</v>
      </c>
      <c r="F22" s="74">
        <f t="shared" si="9"/>
        <v>700</v>
      </c>
      <c r="G22" s="74">
        <f t="shared" si="9"/>
        <v>700</v>
      </c>
      <c r="H22" s="74">
        <f t="shared" si="9"/>
        <v>700</v>
      </c>
      <c r="I22" s="74">
        <f t="shared" si="9"/>
        <v>700</v>
      </c>
      <c r="J22" s="74">
        <f t="shared" si="9"/>
        <v>700</v>
      </c>
      <c r="K22" s="74">
        <f t="shared" si="9"/>
        <v>700</v>
      </c>
      <c r="L22" s="74">
        <f t="shared" si="9"/>
        <v>700</v>
      </c>
      <c r="M22" s="74">
        <f t="shared" si="9"/>
        <v>700</v>
      </c>
      <c r="N22" s="74">
        <f t="shared" si="9"/>
        <v>700</v>
      </c>
      <c r="O22" s="75">
        <f t="shared" si="9"/>
        <v>640</v>
      </c>
      <c r="Q22" s="2"/>
      <c r="R22" s="27" t="s">
        <v>22</v>
      </c>
      <c r="S22" s="28">
        <f>O5*S2</f>
        <v>0</v>
      </c>
      <c r="T22" s="106">
        <f>SUM(S22:S24)</f>
        <v>12012</v>
      </c>
      <c r="U22" s="39" t="s">
        <v>43</v>
      </c>
    </row>
    <row r="23" spans="2:21">
      <c r="Q23" s="2"/>
      <c r="R23" s="27" t="s">
        <v>54</v>
      </c>
      <c r="S23" s="28">
        <f>O6*S2</f>
        <v>0</v>
      </c>
      <c r="T23" s="107"/>
      <c r="U23" s="85">
        <f>1/'2025'!S7*T22</f>
        <v>1.0010000000000002E-3</v>
      </c>
    </row>
    <row r="24" spans="2:21" ht="15" thickBot="1">
      <c r="Q24" s="2"/>
      <c r="R24" s="29" t="s">
        <v>24</v>
      </c>
      <c r="S24" s="30">
        <f>O17*S4</f>
        <v>12012</v>
      </c>
      <c r="T24" s="91"/>
      <c r="U24" s="86"/>
    </row>
    <row r="25" spans="2:21" ht="15" thickBot="1">
      <c r="Q25" s="2"/>
    </row>
    <row r="26" spans="2:21">
      <c r="Q26" s="2"/>
      <c r="R26" s="87" t="s">
        <v>33</v>
      </c>
      <c r="S26" s="88"/>
    </row>
    <row r="27" spans="2:21" ht="15" thickBot="1">
      <c r="Q27" s="2"/>
      <c r="R27" s="31" t="s">
        <v>23</v>
      </c>
      <c r="S27" s="32">
        <f>O7*S2</f>
        <v>0</v>
      </c>
      <c r="U27" s="38"/>
    </row>
    <row r="28" spans="2:21">
      <c r="Q28" s="2"/>
    </row>
    <row r="29" spans="2:21">
      <c r="Q29" s="2"/>
    </row>
    <row r="30" spans="2:21">
      <c r="Q30" s="2"/>
    </row>
    <row r="31" spans="2:21">
      <c r="Q31" s="2"/>
    </row>
    <row r="32" spans="2:21">
      <c r="Q32" s="2"/>
    </row>
    <row r="33" spans="2:17">
      <c r="Q33" s="2"/>
    </row>
    <row r="34" spans="2:17">
      <c r="Q34" s="2"/>
    </row>
    <row r="35" spans="2:17">
      <c r="Q35" s="2"/>
    </row>
    <row r="36" spans="2:17">
      <c r="Q36" s="2"/>
    </row>
    <row r="37" spans="2:17">
      <c r="Q37" s="2"/>
    </row>
    <row r="38" spans="2:17">
      <c r="Q38" s="2"/>
    </row>
    <row r="39" spans="2:17">
      <c r="Q39" s="2"/>
    </row>
    <row r="40" spans="2:17">
      <c r="Q40" s="2"/>
    </row>
    <row r="43" spans="2:17">
      <c r="B43" s="5" t="s">
        <v>65</v>
      </c>
      <c r="C43" s="5">
        <f>C8</f>
        <v>6500</v>
      </c>
      <c r="D43" s="5">
        <f t="shared" ref="D43:O43" si="10">D8</f>
        <v>7000</v>
      </c>
      <c r="E43" s="5">
        <f t="shared" si="10"/>
        <v>7000</v>
      </c>
      <c r="F43" s="5">
        <f t="shared" si="10"/>
        <v>7000</v>
      </c>
      <c r="G43" s="5">
        <f t="shared" si="10"/>
        <v>7000</v>
      </c>
      <c r="H43" s="5">
        <f t="shared" si="10"/>
        <v>7000</v>
      </c>
      <c r="I43" s="5">
        <f t="shared" si="10"/>
        <v>7000</v>
      </c>
      <c r="J43" s="5">
        <f t="shared" si="10"/>
        <v>7000</v>
      </c>
      <c r="K43" s="5">
        <f t="shared" si="10"/>
        <v>7000</v>
      </c>
      <c r="L43" s="5">
        <f t="shared" si="10"/>
        <v>7000</v>
      </c>
      <c r="M43" s="5">
        <f t="shared" si="10"/>
        <v>7000</v>
      </c>
      <c r="N43" s="5">
        <f t="shared" si="10"/>
        <v>7000</v>
      </c>
      <c r="O43" s="5">
        <f t="shared" si="10"/>
        <v>83500</v>
      </c>
    </row>
    <row r="44" spans="2:17">
      <c r="B44" s="5" t="s">
        <v>62</v>
      </c>
      <c r="C44" s="5" t="s">
        <v>2</v>
      </c>
      <c r="D44" s="5" t="s">
        <v>3</v>
      </c>
      <c r="E44" s="5" t="s">
        <v>4</v>
      </c>
      <c r="F44" s="5" t="s">
        <v>5</v>
      </c>
      <c r="G44" s="5" t="s">
        <v>6</v>
      </c>
      <c r="H44" s="5" t="s">
        <v>7</v>
      </c>
      <c r="I44" s="5" t="s">
        <v>8</v>
      </c>
      <c r="J44" s="5" t="s">
        <v>9</v>
      </c>
      <c r="K44" s="5" t="s">
        <v>27</v>
      </c>
      <c r="L44" s="5" t="s">
        <v>10</v>
      </c>
      <c r="M44" s="5" t="s">
        <v>26</v>
      </c>
      <c r="N44" s="5" t="s">
        <v>25</v>
      </c>
      <c r="O44" s="5" t="s">
        <v>11</v>
      </c>
    </row>
    <row r="45" spans="2:17">
      <c r="B45" s="76" t="s">
        <v>63</v>
      </c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>
        <f>SUM(C45:N45)</f>
        <v>0</v>
      </c>
    </row>
    <row r="46" spans="2:17">
      <c r="B46" s="76" t="s">
        <v>64</v>
      </c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>
        <f t="shared" ref="O46:O53" si="11">SUM(C46:N46)</f>
        <v>0</v>
      </c>
    </row>
    <row r="47" spans="2:17">
      <c r="B47" s="76" t="s">
        <v>66</v>
      </c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>
        <f t="shared" si="11"/>
        <v>0</v>
      </c>
    </row>
    <row r="48" spans="2:17">
      <c r="B48" s="76" t="s">
        <v>67</v>
      </c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>
        <f t="shared" si="11"/>
        <v>0</v>
      </c>
    </row>
    <row r="49" spans="2:15">
      <c r="B49" s="76" t="s">
        <v>68</v>
      </c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>
        <f t="shared" si="11"/>
        <v>0</v>
      </c>
    </row>
    <row r="50" spans="2:15">
      <c r="B50" s="76" t="s">
        <v>69</v>
      </c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>
        <f t="shared" si="11"/>
        <v>0</v>
      </c>
    </row>
    <row r="51" spans="2:15">
      <c r="B51" s="76" t="s">
        <v>71</v>
      </c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>
        <f t="shared" si="11"/>
        <v>0</v>
      </c>
    </row>
    <row r="52" spans="2:15">
      <c r="B52" s="77" t="s">
        <v>72</v>
      </c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6">
        <f t="shared" si="11"/>
        <v>0</v>
      </c>
    </row>
    <row r="53" spans="2:15" ht="15" thickBot="1">
      <c r="B53" s="77" t="s">
        <v>70</v>
      </c>
      <c r="C53" s="77">
        <f>C43-C45-C46-C47-C48-C49-C50-C51-C52</f>
        <v>6500</v>
      </c>
      <c r="D53" s="77">
        <f t="shared" ref="D53:N53" si="12">D43-D45-D46-D47-D48-D49-D50-D51-D52</f>
        <v>7000</v>
      </c>
      <c r="E53" s="77">
        <f t="shared" si="12"/>
        <v>7000</v>
      </c>
      <c r="F53" s="77">
        <f>(F43-F45-F46-F47-F48-F49-F50-F51-F52)</f>
        <v>7000</v>
      </c>
      <c r="G53" s="77">
        <f t="shared" si="12"/>
        <v>7000</v>
      </c>
      <c r="H53" s="77">
        <f t="shared" si="12"/>
        <v>7000</v>
      </c>
      <c r="I53" s="77">
        <f t="shared" si="12"/>
        <v>7000</v>
      </c>
      <c r="J53" s="77">
        <f t="shared" si="12"/>
        <v>7000</v>
      </c>
      <c r="K53" s="77">
        <f t="shared" si="12"/>
        <v>7000</v>
      </c>
      <c r="L53" s="77">
        <f t="shared" si="12"/>
        <v>7000</v>
      </c>
      <c r="M53" s="77">
        <f t="shared" si="12"/>
        <v>7000</v>
      </c>
      <c r="N53" s="77">
        <f t="shared" si="12"/>
        <v>7000</v>
      </c>
      <c r="O53" s="76">
        <f t="shared" si="11"/>
        <v>83500</v>
      </c>
    </row>
    <row r="54" spans="2:15" ht="15" thickBot="1">
      <c r="B54" s="78" t="s">
        <v>11</v>
      </c>
      <c r="C54" s="79">
        <f>SUM(C45:C53)</f>
        <v>6500</v>
      </c>
      <c r="D54" s="79">
        <f t="shared" ref="D54:O54" si="13">SUM(D45:D53)</f>
        <v>7000</v>
      </c>
      <c r="E54" s="79">
        <f t="shared" si="13"/>
        <v>7000</v>
      </c>
      <c r="F54" s="79">
        <f t="shared" si="13"/>
        <v>7000</v>
      </c>
      <c r="G54" s="79">
        <f t="shared" si="13"/>
        <v>7000</v>
      </c>
      <c r="H54" s="79">
        <f t="shared" si="13"/>
        <v>7000</v>
      </c>
      <c r="I54" s="79">
        <f t="shared" si="13"/>
        <v>7000</v>
      </c>
      <c r="J54" s="79">
        <f t="shared" si="13"/>
        <v>7000</v>
      </c>
      <c r="K54" s="79">
        <f t="shared" si="13"/>
        <v>7000</v>
      </c>
      <c r="L54" s="79">
        <f t="shared" si="13"/>
        <v>7000</v>
      </c>
      <c r="M54" s="79">
        <f t="shared" si="13"/>
        <v>7000</v>
      </c>
      <c r="N54" s="79">
        <f t="shared" si="13"/>
        <v>7000</v>
      </c>
      <c r="O54" s="79">
        <f t="shared" si="13"/>
        <v>83500</v>
      </c>
    </row>
  </sheetData>
  <mergeCells count="12">
    <mergeCell ref="T22:T24"/>
    <mergeCell ref="U23:U24"/>
    <mergeCell ref="R26:S26"/>
    <mergeCell ref="A1:P1"/>
    <mergeCell ref="R1:S1"/>
    <mergeCell ref="B3:O3"/>
    <mergeCell ref="P5:P6"/>
    <mergeCell ref="R6:S6"/>
    <mergeCell ref="R10:S10"/>
    <mergeCell ref="B13:O13"/>
    <mergeCell ref="R15:S15"/>
    <mergeCell ref="R21:S21"/>
  </mergeCells>
  <pageMargins left="0.7" right="0.7" top="0.78740157499999996" bottom="0.78740157499999996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workbookViewId="0">
      <selection activeCell="C15" sqref="C15:N15"/>
    </sheetView>
  </sheetViews>
  <sheetFormatPr baseColWidth="10" defaultRowHeight="14" x14ac:dyDescent="0"/>
  <cols>
    <col min="1" max="1" width="10.83203125" style="37"/>
    <col min="2" max="2" width="11.83203125" style="37" customWidth="1"/>
    <col min="3" max="14" width="9.5" style="37" customWidth="1"/>
    <col min="15" max="15" width="10.83203125" style="37"/>
    <col min="16" max="16" width="9.83203125" style="37" customWidth="1"/>
    <col min="17" max="17" width="2.83203125" style="37" customWidth="1"/>
    <col min="18" max="18" width="29.5" style="37" bestFit="1" customWidth="1"/>
    <col min="19" max="19" width="10.83203125" style="37"/>
    <col min="20" max="20" width="10.33203125" style="37" bestFit="1" customWidth="1"/>
    <col min="21" max="21" width="23.5" style="37" bestFit="1" customWidth="1"/>
    <col min="22" max="22" width="25.83203125" style="37" customWidth="1"/>
    <col min="23" max="16384" width="10.83203125" style="37"/>
  </cols>
  <sheetData>
    <row r="1" spans="1:22" ht="25">
      <c r="A1" s="92">
        <v>2031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2"/>
      <c r="R1" s="93" t="s">
        <v>28</v>
      </c>
      <c r="S1" s="94"/>
    </row>
    <row r="2" spans="1:22">
      <c r="Q2" s="2"/>
      <c r="R2" s="14" t="s">
        <v>82</v>
      </c>
      <c r="S2" s="15">
        <v>0</v>
      </c>
    </row>
    <row r="3" spans="1:22" ht="25">
      <c r="B3" s="96" t="s">
        <v>37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Q3" s="2"/>
      <c r="R3" s="112" t="s">
        <v>86</v>
      </c>
      <c r="S3" s="49">
        <f>'2030'!S3</f>
        <v>10000</v>
      </c>
    </row>
    <row r="4" spans="1:22" ht="15" thickBot="1">
      <c r="B4" s="5"/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27</v>
      </c>
      <c r="L4" s="5" t="s">
        <v>10</v>
      </c>
      <c r="M4" s="5" t="s">
        <v>26</v>
      </c>
      <c r="N4" s="5" t="s">
        <v>25</v>
      </c>
      <c r="O4" s="5" t="s">
        <v>11</v>
      </c>
      <c r="Q4" s="2"/>
      <c r="R4" s="16" t="s">
        <v>24</v>
      </c>
      <c r="S4" s="36">
        <f>'2030'!S4</f>
        <v>9.0999999999999998E-2</v>
      </c>
    </row>
    <row r="5" spans="1:22" ht="15" thickBot="1">
      <c r="B5" s="3" t="s">
        <v>13</v>
      </c>
      <c r="C5" s="37">
        <v>5000</v>
      </c>
      <c r="D5" s="37">
        <v>1000</v>
      </c>
      <c r="E5" s="37">
        <v>1000</v>
      </c>
      <c r="F5" s="37">
        <v>1000</v>
      </c>
      <c r="G5" s="37">
        <v>1000</v>
      </c>
      <c r="H5" s="37">
        <v>1000</v>
      </c>
      <c r="I5" s="37">
        <v>1000</v>
      </c>
      <c r="J5" s="37">
        <v>1000</v>
      </c>
      <c r="K5" s="37">
        <v>1000</v>
      </c>
      <c r="L5" s="37">
        <v>1000</v>
      </c>
      <c r="M5" s="37">
        <v>1000</v>
      </c>
      <c r="N5" s="37">
        <v>1000</v>
      </c>
      <c r="O5" s="5">
        <f t="shared" ref="O5:O7" si="0">SUM(C5:N5)</f>
        <v>16000</v>
      </c>
      <c r="P5" s="103">
        <f>O6+O5</f>
        <v>71500</v>
      </c>
      <c r="Q5" s="2"/>
    </row>
    <row r="6" spans="1:22" ht="15" thickTop="1">
      <c r="B6" s="4" t="s">
        <v>14</v>
      </c>
      <c r="C6" s="37">
        <v>500</v>
      </c>
      <c r="D6" s="37">
        <v>5000</v>
      </c>
      <c r="E6" s="37">
        <v>5000</v>
      </c>
      <c r="F6" s="37">
        <v>5000</v>
      </c>
      <c r="G6" s="37">
        <v>5000</v>
      </c>
      <c r="H6" s="37">
        <v>5000</v>
      </c>
      <c r="I6" s="37">
        <v>5000</v>
      </c>
      <c r="J6" s="37">
        <v>5000</v>
      </c>
      <c r="K6" s="37">
        <v>5000</v>
      </c>
      <c r="L6" s="37">
        <v>5000</v>
      </c>
      <c r="M6" s="37">
        <v>5000</v>
      </c>
      <c r="N6" s="37">
        <v>5000</v>
      </c>
      <c r="O6" s="5">
        <f t="shared" si="0"/>
        <v>55500</v>
      </c>
      <c r="P6" s="103"/>
      <c r="Q6" s="2"/>
      <c r="R6" s="104" t="s">
        <v>29</v>
      </c>
      <c r="S6" s="105"/>
      <c r="U6" s="55" t="s">
        <v>36</v>
      </c>
      <c r="V6" s="56" t="s">
        <v>53</v>
      </c>
    </row>
    <row r="7" spans="1:22" ht="15" thickBot="1">
      <c r="B7" s="8" t="s">
        <v>16</v>
      </c>
      <c r="C7" s="9">
        <v>1000</v>
      </c>
      <c r="D7" s="9">
        <v>1000</v>
      </c>
      <c r="E7" s="9">
        <v>1000</v>
      </c>
      <c r="F7" s="9">
        <v>1000</v>
      </c>
      <c r="G7" s="9">
        <v>1000</v>
      </c>
      <c r="H7" s="9">
        <v>1000</v>
      </c>
      <c r="I7" s="9">
        <v>1000</v>
      </c>
      <c r="J7" s="9">
        <v>1000</v>
      </c>
      <c r="K7" s="9">
        <v>1000</v>
      </c>
      <c r="L7" s="9">
        <v>1000</v>
      </c>
      <c r="M7" s="9">
        <v>1000</v>
      </c>
      <c r="N7" s="9">
        <v>1000</v>
      </c>
      <c r="O7" s="54">
        <f t="shared" si="0"/>
        <v>12000</v>
      </c>
      <c r="Q7" s="12"/>
      <c r="R7" s="17" t="s">
        <v>35</v>
      </c>
      <c r="S7" s="82">
        <f>'2030'!U7</f>
        <v>11137743.431238629</v>
      </c>
      <c r="T7" s="11"/>
      <c r="U7" s="57">
        <f>S7-T22</f>
        <v>11125731.431238629</v>
      </c>
      <c r="V7" s="60">
        <f>U7/T22</f>
        <v>926.21806786868376</v>
      </c>
    </row>
    <row r="8" spans="1:22" ht="16" thickTop="1" thickBot="1">
      <c r="B8" s="33" t="s">
        <v>12</v>
      </c>
      <c r="C8" s="33">
        <f t="shared" ref="C8:O8" si="1">SUM(C5:C7)</f>
        <v>6500</v>
      </c>
      <c r="D8" s="33">
        <f t="shared" si="1"/>
        <v>7000</v>
      </c>
      <c r="E8" s="33">
        <f t="shared" si="1"/>
        <v>7000</v>
      </c>
      <c r="F8" s="33">
        <f t="shared" si="1"/>
        <v>7000</v>
      </c>
      <c r="G8" s="33">
        <f t="shared" si="1"/>
        <v>7000</v>
      </c>
      <c r="H8" s="33">
        <f t="shared" si="1"/>
        <v>7000</v>
      </c>
      <c r="I8" s="33">
        <f t="shared" si="1"/>
        <v>7000</v>
      </c>
      <c r="J8" s="33">
        <f t="shared" si="1"/>
        <v>7000</v>
      </c>
      <c r="K8" s="33">
        <f t="shared" si="1"/>
        <v>7000</v>
      </c>
      <c r="L8" s="33">
        <f t="shared" si="1"/>
        <v>7000</v>
      </c>
      <c r="M8" s="33">
        <f t="shared" si="1"/>
        <v>7000</v>
      </c>
      <c r="N8" s="34">
        <f t="shared" si="1"/>
        <v>7000</v>
      </c>
      <c r="O8" s="33">
        <f t="shared" si="1"/>
        <v>83500</v>
      </c>
      <c r="Q8" s="12"/>
      <c r="R8" s="18" t="s">
        <v>34</v>
      </c>
      <c r="S8" s="83">
        <f>'2030'!U8</f>
        <v>4627783.1185151516</v>
      </c>
      <c r="T8" s="11"/>
      <c r="U8" s="58">
        <f>S8-((O6*S2)-O16*S4)</f>
        <v>4628465.6185151516</v>
      </c>
      <c r="V8" s="61">
        <f>U8/U9</f>
        <v>-6781.6346058830059</v>
      </c>
    </row>
    <row r="9" spans="1:22" ht="15" thickBot="1">
      <c r="B9" s="41" t="s">
        <v>40</v>
      </c>
      <c r="C9" s="42">
        <f t="shared" ref="C9:N9" si="2">IF(C8&gt;0,(C5+C6)/C8,"")</f>
        <v>0.84615384615384615</v>
      </c>
      <c r="D9" s="42">
        <f t="shared" si="2"/>
        <v>0.8571428571428571</v>
      </c>
      <c r="E9" s="42">
        <f t="shared" si="2"/>
        <v>0.8571428571428571</v>
      </c>
      <c r="F9" s="42">
        <f t="shared" si="2"/>
        <v>0.8571428571428571</v>
      </c>
      <c r="G9" s="42">
        <f t="shared" si="2"/>
        <v>0.8571428571428571</v>
      </c>
      <c r="H9" s="42">
        <f t="shared" si="2"/>
        <v>0.8571428571428571</v>
      </c>
      <c r="I9" s="42">
        <f t="shared" si="2"/>
        <v>0.8571428571428571</v>
      </c>
      <c r="J9" s="42">
        <f t="shared" si="2"/>
        <v>0.8571428571428571</v>
      </c>
      <c r="K9" s="42">
        <f t="shared" si="2"/>
        <v>0.8571428571428571</v>
      </c>
      <c r="L9" s="42">
        <f t="shared" si="2"/>
        <v>0.8571428571428571</v>
      </c>
      <c r="M9" s="42">
        <f t="shared" si="2"/>
        <v>0.8571428571428571</v>
      </c>
      <c r="N9" s="42">
        <f t="shared" si="2"/>
        <v>0.8571428571428571</v>
      </c>
      <c r="O9" s="46">
        <f>(O5+O6)/O8</f>
        <v>0.85628742514970058</v>
      </c>
      <c r="Q9" s="2"/>
      <c r="U9" s="65">
        <f>S8-U8</f>
        <v>-682.5</v>
      </c>
    </row>
    <row r="10" spans="1:22">
      <c r="B10" s="43" t="s">
        <v>41</v>
      </c>
      <c r="C10" s="40">
        <f t="shared" ref="C10:O10" si="3">IF(C8&gt;0,(C5+C6)/C18,"")</f>
        <v>0.11695657721260579</v>
      </c>
      <c r="D10" s="40">
        <f t="shared" si="3"/>
        <v>9.5348578511608689E-2</v>
      </c>
      <c r="E10" s="40">
        <f t="shared" si="3"/>
        <v>5.957345406886691E-2</v>
      </c>
      <c r="F10" s="40">
        <f t="shared" si="3"/>
        <v>4.4987628402189395E-2</v>
      </c>
      <c r="G10" s="40">
        <f t="shared" si="3"/>
        <v>3.7766727513060996E-2</v>
      </c>
      <c r="H10" s="40">
        <f t="shared" si="3"/>
        <v>3.5855145213338116E-2</v>
      </c>
      <c r="I10" s="40">
        <f t="shared" si="3"/>
        <v>3.5366306519778609E-2</v>
      </c>
      <c r="J10" s="40">
        <f t="shared" si="3"/>
        <v>4.2042126210462882E-2</v>
      </c>
      <c r="K10" s="40">
        <f t="shared" si="3"/>
        <v>5.3049459779667914E-2</v>
      </c>
      <c r="L10" s="40">
        <f t="shared" si="3"/>
        <v>6.9679936823523941E-2</v>
      </c>
      <c r="M10" s="40">
        <f t="shared" si="3"/>
        <v>0.13226930029540143</v>
      </c>
      <c r="N10" s="40">
        <f t="shared" si="3"/>
        <v>0.16237280796709244</v>
      </c>
      <c r="O10" s="47">
        <f t="shared" si="3"/>
        <v>5.6560191118072367E-2</v>
      </c>
      <c r="Q10" s="2"/>
      <c r="R10" s="97" t="s">
        <v>30</v>
      </c>
      <c r="S10" s="98"/>
    </row>
    <row r="11" spans="1:22" ht="15" thickBot="1">
      <c r="B11" s="44" t="s">
        <v>42</v>
      </c>
      <c r="C11" s="45">
        <f t="shared" ref="C11:N11" si="4">IF(C8&gt;0,C5*$S$2+C6*$S$2+C17*$S$4,"")</f>
        <v>1001</v>
      </c>
      <c r="D11" s="45">
        <f t="shared" si="4"/>
        <v>1001</v>
      </c>
      <c r="E11" s="45">
        <f t="shared" si="4"/>
        <v>1001</v>
      </c>
      <c r="F11" s="45">
        <f t="shared" si="4"/>
        <v>1001</v>
      </c>
      <c r="G11" s="45">
        <f t="shared" si="4"/>
        <v>1001</v>
      </c>
      <c r="H11" s="45">
        <f t="shared" si="4"/>
        <v>1001</v>
      </c>
      <c r="I11" s="45">
        <f t="shared" si="4"/>
        <v>1001</v>
      </c>
      <c r="J11" s="45">
        <f t="shared" si="4"/>
        <v>1001</v>
      </c>
      <c r="K11" s="45">
        <f t="shared" si="4"/>
        <v>1001</v>
      </c>
      <c r="L11" s="45">
        <f t="shared" si="4"/>
        <v>1001</v>
      </c>
      <c r="M11" s="45">
        <f t="shared" si="4"/>
        <v>1001</v>
      </c>
      <c r="N11" s="45">
        <f t="shared" si="4"/>
        <v>1001</v>
      </c>
      <c r="O11" s="48">
        <f>SUM(C11:N11)</f>
        <v>12012</v>
      </c>
      <c r="Q11" s="2"/>
      <c r="R11" s="19" t="s">
        <v>0</v>
      </c>
      <c r="S11" s="20">
        <f>P5/O8</f>
        <v>0.85628742514970058</v>
      </c>
    </row>
    <row r="12" spans="1:22" ht="15" thickBot="1">
      <c r="Q12" s="2"/>
      <c r="R12" s="21" t="s">
        <v>1</v>
      </c>
      <c r="S12" s="22">
        <f>P5/O18</f>
        <v>5.6560191118072367E-2</v>
      </c>
    </row>
    <row r="13" spans="1:22" ht="25">
      <c r="B13" s="95" t="s">
        <v>38</v>
      </c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Q13" s="2"/>
    </row>
    <row r="14" spans="1:22" ht="15" thickBot="1">
      <c r="B14" s="5"/>
      <c r="C14" s="5" t="s">
        <v>2</v>
      </c>
      <c r="D14" s="5" t="s">
        <v>3</v>
      </c>
      <c r="E14" s="5" t="s">
        <v>4</v>
      </c>
      <c r="F14" s="5" t="s">
        <v>5</v>
      </c>
      <c r="G14" s="5" t="s">
        <v>6</v>
      </c>
      <c r="H14" s="5" t="s">
        <v>7</v>
      </c>
      <c r="I14" s="5" t="s">
        <v>8</v>
      </c>
      <c r="J14" s="5" t="s">
        <v>9</v>
      </c>
      <c r="K14" s="5" t="s">
        <v>27</v>
      </c>
      <c r="L14" s="5" t="s">
        <v>10</v>
      </c>
      <c r="M14" s="5" t="s">
        <v>26</v>
      </c>
      <c r="N14" s="5" t="s">
        <v>25</v>
      </c>
      <c r="O14" s="5" t="s">
        <v>11</v>
      </c>
      <c r="Q14" s="2"/>
      <c r="S14" s="11"/>
    </row>
    <row r="15" spans="1:22">
      <c r="B15" s="3" t="s">
        <v>13</v>
      </c>
      <c r="C15" s="123">
        <v>35401</v>
      </c>
      <c r="D15" s="123">
        <v>51302</v>
      </c>
      <c r="E15" s="123">
        <v>89091</v>
      </c>
      <c r="F15" s="123">
        <v>121745</v>
      </c>
      <c r="G15" s="123">
        <v>147245</v>
      </c>
      <c r="H15" s="123">
        <v>155715</v>
      </c>
      <c r="I15" s="123">
        <v>158028</v>
      </c>
      <c r="J15" s="123">
        <v>131089</v>
      </c>
      <c r="K15" s="123">
        <v>101477</v>
      </c>
      <c r="L15" s="123">
        <v>74483</v>
      </c>
      <c r="M15" s="123">
        <v>33737</v>
      </c>
      <c r="N15" s="123">
        <v>25327</v>
      </c>
      <c r="O15" s="5">
        <f t="shared" ref="O15:O17" si="5">SUM(C15:N15)</f>
        <v>1124640</v>
      </c>
      <c r="Q15" s="2"/>
      <c r="R15" s="99" t="s">
        <v>31</v>
      </c>
      <c r="S15" s="100"/>
    </row>
    <row r="16" spans="1:22">
      <c r="B16" s="1" t="s">
        <v>15</v>
      </c>
      <c r="C16" s="37">
        <v>625</v>
      </c>
      <c r="D16" s="37">
        <v>625</v>
      </c>
      <c r="E16" s="37">
        <v>625</v>
      </c>
      <c r="F16" s="37">
        <v>625</v>
      </c>
      <c r="G16" s="37">
        <v>625</v>
      </c>
      <c r="H16" s="37">
        <v>625</v>
      </c>
      <c r="I16" s="37">
        <v>625</v>
      </c>
      <c r="J16" s="37">
        <v>625</v>
      </c>
      <c r="K16" s="37">
        <v>625</v>
      </c>
      <c r="L16" s="37">
        <v>625</v>
      </c>
      <c r="M16" s="37">
        <v>625</v>
      </c>
      <c r="N16" s="37">
        <v>625</v>
      </c>
      <c r="O16" s="5">
        <f t="shared" si="5"/>
        <v>7500</v>
      </c>
      <c r="Q16" s="2"/>
      <c r="R16" s="23" t="s">
        <v>19</v>
      </c>
      <c r="S16" s="24">
        <f>O16</f>
        <v>7500</v>
      </c>
      <c r="U16" s="59" t="s">
        <v>48</v>
      </c>
    </row>
    <row r="17" spans="2:21" ht="15" thickBot="1">
      <c r="B17" s="10" t="s">
        <v>17</v>
      </c>
      <c r="C17" s="9">
        <v>11000</v>
      </c>
      <c r="D17" s="9">
        <v>11000</v>
      </c>
      <c r="E17" s="9">
        <v>11000</v>
      </c>
      <c r="F17" s="9">
        <v>11000</v>
      </c>
      <c r="G17" s="9">
        <v>11000</v>
      </c>
      <c r="H17" s="9">
        <v>11000</v>
      </c>
      <c r="I17" s="9">
        <v>11000</v>
      </c>
      <c r="J17" s="9">
        <v>11000</v>
      </c>
      <c r="K17" s="9">
        <v>11000</v>
      </c>
      <c r="L17" s="9">
        <v>11000</v>
      </c>
      <c r="M17" s="9">
        <v>11000</v>
      </c>
      <c r="N17" s="9">
        <v>11000</v>
      </c>
      <c r="O17" s="54">
        <f t="shared" si="5"/>
        <v>132000</v>
      </c>
      <c r="Q17" s="2"/>
      <c r="R17" s="23" t="s">
        <v>18</v>
      </c>
      <c r="S17" s="24">
        <f>O6</f>
        <v>55500</v>
      </c>
      <c r="U17" s="66" t="s">
        <v>49</v>
      </c>
    </row>
    <row r="18" spans="2:21" ht="16" thickTop="1" thickBot="1">
      <c r="B18" s="6" t="s">
        <v>12</v>
      </c>
      <c r="C18" s="6">
        <f>SUM(C15:C17)</f>
        <v>47026</v>
      </c>
      <c r="D18" s="6">
        <f t="shared" ref="D18:N18" si="6">SUM(D15:D17)</f>
        <v>62927</v>
      </c>
      <c r="E18" s="6">
        <f t="shared" si="6"/>
        <v>100716</v>
      </c>
      <c r="F18" s="6">
        <f t="shared" si="6"/>
        <v>133370</v>
      </c>
      <c r="G18" s="6">
        <f t="shared" si="6"/>
        <v>158870</v>
      </c>
      <c r="H18" s="6">
        <f t="shared" si="6"/>
        <v>167340</v>
      </c>
      <c r="I18" s="6">
        <f t="shared" si="6"/>
        <v>169653</v>
      </c>
      <c r="J18" s="6">
        <f t="shared" si="6"/>
        <v>142714</v>
      </c>
      <c r="K18" s="6">
        <f t="shared" si="6"/>
        <v>113102</v>
      </c>
      <c r="L18" s="6">
        <f t="shared" si="6"/>
        <v>86108</v>
      </c>
      <c r="M18" s="6">
        <f t="shared" si="6"/>
        <v>45362</v>
      </c>
      <c r="N18" s="7">
        <f t="shared" si="6"/>
        <v>36952</v>
      </c>
      <c r="O18" s="6">
        <f>SUM(O15:O17)</f>
        <v>1264140</v>
      </c>
      <c r="Q18" s="2"/>
      <c r="R18" s="23" t="s">
        <v>20</v>
      </c>
      <c r="S18" s="24">
        <f>100/S16*S17</f>
        <v>740</v>
      </c>
      <c r="U18" s="59" t="s">
        <v>50</v>
      </c>
    </row>
    <row r="19" spans="2:21" ht="15" thickBot="1">
      <c r="B19" s="41" t="s">
        <v>44</v>
      </c>
      <c r="C19" s="50">
        <f>IF(C18&gt;0,C18/$S$3,"")</f>
        <v>4.7026000000000003</v>
      </c>
      <c r="D19" s="50">
        <f t="shared" ref="D19:N19" si="7">IF(D18&gt;0,D18/$S$3,"")</f>
        <v>6.2927</v>
      </c>
      <c r="E19" s="50">
        <f t="shared" si="7"/>
        <v>10.0716</v>
      </c>
      <c r="F19" s="50">
        <f t="shared" si="7"/>
        <v>13.337</v>
      </c>
      <c r="G19" s="50">
        <f t="shared" si="7"/>
        <v>15.887</v>
      </c>
      <c r="H19" s="50">
        <f t="shared" si="7"/>
        <v>16.734000000000002</v>
      </c>
      <c r="I19" s="50">
        <f t="shared" si="7"/>
        <v>16.965299999999999</v>
      </c>
      <c r="J19" s="50">
        <f t="shared" si="7"/>
        <v>14.2714</v>
      </c>
      <c r="K19" s="50">
        <f t="shared" si="7"/>
        <v>11.3102</v>
      </c>
      <c r="L19" s="50">
        <f t="shared" si="7"/>
        <v>8.6107999999999993</v>
      </c>
      <c r="M19" s="50">
        <f t="shared" si="7"/>
        <v>4.5362</v>
      </c>
      <c r="N19" s="50">
        <f t="shared" si="7"/>
        <v>3.6951999999999998</v>
      </c>
      <c r="O19" s="53">
        <f>SUM(C19:N19)</f>
        <v>126.41399999999999</v>
      </c>
      <c r="Q19" s="2"/>
      <c r="R19" s="25" t="s">
        <v>21</v>
      </c>
      <c r="S19" s="26">
        <f>100-S18</f>
        <v>-640</v>
      </c>
    </row>
    <row r="20" spans="2:21" ht="15" thickBot="1">
      <c r="B20" s="43" t="s">
        <v>46</v>
      </c>
      <c r="C20" s="51">
        <f>IF(C8&gt;0,C16/31,"")</f>
        <v>20.161290322580644</v>
      </c>
      <c r="D20" s="51">
        <f>IF(D8&gt;0,D16/28,"")</f>
        <v>22.321428571428573</v>
      </c>
      <c r="E20" s="51">
        <f>IF(E8&gt;0,E16/31,"")</f>
        <v>20.161290322580644</v>
      </c>
      <c r="F20" s="51">
        <f>IF(F8&gt;0,F16/30,"")</f>
        <v>20.833333333333332</v>
      </c>
      <c r="G20" s="51">
        <f>IF(G8&gt;0,G16/31,"")</f>
        <v>20.161290322580644</v>
      </c>
      <c r="H20" s="51">
        <f>IF(H8&gt;0,H16/30,"")</f>
        <v>20.833333333333332</v>
      </c>
      <c r="I20" s="51">
        <f>IF(I8&gt;0,I16/31,"")</f>
        <v>20.161290322580644</v>
      </c>
      <c r="J20" s="51">
        <f>IF(J8&gt;0,J16/31,"")</f>
        <v>20.161290322580644</v>
      </c>
      <c r="K20" s="51">
        <f>IF(K8&gt;0,K16/30,"")</f>
        <v>20.833333333333332</v>
      </c>
      <c r="L20" s="51">
        <f>IF(L8&gt;0,L16/31,"")</f>
        <v>20.161290322580644</v>
      </c>
      <c r="M20" s="51">
        <f>IF(M8&gt;0,M16/30,"")</f>
        <v>20.833333333333332</v>
      </c>
      <c r="N20" s="51">
        <f>IF(N8&gt;0,N16/31,"")</f>
        <v>20.161290322580644</v>
      </c>
      <c r="O20" s="52">
        <f>SUM(C20:N20)/COUNT(C20:N20)</f>
        <v>20.565316180235534</v>
      </c>
      <c r="Q20" s="2"/>
    </row>
    <row r="21" spans="2:21" ht="15" thickBot="1">
      <c r="B21" s="43" t="s">
        <v>47</v>
      </c>
      <c r="C21" s="40">
        <f>IF(C18&gt;0,C17/C18,"")</f>
        <v>0.23391315442521157</v>
      </c>
      <c r="D21" s="40">
        <f t="shared" ref="D21:N21" si="8">IF(D18&gt;0,D17/D18,"")</f>
        <v>0.1748057272712826</v>
      </c>
      <c r="E21" s="40">
        <f t="shared" si="8"/>
        <v>0.109217999126256</v>
      </c>
      <c r="F21" s="40">
        <f t="shared" si="8"/>
        <v>8.2477318737347233E-2</v>
      </c>
      <c r="G21" s="40">
        <f t="shared" si="8"/>
        <v>6.923900044061182E-2</v>
      </c>
      <c r="H21" s="40">
        <f t="shared" si="8"/>
        <v>6.5734432891119882E-2</v>
      </c>
      <c r="I21" s="40">
        <f t="shared" si="8"/>
        <v>6.483822861959411E-2</v>
      </c>
      <c r="J21" s="40">
        <f t="shared" si="8"/>
        <v>7.7077231385848627E-2</v>
      </c>
      <c r="K21" s="40">
        <f t="shared" si="8"/>
        <v>9.7257342929391172E-2</v>
      </c>
      <c r="L21" s="40">
        <f t="shared" si="8"/>
        <v>0.12774655084312725</v>
      </c>
      <c r="M21" s="40">
        <f t="shared" si="8"/>
        <v>0.24249371720823598</v>
      </c>
      <c r="N21" s="40">
        <f t="shared" si="8"/>
        <v>0.29768348127300281</v>
      </c>
      <c r="O21" s="47">
        <f>O17/O18</f>
        <v>0.1044188143718259</v>
      </c>
      <c r="Q21" s="2"/>
      <c r="R21" s="101" t="s">
        <v>32</v>
      </c>
      <c r="S21" s="102"/>
    </row>
    <row r="22" spans="2:21" ht="15" thickBot="1">
      <c r="B22" s="44" t="s">
        <v>51</v>
      </c>
      <c r="C22" s="74">
        <f t="shared" ref="C22:O22" si="9">IF(C8&gt;0,100/C16*C6-100,"")</f>
        <v>-20</v>
      </c>
      <c r="D22" s="74">
        <f t="shared" si="9"/>
        <v>700</v>
      </c>
      <c r="E22" s="74">
        <f t="shared" si="9"/>
        <v>700</v>
      </c>
      <c r="F22" s="74">
        <f t="shared" si="9"/>
        <v>700</v>
      </c>
      <c r="G22" s="74">
        <f t="shared" si="9"/>
        <v>700</v>
      </c>
      <c r="H22" s="74">
        <f t="shared" si="9"/>
        <v>700</v>
      </c>
      <c r="I22" s="74">
        <f t="shared" si="9"/>
        <v>700</v>
      </c>
      <c r="J22" s="74">
        <f t="shared" si="9"/>
        <v>700</v>
      </c>
      <c r="K22" s="74">
        <f t="shared" si="9"/>
        <v>700</v>
      </c>
      <c r="L22" s="74">
        <f t="shared" si="9"/>
        <v>700</v>
      </c>
      <c r="M22" s="74">
        <f t="shared" si="9"/>
        <v>700</v>
      </c>
      <c r="N22" s="74">
        <f t="shared" si="9"/>
        <v>700</v>
      </c>
      <c r="O22" s="75">
        <f t="shared" si="9"/>
        <v>640</v>
      </c>
      <c r="Q22" s="2"/>
      <c r="R22" s="27" t="s">
        <v>22</v>
      </c>
      <c r="S22" s="28">
        <f>O5*S2</f>
        <v>0</v>
      </c>
      <c r="T22" s="106">
        <f>SUM(S22:S24)</f>
        <v>12012</v>
      </c>
      <c r="U22" s="39" t="s">
        <v>43</v>
      </c>
    </row>
    <row r="23" spans="2:21">
      <c r="Q23" s="2"/>
      <c r="R23" s="27" t="s">
        <v>54</v>
      </c>
      <c r="S23" s="28">
        <f>O6*S2</f>
        <v>0</v>
      </c>
      <c r="T23" s="107"/>
      <c r="U23" s="85">
        <f>1/'2025'!S7*T22</f>
        <v>1.0010000000000002E-3</v>
      </c>
    </row>
    <row r="24" spans="2:21" ht="15" thickBot="1">
      <c r="Q24" s="2"/>
      <c r="R24" s="29" t="s">
        <v>24</v>
      </c>
      <c r="S24" s="30">
        <f>O17*S4</f>
        <v>12012</v>
      </c>
      <c r="T24" s="91"/>
      <c r="U24" s="86"/>
    </row>
    <row r="25" spans="2:21" ht="15" thickBot="1">
      <c r="Q25" s="2"/>
    </row>
    <row r="26" spans="2:21">
      <c r="Q26" s="2"/>
      <c r="R26" s="87" t="s">
        <v>33</v>
      </c>
      <c r="S26" s="88"/>
    </row>
    <row r="27" spans="2:21" ht="15" thickBot="1">
      <c r="Q27" s="2"/>
      <c r="R27" s="31" t="s">
        <v>23</v>
      </c>
      <c r="S27" s="32">
        <f>O7*S2</f>
        <v>0</v>
      </c>
      <c r="U27" s="38"/>
    </row>
    <row r="28" spans="2:21">
      <c r="Q28" s="2"/>
    </row>
    <row r="29" spans="2:21">
      <c r="Q29" s="2"/>
    </row>
    <row r="30" spans="2:21">
      <c r="Q30" s="2"/>
    </row>
    <row r="31" spans="2:21">
      <c r="Q31" s="2"/>
    </row>
    <row r="32" spans="2:21">
      <c r="Q32" s="2"/>
    </row>
    <row r="33" spans="2:17">
      <c r="Q33" s="2"/>
    </row>
    <row r="34" spans="2:17">
      <c r="Q34" s="2"/>
    </row>
    <row r="35" spans="2:17">
      <c r="Q35" s="2"/>
    </row>
    <row r="36" spans="2:17">
      <c r="Q36" s="2"/>
    </row>
    <row r="37" spans="2:17">
      <c r="Q37" s="2"/>
    </row>
    <row r="38" spans="2:17">
      <c r="Q38" s="2"/>
    </row>
    <row r="39" spans="2:17">
      <c r="Q39" s="2"/>
    </row>
    <row r="40" spans="2:17">
      <c r="Q40" s="2"/>
    </row>
    <row r="43" spans="2:17">
      <c r="B43" s="5" t="s">
        <v>65</v>
      </c>
      <c r="C43" s="5">
        <f>C8</f>
        <v>6500</v>
      </c>
      <c r="D43" s="5">
        <f t="shared" ref="D43:O43" si="10">D8</f>
        <v>7000</v>
      </c>
      <c r="E43" s="5">
        <f t="shared" si="10"/>
        <v>7000</v>
      </c>
      <c r="F43" s="5">
        <f t="shared" si="10"/>
        <v>7000</v>
      </c>
      <c r="G43" s="5">
        <f t="shared" si="10"/>
        <v>7000</v>
      </c>
      <c r="H43" s="5">
        <f t="shared" si="10"/>
        <v>7000</v>
      </c>
      <c r="I43" s="5">
        <f t="shared" si="10"/>
        <v>7000</v>
      </c>
      <c r="J43" s="5">
        <f t="shared" si="10"/>
        <v>7000</v>
      </c>
      <c r="K43" s="5">
        <f t="shared" si="10"/>
        <v>7000</v>
      </c>
      <c r="L43" s="5">
        <f t="shared" si="10"/>
        <v>7000</v>
      </c>
      <c r="M43" s="5">
        <f t="shared" si="10"/>
        <v>7000</v>
      </c>
      <c r="N43" s="5">
        <f t="shared" si="10"/>
        <v>7000</v>
      </c>
      <c r="O43" s="5">
        <f t="shared" si="10"/>
        <v>83500</v>
      </c>
    </row>
    <row r="44" spans="2:17">
      <c r="B44" s="5" t="s">
        <v>62</v>
      </c>
      <c r="C44" s="5" t="s">
        <v>2</v>
      </c>
      <c r="D44" s="5" t="s">
        <v>3</v>
      </c>
      <c r="E44" s="5" t="s">
        <v>4</v>
      </c>
      <c r="F44" s="5" t="s">
        <v>5</v>
      </c>
      <c r="G44" s="5" t="s">
        <v>6</v>
      </c>
      <c r="H44" s="5" t="s">
        <v>7</v>
      </c>
      <c r="I44" s="5" t="s">
        <v>8</v>
      </c>
      <c r="J44" s="5" t="s">
        <v>9</v>
      </c>
      <c r="K44" s="5" t="s">
        <v>27</v>
      </c>
      <c r="L44" s="5" t="s">
        <v>10</v>
      </c>
      <c r="M44" s="5" t="s">
        <v>26</v>
      </c>
      <c r="N44" s="5" t="s">
        <v>25</v>
      </c>
      <c r="O44" s="5" t="s">
        <v>11</v>
      </c>
    </row>
    <row r="45" spans="2:17">
      <c r="B45" s="76" t="s">
        <v>63</v>
      </c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>
        <f>SUM(C45:N45)</f>
        <v>0</v>
      </c>
    </row>
    <row r="46" spans="2:17">
      <c r="B46" s="76" t="s">
        <v>64</v>
      </c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>
        <f t="shared" ref="O46:O53" si="11">SUM(C46:N46)</f>
        <v>0</v>
      </c>
    </row>
    <row r="47" spans="2:17">
      <c r="B47" s="76" t="s">
        <v>66</v>
      </c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>
        <f t="shared" si="11"/>
        <v>0</v>
      </c>
    </row>
    <row r="48" spans="2:17">
      <c r="B48" s="76" t="s">
        <v>67</v>
      </c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>
        <f t="shared" si="11"/>
        <v>0</v>
      </c>
    </row>
    <row r="49" spans="2:15">
      <c r="B49" s="76" t="s">
        <v>68</v>
      </c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>
        <f t="shared" si="11"/>
        <v>0</v>
      </c>
    </row>
    <row r="50" spans="2:15">
      <c r="B50" s="76" t="s">
        <v>69</v>
      </c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>
        <f t="shared" si="11"/>
        <v>0</v>
      </c>
    </row>
    <row r="51" spans="2:15">
      <c r="B51" s="76" t="s">
        <v>71</v>
      </c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>
        <f t="shared" si="11"/>
        <v>0</v>
      </c>
    </row>
    <row r="52" spans="2:15">
      <c r="B52" s="77" t="s">
        <v>72</v>
      </c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6">
        <f t="shared" si="11"/>
        <v>0</v>
      </c>
    </row>
    <row r="53" spans="2:15" ht="15" thickBot="1">
      <c r="B53" s="77" t="s">
        <v>70</v>
      </c>
      <c r="C53" s="77">
        <f>C43-C45-C46-C47-C48-C49-C50-C51-C52</f>
        <v>6500</v>
      </c>
      <c r="D53" s="77">
        <f t="shared" ref="D53:N53" si="12">D43-D45-D46-D47-D48-D49-D50-D51-D52</f>
        <v>7000</v>
      </c>
      <c r="E53" s="77">
        <f t="shared" si="12"/>
        <v>7000</v>
      </c>
      <c r="F53" s="77">
        <f>(F43-F45-F46-F47-F48-F49-F50-F51-F52)</f>
        <v>7000</v>
      </c>
      <c r="G53" s="77">
        <f t="shared" si="12"/>
        <v>7000</v>
      </c>
      <c r="H53" s="77">
        <f t="shared" si="12"/>
        <v>7000</v>
      </c>
      <c r="I53" s="77">
        <f t="shared" si="12"/>
        <v>7000</v>
      </c>
      <c r="J53" s="77">
        <f t="shared" si="12"/>
        <v>7000</v>
      </c>
      <c r="K53" s="77">
        <f t="shared" si="12"/>
        <v>7000</v>
      </c>
      <c r="L53" s="77">
        <f t="shared" si="12"/>
        <v>7000</v>
      </c>
      <c r="M53" s="77">
        <f t="shared" si="12"/>
        <v>7000</v>
      </c>
      <c r="N53" s="77">
        <f t="shared" si="12"/>
        <v>7000</v>
      </c>
      <c r="O53" s="76">
        <f t="shared" si="11"/>
        <v>83500</v>
      </c>
    </row>
    <row r="54" spans="2:15" ht="15" thickBot="1">
      <c r="B54" s="78" t="s">
        <v>11</v>
      </c>
      <c r="C54" s="79">
        <f>SUM(C45:C53)</f>
        <v>6500</v>
      </c>
      <c r="D54" s="79">
        <f t="shared" ref="D54:O54" si="13">SUM(D45:D53)</f>
        <v>7000</v>
      </c>
      <c r="E54" s="79">
        <f t="shared" si="13"/>
        <v>7000</v>
      </c>
      <c r="F54" s="79">
        <f t="shared" si="13"/>
        <v>7000</v>
      </c>
      <c r="G54" s="79">
        <f t="shared" si="13"/>
        <v>7000</v>
      </c>
      <c r="H54" s="79">
        <f t="shared" si="13"/>
        <v>7000</v>
      </c>
      <c r="I54" s="79">
        <f t="shared" si="13"/>
        <v>7000</v>
      </c>
      <c r="J54" s="79">
        <f t="shared" si="13"/>
        <v>7000</v>
      </c>
      <c r="K54" s="79">
        <f t="shared" si="13"/>
        <v>7000</v>
      </c>
      <c r="L54" s="79">
        <f t="shared" si="13"/>
        <v>7000</v>
      </c>
      <c r="M54" s="79">
        <f t="shared" si="13"/>
        <v>7000</v>
      </c>
      <c r="N54" s="79">
        <f t="shared" si="13"/>
        <v>7000</v>
      </c>
      <c r="O54" s="79">
        <f t="shared" si="13"/>
        <v>83500</v>
      </c>
    </row>
  </sheetData>
  <mergeCells count="12">
    <mergeCell ref="T22:T24"/>
    <mergeCell ref="U23:U24"/>
    <mergeCell ref="R26:S26"/>
    <mergeCell ref="A1:P1"/>
    <mergeCell ref="R1:S1"/>
    <mergeCell ref="B3:O3"/>
    <mergeCell ref="P5:P6"/>
    <mergeCell ref="R6:S6"/>
    <mergeCell ref="R10:S10"/>
    <mergeCell ref="B13:O13"/>
    <mergeCell ref="R15:S15"/>
    <mergeCell ref="R21:S21"/>
  </mergeCells>
  <pageMargins left="0.7" right="0.7" top="0.78740157499999996" bottom="0.78740157499999996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workbookViewId="0">
      <selection activeCell="C15" sqref="C15:N15"/>
    </sheetView>
  </sheetViews>
  <sheetFormatPr baseColWidth="10" defaultRowHeight="14" x14ac:dyDescent="0"/>
  <cols>
    <col min="1" max="1" width="10.83203125" style="37"/>
    <col min="2" max="2" width="11.83203125" style="37" customWidth="1"/>
    <col min="3" max="14" width="9.5" style="37" customWidth="1"/>
    <col min="15" max="15" width="10.83203125" style="37"/>
    <col min="16" max="16" width="9.83203125" style="37" customWidth="1"/>
    <col min="17" max="17" width="2.83203125" style="37" customWidth="1"/>
    <col min="18" max="18" width="29.5" style="37" bestFit="1" customWidth="1"/>
    <col min="19" max="19" width="10.83203125" style="37"/>
    <col min="20" max="20" width="10.33203125" style="37" bestFit="1" customWidth="1"/>
    <col min="21" max="21" width="23.5" style="37" bestFit="1" customWidth="1"/>
    <col min="22" max="22" width="25.83203125" style="37" customWidth="1"/>
    <col min="23" max="16384" width="10.83203125" style="37"/>
  </cols>
  <sheetData>
    <row r="1" spans="1:22" ht="25">
      <c r="A1" s="92">
        <v>20232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2"/>
      <c r="R1" s="93" t="s">
        <v>28</v>
      </c>
      <c r="S1" s="94"/>
    </row>
    <row r="2" spans="1:22">
      <c r="Q2" s="2"/>
      <c r="R2" s="14" t="s">
        <v>81</v>
      </c>
      <c r="S2" s="15">
        <v>0</v>
      </c>
    </row>
    <row r="3" spans="1:22" ht="25">
      <c r="B3" s="96" t="s">
        <v>37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Q3" s="2"/>
      <c r="R3" s="112" t="s">
        <v>86</v>
      </c>
      <c r="S3" s="49">
        <f>'2031'!S3</f>
        <v>10000</v>
      </c>
    </row>
    <row r="4" spans="1:22" ht="15" thickBot="1">
      <c r="B4" s="5"/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27</v>
      </c>
      <c r="L4" s="5" t="s">
        <v>10</v>
      </c>
      <c r="M4" s="5" t="s">
        <v>26</v>
      </c>
      <c r="N4" s="5" t="s">
        <v>25</v>
      </c>
      <c r="O4" s="5" t="s">
        <v>11</v>
      </c>
      <c r="Q4" s="2"/>
      <c r="R4" s="16" t="s">
        <v>24</v>
      </c>
      <c r="S4" s="36">
        <f>'2031'!S4</f>
        <v>9.0999999999999998E-2</v>
      </c>
    </row>
    <row r="5" spans="1:22" ht="15" thickBot="1">
      <c r="B5" s="3" t="s">
        <v>13</v>
      </c>
      <c r="C5" s="37">
        <v>5000</v>
      </c>
      <c r="D5" s="37">
        <v>1000</v>
      </c>
      <c r="E5" s="37">
        <v>1000</v>
      </c>
      <c r="F5" s="37">
        <v>1000</v>
      </c>
      <c r="G5" s="37">
        <v>1000</v>
      </c>
      <c r="H5" s="37">
        <v>1000</v>
      </c>
      <c r="I5" s="37">
        <v>1000</v>
      </c>
      <c r="J5" s="37">
        <v>1000</v>
      </c>
      <c r="K5" s="37">
        <v>1000</v>
      </c>
      <c r="L5" s="37">
        <v>1000</v>
      </c>
      <c r="M5" s="37">
        <v>1000</v>
      </c>
      <c r="N5" s="37">
        <v>1000</v>
      </c>
      <c r="O5" s="5">
        <f t="shared" ref="O5:O7" si="0">SUM(C5:N5)</f>
        <v>16000</v>
      </c>
      <c r="P5" s="103">
        <f>O6+O5</f>
        <v>71500</v>
      </c>
      <c r="Q5" s="2"/>
    </row>
    <row r="6" spans="1:22" ht="15" thickTop="1">
      <c r="B6" s="4" t="s">
        <v>14</v>
      </c>
      <c r="C6" s="37">
        <v>500</v>
      </c>
      <c r="D6" s="37">
        <v>5000</v>
      </c>
      <c r="E6" s="37">
        <v>5000</v>
      </c>
      <c r="F6" s="37">
        <v>5000</v>
      </c>
      <c r="G6" s="37">
        <v>5000</v>
      </c>
      <c r="H6" s="37">
        <v>5000</v>
      </c>
      <c r="I6" s="37">
        <v>5000</v>
      </c>
      <c r="J6" s="37">
        <v>5000</v>
      </c>
      <c r="K6" s="37">
        <v>5000</v>
      </c>
      <c r="L6" s="37">
        <v>5000</v>
      </c>
      <c r="M6" s="37">
        <v>5000</v>
      </c>
      <c r="N6" s="37">
        <v>5000</v>
      </c>
      <c r="O6" s="5">
        <f t="shared" si="0"/>
        <v>55500</v>
      </c>
      <c r="P6" s="103"/>
      <c r="Q6" s="2"/>
      <c r="R6" s="104" t="s">
        <v>29</v>
      </c>
      <c r="S6" s="105"/>
      <c r="U6" s="55" t="s">
        <v>36</v>
      </c>
      <c r="V6" s="56" t="s">
        <v>53</v>
      </c>
    </row>
    <row r="7" spans="1:22" ht="15" thickBot="1">
      <c r="B7" s="8" t="s">
        <v>16</v>
      </c>
      <c r="C7" s="9">
        <v>1000</v>
      </c>
      <c r="D7" s="9">
        <v>1000</v>
      </c>
      <c r="E7" s="9">
        <v>1000</v>
      </c>
      <c r="F7" s="9">
        <v>1000</v>
      </c>
      <c r="G7" s="9">
        <v>1000</v>
      </c>
      <c r="H7" s="9">
        <v>1000</v>
      </c>
      <c r="I7" s="9">
        <v>1000</v>
      </c>
      <c r="J7" s="9">
        <v>1000</v>
      </c>
      <c r="K7" s="9">
        <v>1000</v>
      </c>
      <c r="L7" s="9">
        <v>1000</v>
      </c>
      <c r="M7" s="9">
        <v>1000</v>
      </c>
      <c r="N7" s="9">
        <v>1000</v>
      </c>
      <c r="O7" s="54">
        <f t="shared" si="0"/>
        <v>12000</v>
      </c>
      <c r="Q7" s="12"/>
      <c r="R7" s="17" t="s">
        <v>35</v>
      </c>
      <c r="S7" s="82">
        <f>'2031'!U7</f>
        <v>11125731.431238629</v>
      </c>
      <c r="T7" s="11"/>
      <c r="U7" s="57">
        <f>S7-T22</f>
        <v>11113719.431238629</v>
      </c>
      <c r="V7" s="60">
        <f>U7/T22</f>
        <v>925.21806786868376</v>
      </c>
    </row>
    <row r="8" spans="1:22" ht="16" thickTop="1" thickBot="1">
      <c r="B8" s="33" t="s">
        <v>12</v>
      </c>
      <c r="C8" s="33">
        <f t="shared" ref="C8:O8" si="1">SUM(C5:C7)</f>
        <v>6500</v>
      </c>
      <c r="D8" s="33">
        <f t="shared" si="1"/>
        <v>7000</v>
      </c>
      <c r="E8" s="33">
        <f t="shared" si="1"/>
        <v>7000</v>
      </c>
      <c r="F8" s="33">
        <f t="shared" si="1"/>
        <v>7000</v>
      </c>
      <c r="G8" s="33">
        <f t="shared" si="1"/>
        <v>7000</v>
      </c>
      <c r="H8" s="33">
        <f t="shared" si="1"/>
        <v>7000</v>
      </c>
      <c r="I8" s="33">
        <f t="shared" si="1"/>
        <v>7000</v>
      </c>
      <c r="J8" s="33">
        <f t="shared" si="1"/>
        <v>7000</v>
      </c>
      <c r="K8" s="33">
        <f t="shared" si="1"/>
        <v>7000</v>
      </c>
      <c r="L8" s="33">
        <f t="shared" si="1"/>
        <v>7000</v>
      </c>
      <c r="M8" s="33">
        <f t="shared" si="1"/>
        <v>7000</v>
      </c>
      <c r="N8" s="34">
        <f t="shared" si="1"/>
        <v>7000</v>
      </c>
      <c r="O8" s="33">
        <f t="shared" si="1"/>
        <v>83500</v>
      </c>
      <c r="Q8" s="12"/>
      <c r="R8" s="18" t="s">
        <v>34</v>
      </c>
      <c r="S8" s="83">
        <f>'2031'!U8</f>
        <v>4628465.6185151516</v>
      </c>
      <c r="T8" s="11"/>
      <c r="U8" s="58">
        <f>S8-((O6*S2)-O16*S4)</f>
        <v>4629148.1185151516</v>
      </c>
      <c r="V8" s="61">
        <f>U8/U9</f>
        <v>-6782.6346058830059</v>
      </c>
    </row>
    <row r="9" spans="1:22" ht="15" thickBot="1">
      <c r="B9" s="41" t="s">
        <v>40</v>
      </c>
      <c r="C9" s="42">
        <f t="shared" ref="C9:N9" si="2">IF(C8&gt;0,(C5+C6)/C8,"")</f>
        <v>0.84615384615384615</v>
      </c>
      <c r="D9" s="42">
        <f t="shared" si="2"/>
        <v>0.8571428571428571</v>
      </c>
      <c r="E9" s="42">
        <f t="shared" si="2"/>
        <v>0.8571428571428571</v>
      </c>
      <c r="F9" s="42">
        <f t="shared" si="2"/>
        <v>0.8571428571428571</v>
      </c>
      <c r="G9" s="42">
        <f t="shared" si="2"/>
        <v>0.8571428571428571</v>
      </c>
      <c r="H9" s="42">
        <f t="shared" si="2"/>
        <v>0.8571428571428571</v>
      </c>
      <c r="I9" s="42">
        <f t="shared" si="2"/>
        <v>0.8571428571428571</v>
      </c>
      <c r="J9" s="42">
        <f t="shared" si="2"/>
        <v>0.8571428571428571</v>
      </c>
      <c r="K9" s="42">
        <f t="shared" si="2"/>
        <v>0.8571428571428571</v>
      </c>
      <c r="L9" s="42">
        <f t="shared" si="2"/>
        <v>0.8571428571428571</v>
      </c>
      <c r="M9" s="42">
        <f t="shared" si="2"/>
        <v>0.8571428571428571</v>
      </c>
      <c r="N9" s="42">
        <f t="shared" si="2"/>
        <v>0.8571428571428571</v>
      </c>
      <c r="O9" s="46">
        <f>(O5+O6)/O8</f>
        <v>0.85628742514970058</v>
      </c>
      <c r="Q9" s="2"/>
      <c r="U9" s="65">
        <f>S8-U8</f>
        <v>-682.5</v>
      </c>
    </row>
    <row r="10" spans="1:22">
      <c r="B10" s="43" t="s">
        <v>41</v>
      </c>
      <c r="C10" s="40">
        <f t="shared" ref="C10:O10" si="3">IF(C8&gt;0,(C5+C6)/C18,"")</f>
        <v>0.11695657721260579</v>
      </c>
      <c r="D10" s="40">
        <f t="shared" si="3"/>
        <v>9.5348578511608689E-2</v>
      </c>
      <c r="E10" s="40">
        <f t="shared" si="3"/>
        <v>5.957345406886691E-2</v>
      </c>
      <c r="F10" s="40">
        <f t="shared" si="3"/>
        <v>4.4987628402189395E-2</v>
      </c>
      <c r="G10" s="40">
        <f t="shared" si="3"/>
        <v>3.7766727513060996E-2</v>
      </c>
      <c r="H10" s="40">
        <f t="shared" si="3"/>
        <v>3.5855145213338116E-2</v>
      </c>
      <c r="I10" s="40">
        <f t="shared" si="3"/>
        <v>3.5366306519778609E-2</v>
      </c>
      <c r="J10" s="40">
        <f t="shared" si="3"/>
        <v>4.2042126210462882E-2</v>
      </c>
      <c r="K10" s="40">
        <f t="shared" si="3"/>
        <v>5.3049459779667914E-2</v>
      </c>
      <c r="L10" s="40">
        <f t="shared" si="3"/>
        <v>6.9679936823523941E-2</v>
      </c>
      <c r="M10" s="40">
        <f t="shared" si="3"/>
        <v>0.13226930029540143</v>
      </c>
      <c r="N10" s="40">
        <f t="shared" si="3"/>
        <v>0.16237280796709244</v>
      </c>
      <c r="O10" s="47">
        <f t="shared" si="3"/>
        <v>5.6560191118072367E-2</v>
      </c>
      <c r="Q10" s="2"/>
      <c r="R10" s="97" t="s">
        <v>30</v>
      </c>
      <c r="S10" s="98"/>
    </row>
    <row r="11" spans="1:22" ht="15" thickBot="1">
      <c r="B11" s="44" t="s">
        <v>42</v>
      </c>
      <c r="C11" s="45">
        <f t="shared" ref="C11:N11" si="4">IF(C8&gt;0,C5*$S$2+C6*$S$2+C17*$S$4,"")</f>
        <v>1001</v>
      </c>
      <c r="D11" s="45">
        <f t="shared" si="4"/>
        <v>1001</v>
      </c>
      <c r="E11" s="45">
        <f t="shared" si="4"/>
        <v>1001</v>
      </c>
      <c r="F11" s="45">
        <f t="shared" si="4"/>
        <v>1001</v>
      </c>
      <c r="G11" s="45">
        <f t="shared" si="4"/>
        <v>1001</v>
      </c>
      <c r="H11" s="45">
        <f t="shared" si="4"/>
        <v>1001</v>
      </c>
      <c r="I11" s="45">
        <f t="shared" si="4"/>
        <v>1001</v>
      </c>
      <c r="J11" s="45">
        <f t="shared" si="4"/>
        <v>1001</v>
      </c>
      <c r="K11" s="45">
        <f t="shared" si="4"/>
        <v>1001</v>
      </c>
      <c r="L11" s="45">
        <f t="shared" si="4"/>
        <v>1001</v>
      </c>
      <c r="M11" s="45">
        <f t="shared" si="4"/>
        <v>1001</v>
      </c>
      <c r="N11" s="45">
        <f t="shared" si="4"/>
        <v>1001</v>
      </c>
      <c r="O11" s="48">
        <f>SUM(C11:N11)</f>
        <v>12012</v>
      </c>
      <c r="Q11" s="2"/>
      <c r="R11" s="19" t="s">
        <v>0</v>
      </c>
      <c r="S11" s="20">
        <f>P5/O8</f>
        <v>0.85628742514970058</v>
      </c>
    </row>
    <row r="12" spans="1:22" ht="15" thickBot="1">
      <c r="Q12" s="2"/>
      <c r="R12" s="21" t="s">
        <v>1</v>
      </c>
      <c r="S12" s="22">
        <f>P5/O18</f>
        <v>5.6560191118072367E-2</v>
      </c>
    </row>
    <row r="13" spans="1:22" ht="25">
      <c r="B13" s="95" t="s">
        <v>38</v>
      </c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Q13" s="2"/>
    </row>
    <row r="14" spans="1:22" ht="15" thickBot="1">
      <c r="B14" s="5"/>
      <c r="C14" s="5" t="s">
        <v>2</v>
      </c>
      <c r="D14" s="5" t="s">
        <v>3</v>
      </c>
      <c r="E14" s="5" t="s">
        <v>4</v>
      </c>
      <c r="F14" s="5" t="s">
        <v>5</v>
      </c>
      <c r="G14" s="5" t="s">
        <v>6</v>
      </c>
      <c r="H14" s="5" t="s">
        <v>7</v>
      </c>
      <c r="I14" s="5" t="s">
        <v>8</v>
      </c>
      <c r="J14" s="5" t="s">
        <v>9</v>
      </c>
      <c r="K14" s="5" t="s">
        <v>27</v>
      </c>
      <c r="L14" s="5" t="s">
        <v>10</v>
      </c>
      <c r="M14" s="5" t="s">
        <v>26</v>
      </c>
      <c r="N14" s="5" t="s">
        <v>25</v>
      </c>
      <c r="O14" s="5" t="s">
        <v>11</v>
      </c>
      <c r="Q14" s="2"/>
      <c r="S14" s="11"/>
    </row>
    <row r="15" spans="1:22">
      <c r="B15" s="3" t="s">
        <v>13</v>
      </c>
      <c r="C15" s="123">
        <v>35401</v>
      </c>
      <c r="D15" s="123">
        <v>51302</v>
      </c>
      <c r="E15" s="123">
        <v>89091</v>
      </c>
      <c r="F15" s="123">
        <v>121745</v>
      </c>
      <c r="G15" s="123">
        <v>147245</v>
      </c>
      <c r="H15" s="123">
        <v>155715</v>
      </c>
      <c r="I15" s="123">
        <v>158028</v>
      </c>
      <c r="J15" s="123">
        <v>131089</v>
      </c>
      <c r="K15" s="123">
        <v>101477</v>
      </c>
      <c r="L15" s="123">
        <v>74483</v>
      </c>
      <c r="M15" s="123">
        <v>33737</v>
      </c>
      <c r="N15" s="123">
        <v>25327</v>
      </c>
      <c r="O15" s="5">
        <f t="shared" ref="O15:O17" si="5">SUM(C15:N15)</f>
        <v>1124640</v>
      </c>
      <c r="Q15" s="2"/>
      <c r="R15" s="99" t="s">
        <v>31</v>
      </c>
      <c r="S15" s="100"/>
    </row>
    <row r="16" spans="1:22">
      <c r="B16" s="1" t="s">
        <v>15</v>
      </c>
      <c r="C16" s="37">
        <v>625</v>
      </c>
      <c r="D16" s="37">
        <v>625</v>
      </c>
      <c r="E16" s="37">
        <v>625</v>
      </c>
      <c r="F16" s="37">
        <v>625</v>
      </c>
      <c r="G16" s="37">
        <v>625</v>
      </c>
      <c r="H16" s="37">
        <v>625</v>
      </c>
      <c r="I16" s="37">
        <v>625</v>
      </c>
      <c r="J16" s="37">
        <v>625</v>
      </c>
      <c r="K16" s="37">
        <v>625</v>
      </c>
      <c r="L16" s="37">
        <v>625</v>
      </c>
      <c r="M16" s="37">
        <v>625</v>
      </c>
      <c r="N16" s="37">
        <v>625</v>
      </c>
      <c r="O16" s="5">
        <f t="shared" si="5"/>
        <v>7500</v>
      </c>
      <c r="Q16" s="2"/>
      <c r="R16" s="23" t="s">
        <v>19</v>
      </c>
      <c r="S16" s="24">
        <f>O16</f>
        <v>7500</v>
      </c>
      <c r="U16" s="59" t="s">
        <v>48</v>
      </c>
    </row>
    <row r="17" spans="2:21" ht="15" thickBot="1">
      <c r="B17" s="10" t="s">
        <v>17</v>
      </c>
      <c r="C17" s="9">
        <v>11000</v>
      </c>
      <c r="D17" s="9">
        <v>11000</v>
      </c>
      <c r="E17" s="9">
        <v>11000</v>
      </c>
      <c r="F17" s="9">
        <v>11000</v>
      </c>
      <c r="G17" s="9">
        <v>11000</v>
      </c>
      <c r="H17" s="9">
        <v>11000</v>
      </c>
      <c r="I17" s="9">
        <v>11000</v>
      </c>
      <c r="J17" s="9">
        <v>11000</v>
      </c>
      <c r="K17" s="9">
        <v>11000</v>
      </c>
      <c r="L17" s="9">
        <v>11000</v>
      </c>
      <c r="M17" s="9">
        <v>11000</v>
      </c>
      <c r="N17" s="9">
        <v>11000</v>
      </c>
      <c r="O17" s="54">
        <f t="shared" si="5"/>
        <v>132000</v>
      </c>
      <c r="Q17" s="2"/>
      <c r="R17" s="23" t="s">
        <v>18</v>
      </c>
      <c r="S17" s="24">
        <f>O6</f>
        <v>55500</v>
      </c>
      <c r="U17" s="66" t="s">
        <v>49</v>
      </c>
    </row>
    <row r="18" spans="2:21" ht="16" thickTop="1" thickBot="1">
      <c r="B18" s="6" t="s">
        <v>12</v>
      </c>
      <c r="C18" s="6">
        <f>SUM(C15:C17)</f>
        <v>47026</v>
      </c>
      <c r="D18" s="6">
        <f t="shared" ref="D18:N18" si="6">SUM(D15:D17)</f>
        <v>62927</v>
      </c>
      <c r="E18" s="6">
        <f t="shared" si="6"/>
        <v>100716</v>
      </c>
      <c r="F18" s="6">
        <f t="shared" si="6"/>
        <v>133370</v>
      </c>
      <c r="G18" s="6">
        <f t="shared" si="6"/>
        <v>158870</v>
      </c>
      <c r="H18" s="6">
        <f t="shared" si="6"/>
        <v>167340</v>
      </c>
      <c r="I18" s="6">
        <f t="shared" si="6"/>
        <v>169653</v>
      </c>
      <c r="J18" s="6">
        <f t="shared" si="6"/>
        <v>142714</v>
      </c>
      <c r="K18" s="6">
        <f t="shared" si="6"/>
        <v>113102</v>
      </c>
      <c r="L18" s="6">
        <f t="shared" si="6"/>
        <v>86108</v>
      </c>
      <c r="M18" s="6">
        <f t="shared" si="6"/>
        <v>45362</v>
      </c>
      <c r="N18" s="7">
        <f t="shared" si="6"/>
        <v>36952</v>
      </c>
      <c r="O18" s="6">
        <f>SUM(O15:O17)</f>
        <v>1264140</v>
      </c>
      <c r="Q18" s="2"/>
      <c r="R18" s="23" t="s">
        <v>20</v>
      </c>
      <c r="S18" s="24">
        <f>100/S16*S17</f>
        <v>740</v>
      </c>
      <c r="U18" s="59" t="s">
        <v>50</v>
      </c>
    </row>
    <row r="19" spans="2:21" ht="15" thickBot="1">
      <c r="B19" s="41" t="s">
        <v>44</v>
      </c>
      <c r="C19" s="50">
        <f>IF(C18&gt;0,C18/$S$3,"")</f>
        <v>4.7026000000000003</v>
      </c>
      <c r="D19" s="50">
        <f t="shared" ref="D19:N19" si="7">IF(D18&gt;0,D18/$S$3,"")</f>
        <v>6.2927</v>
      </c>
      <c r="E19" s="50">
        <f t="shared" si="7"/>
        <v>10.0716</v>
      </c>
      <c r="F19" s="50">
        <f t="shared" si="7"/>
        <v>13.337</v>
      </c>
      <c r="G19" s="50">
        <f t="shared" si="7"/>
        <v>15.887</v>
      </c>
      <c r="H19" s="50">
        <f t="shared" si="7"/>
        <v>16.734000000000002</v>
      </c>
      <c r="I19" s="50">
        <f t="shared" si="7"/>
        <v>16.965299999999999</v>
      </c>
      <c r="J19" s="50">
        <f t="shared" si="7"/>
        <v>14.2714</v>
      </c>
      <c r="K19" s="50">
        <f t="shared" si="7"/>
        <v>11.3102</v>
      </c>
      <c r="L19" s="50">
        <f t="shared" si="7"/>
        <v>8.6107999999999993</v>
      </c>
      <c r="M19" s="50">
        <f t="shared" si="7"/>
        <v>4.5362</v>
      </c>
      <c r="N19" s="50">
        <f t="shared" si="7"/>
        <v>3.6951999999999998</v>
      </c>
      <c r="O19" s="53">
        <f>SUM(C19:N19)</f>
        <v>126.41399999999999</v>
      </c>
      <c r="Q19" s="2"/>
      <c r="R19" s="25" t="s">
        <v>21</v>
      </c>
      <c r="S19" s="26">
        <f>100-S18</f>
        <v>-640</v>
      </c>
    </row>
    <row r="20" spans="2:21" ht="15" thickBot="1">
      <c r="B20" s="43" t="s">
        <v>46</v>
      </c>
      <c r="C20" s="51">
        <f>IF(C8&gt;0,C16/31,"")</f>
        <v>20.161290322580644</v>
      </c>
      <c r="D20" s="51">
        <f>IF(D8&gt;0,D16/28,"")</f>
        <v>22.321428571428573</v>
      </c>
      <c r="E20" s="51">
        <f>IF(E8&gt;0,E16/31,"")</f>
        <v>20.161290322580644</v>
      </c>
      <c r="F20" s="51">
        <f>IF(F8&gt;0,F16/30,"")</f>
        <v>20.833333333333332</v>
      </c>
      <c r="G20" s="51">
        <f>IF(G8&gt;0,G16/31,"")</f>
        <v>20.161290322580644</v>
      </c>
      <c r="H20" s="51">
        <f>IF(H8&gt;0,H16/30,"")</f>
        <v>20.833333333333332</v>
      </c>
      <c r="I20" s="51">
        <f>IF(I8&gt;0,I16/31,"")</f>
        <v>20.161290322580644</v>
      </c>
      <c r="J20" s="51">
        <f>IF(J8&gt;0,J16/31,"")</f>
        <v>20.161290322580644</v>
      </c>
      <c r="K20" s="51">
        <f>IF(K8&gt;0,K16/30,"")</f>
        <v>20.833333333333332</v>
      </c>
      <c r="L20" s="51">
        <f>IF(L8&gt;0,L16/31,"")</f>
        <v>20.161290322580644</v>
      </c>
      <c r="M20" s="51">
        <f>IF(M8&gt;0,M16/30,"")</f>
        <v>20.833333333333332</v>
      </c>
      <c r="N20" s="51">
        <f>IF(N8&gt;0,N16/31,"")</f>
        <v>20.161290322580644</v>
      </c>
      <c r="O20" s="52">
        <f>SUM(C20:N20)/COUNT(C20:N20)</f>
        <v>20.565316180235534</v>
      </c>
      <c r="Q20" s="2"/>
    </row>
    <row r="21" spans="2:21" ht="15" thickBot="1">
      <c r="B21" s="43" t="s">
        <v>47</v>
      </c>
      <c r="C21" s="40">
        <f>IF(C18&gt;0,C17/C18,"")</f>
        <v>0.23391315442521157</v>
      </c>
      <c r="D21" s="40">
        <f t="shared" ref="D21:N21" si="8">IF(D18&gt;0,D17/D18,"")</f>
        <v>0.1748057272712826</v>
      </c>
      <c r="E21" s="40">
        <f t="shared" si="8"/>
        <v>0.109217999126256</v>
      </c>
      <c r="F21" s="40">
        <f t="shared" si="8"/>
        <v>8.2477318737347233E-2</v>
      </c>
      <c r="G21" s="40">
        <f t="shared" si="8"/>
        <v>6.923900044061182E-2</v>
      </c>
      <c r="H21" s="40">
        <f t="shared" si="8"/>
        <v>6.5734432891119882E-2</v>
      </c>
      <c r="I21" s="40">
        <f t="shared" si="8"/>
        <v>6.483822861959411E-2</v>
      </c>
      <c r="J21" s="40">
        <f t="shared" si="8"/>
        <v>7.7077231385848627E-2</v>
      </c>
      <c r="K21" s="40">
        <f t="shared" si="8"/>
        <v>9.7257342929391172E-2</v>
      </c>
      <c r="L21" s="40">
        <f t="shared" si="8"/>
        <v>0.12774655084312725</v>
      </c>
      <c r="M21" s="40">
        <f t="shared" si="8"/>
        <v>0.24249371720823598</v>
      </c>
      <c r="N21" s="40">
        <f t="shared" si="8"/>
        <v>0.29768348127300281</v>
      </c>
      <c r="O21" s="47">
        <f>O17/O18</f>
        <v>0.1044188143718259</v>
      </c>
      <c r="Q21" s="2"/>
      <c r="R21" s="101" t="s">
        <v>32</v>
      </c>
      <c r="S21" s="102"/>
    </row>
    <row r="22" spans="2:21" ht="15" thickBot="1">
      <c r="B22" s="44" t="s">
        <v>51</v>
      </c>
      <c r="C22" s="74">
        <f t="shared" ref="C22:O22" si="9">IF(C8&gt;0,100/C16*C6-100,"")</f>
        <v>-20</v>
      </c>
      <c r="D22" s="74">
        <f t="shared" si="9"/>
        <v>700</v>
      </c>
      <c r="E22" s="74">
        <f t="shared" si="9"/>
        <v>700</v>
      </c>
      <c r="F22" s="74">
        <f t="shared" si="9"/>
        <v>700</v>
      </c>
      <c r="G22" s="74">
        <f t="shared" si="9"/>
        <v>700</v>
      </c>
      <c r="H22" s="74">
        <f t="shared" si="9"/>
        <v>700</v>
      </c>
      <c r="I22" s="74">
        <f t="shared" si="9"/>
        <v>700</v>
      </c>
      <c r="J22" s="74">
        <f t="shared" si="9"/>
        <v>700</v>
      </c>
      <c r="K22" s="74">
        <f t="shared" si="9"/>
        <v>700</v>
      </c>
      <c r="L22" s="74">
        <f t="shared" si="9"/>
        <v>700</v>
      </c>
      <c r="M22" s="74">
        <f t="shared" si="9"/>
        <v>700</v>
      </c>
      <c r="N22" s="74">
        <f t="shared" si="9"/>
        <v>700</v>
      </c>
      <c r="O22" s="75">
        <f t="shared" si="9"/>
        <v>640</v>
      </c>
      <c r="Q22" s="2"/>
      <c r="R22" s="27" t="s">
        <v>22</v>
      </c>
      <c r="S22" s="28">
        <f>O5*S2</f>
        <v>0</v>
      </c>
      <c r="T22" s="106">
        <f>SUM(S22:S24)</f>
        <v>12012</v>
      </c>
      <c r="U22" s="39" t="s">
        <v>43</v>
      </c>
    </row>
    <row r="23" spans="2:21">
      <c r="Q23" s="2"/>
      <c r="R23" s="27" t="s">
        <v>54</v>
      </c>
      <c r="S23" s="28">
        <f>O6*S2</f>
        <v>0</v>
      </c>
      <c r="T23" s="107"/>
      <c r="U23" s="85">
        <f>1/'2025'!S7*T22</f>
        <v>1.0010000000000002E-3</v>
      </c>
    </row>
    <row r="24" spans="2:21" ht="15" thickBot="1">
      <c r="Q24" s="2"/>
      <c r="R24" s="29" t="s">
        <v>24</v>
      </c>
      <c r="S24" s="30">
        <f>O17*S4</f>
        <v>12012</v>
      </c>
      <c r="T24" s="91"/>
      <c r="U24" s="86"/>
    </row>
    <row r="25" spans="2:21" ht="15" thickBot="1">
      <c r="Q25" s="2"/>
    </row>
    <row r="26" spans="2:21">
      <c r="Q26" s="2"/>
      <c r="R26" s="87" t="s">
        <v>33</v>
      </c>
      <c r="S26" s="88"/>
    </row>
    <row r="27" spans="2:21" ht="15" thickBot="1">
      <c r="Q27" s="2"/>
      <c r="R27" s="31" t="s">
        <v>23</v>
      </c>
      <c r="S27" s="32">
        <f>O7*S2</f>
        <v>0</v>
      </c>
      <c r="U27" s="38"/>
    </row>
    <row r="28" spans="2:21">
      <c r="Q28" s="2"/>
    </row>
    <row r="29" spans="2:21">
      <c r="Q29" s="2"/>
    </row>
    <row r="30" spans="2:21">
      <c r="Q30" s="2"/>
    </row>
    <row r="31" spans="2:21">
      <c r="Q31" s="2"/>
    </row>
    <row r="32" spans="2:21">
      <c r="Q32" s="2"/>
    </row>
    <row r="33" spans="2:17">
      <c r="Q33" s="2"/>
    </row>
    <row r="34" spans="2:17">
      <c r="Q34" s="2"/>
    </row>
    <row r="35" spans="2:17">
      <c r="Q35" s="2"/>
    </row>
    <row r="36" spans="2:17">
      <c r="Q36" s="2"/>
    </row>
    <row r="37" spans="2:17">
      <c r="Q37" s="2"/>
    </row>
    <row r="38" spans="2:17">
      <c r="Q38" s="2"/>
    </row>
    <row r="39" spans="2:17">
      <c r="Q39" s="2"/>
    </row>
    <row r="40" spans="2:17">
      <c r="Q40" s="2"/>
    </row>
    <row r="43" spans="2:17">
      <c r="B43" s="5" t="s">
        <v>65</v>
      </c>
      <c r="C43" s="5">
        <f>C8</f>
        <v>6500</v>
      </c>
      <c r="D43" s="5">
        <f t="shared" ref="D43:O43" si="10">D8</f>
        <v>7000</v>
      </c>
      <c r="E43" s="5">
        <f t="shared" si="10"/>
        <v>7000</v>
      </c>
      <c r="F43" s="5">
        <f t="shared" si="10"/>
        <v>7000</v>
      </c>
      <c r="G43" s="5">
        <f t="shared" si="10"/>
        <v>7000</v>
      </c>
      <c r="H43" s="5">
        <f t="shared" si="10"/>
        <v>7000</v>
      </c>
      <c r="I43" s="5">
        <f t="shared" si="10"/>
        <v>7000</v>
      </c>
      <c r="J43" s="5">
        <f t="shared" si="10"/>
        <v>7000</v>
      </c>
      <c r="K43" s="5">
        <f t="shared" si="10"/>
        <v>7000</v>
      </c>
      <c r="L43" s="5">
        <f t="shared" si="10"/>
        <v>7000</v>
      </c>
      <c r="M43" s="5">
        <f t="shared" si="10"/>
        <v>7000</v>
      </c>
      <c r="N43" s="5">
        <f t="shared" si="10"/>
        <v>7000</v>
      </c>
      <c r="O43" s="5">
        <f t="shared" si="10"/>
        <v>83500</v>
      </c>
    </row>
    <row r="44" spans="2:17">
      <c r="B44" s="5" t="s">
        <v>62</v>
      </c>
      <c r="C44" s="5" t="s">
        <v>2</v>
      </c>
      <c r="D44" s="5" t="s">
        <v>3</v>
      </c>
      <c r="E44" s="5" t="s">
        <v>4</v>
      </c>
      <c r="F44" s="5" t="s">
        <v>5</v>
      </c>
      <c r="G44" s="5" t="s">
        <v>6</v>
      </c>
      <c r="H44" s="5" t="s">
        <v>7</v>
      </c>
      <c r="I44" s="5" t="s">
        <v>8</v>
      </c>
      <c r="J44" s="5" t="s">
        <v>9</v>
      </c>
      <c r="K44" s="5" t="s">
        <v>27</v>
      </c>
      <c r="L44" s="5" t="s">
        <v>10</v>
      </c>
      <c r="M44" s="5" t="s">
        <v>26</v>
      </c>
      <c r="N44" s="5" t="s">
        <v>25</v>
      </c>
      <c r="O44" s="5" t="s">
        <v>11</v>
      </c>
    </row>
    <row r="45" spans="2:17">
      <c r="B45" s="76" t="s">
        <v>63</v>
      </c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>
        <f>SUM(C45:N45)</f>
        <v>0</v>
      </c>
    </row>
    <row r="46" spans="2:17">
      <c r="B46" s="76" t="s">
        <v>64</v>
      </c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>
        <f t="shared" ref="O46:O53" si="11">SUM(C46:N46)</f>
        <v>0</v>
      </c>
    </row>
    <row r="47" spans="2:17">
      <c r="B47" s="76" t="s">
        <v>66</v>
      </c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>
        <f t="shared" si="11"/>
        <v>0</v>
      </c>
    </row>
    <row r="48" spans="2:17">
      <c r="B48" s="76" t="s">
        <v>67</v>
      </c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>
        <f t="shared" si="11"/>
        <v>0</v>
      </c>
    </row>
    <row r="49" spans="2:15">
      <c r="B49" s="76" t="s">
        <v>68</v>
      </c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>
        <f t="shared" si="11"/>
        <v>0</v>
      </c>
    </row>
    <row r="50" spans="2:15">
      <c r="B50" s="76" t="s">
        <v>69</v>
      </c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>
        <f t="shared" si="11"/>
        <v>0</v>
      </c>
    </row>
    <row r="51" spans="2:15">
      <c r="B51" s="76" t="s">
        <v>71</v>
      </c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>
        <f t="shared" si="11"/>
        <v>0</v>
      </c>
    </row>
    <row r="52" spans="2:15">
      <c r="B52" s="77" t="s">
        <v>72</v>
      </c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6">
        <f t="shared" si="11"/>
        <v>0</v>
      </c>
    </row>
    <row r="53" spans="2:15" ht="15" thickBot="1">
      <c r="B53" s="77" t="s">
        <v>70</v>
      </c>
      <c r="C53" s="77">
        <f>C43-C45-C46-C47-C48-C49-C50-C51-C52</f>
        <v>6500</v>
      </c>
      <c r="D53" s="77">
        <f t="shared" ref="D53:N53" si="12">D43-D45-D46-D47-D48-D49-D50-D51-D52</f>
        <v>7000</v>
      </c>
      <c r="E53" s="77">
        <f t="shared" si="12"/>
        <v>7000</v>
      </c>
      <c r="F53" s="77">
        <f>(F43-F45-F46-F47-F48-F49-F50-F51-F52)</f>
        <v>7000</v>
      </c>
      <c r="G53" s="77">
        <f t="shared" si="12"/>
        <v>7000</v>
      </c>
      <c r="H53" s="77">
        <f t="shared" si="12"/>
        <v>7000</v>
      </c>
      <c r="I53" s="77">
        <f t="shared" si="12"/>
        <v>7000</v>
      </c>
      <c r="J53" s="77">
        <f t="shared" si="12"/>
        <v>7000</v>
      </c>
      <c r="K53" s="77">
        <f t="shared" si="12"/>
        <v>7000</v>
      </c>
      <c r="L53" s="77">
        <f t="shared" si="12"/>
        <v>7000</v>
      </c>
      <c r="M53" s="77">
        <f t="shared" si="12"/>
        <v>7000</v>
      </c>
      <c r="N53" s="77">
        <f t="shared" si="12"/>
        <v>7000</v>
      </c>
      <c r="O53" s="76">
        <f t="shared" si="11"/>
        <v>83500</v>
      </c>
    </row>
    <row r="54" spans="2:15" ht="15" thickBot="1">
      <c r="B54" s="78" t="s">
        <v>11</v>
      </c>
      <c r="C54" s="79">
        <f>SUM(C45:C53)</f>
        <v>6500</v>
      </c>
      <c r="D54" s="79">
        <f t="shared" ref="D54:O54" si="13">SUM(D45:D53)</f>
        <v>7000</v>
      </c>
      <c r="E54" s="79">
        <f t="shared" si="13"/>
        <v>7000</v>
      </c>
      <c r="F54" s="79">
        <f t="shared" si="13"/>
        <v>7000</v>
      </c>
      <c r="G54" s="79">
        <f t="shared" si="13"/>
        <v>7000</v>
      </c>
      <c r="H54" s="79">
        <f t="shared" si="13"/>
        <v>7000</v>
      </c>
      <c r="I54" s="79">
        <f t="shared" si="13"/>
        <v>7000</v>
      </c>
      <c r="J54" s="79">
        <f t="shared" si="13"/>
        <v>7000</v>
      </c>
      <c r="K54" s="79">
        <f t="shared" si="13"/>
        <v>7000</v>
      </c>
      <c r="L54" s="79">
        <f t="shared" si="13"/>
        <v>7000</v>
      </c>
      <c r="M54" s="79">
        <f t="shared" si="13"/>
        <v>7000</v>
      </c>
      <c r="N54" s="79">
        <f t="shared" si="13"/>
        <v>7000</v>
      </c>
      <c r="O54" s="79">
        <f t="shared" si="13"/>
        <v>83500</v>
      </c>
    </row>
  </sheetData>
  <mergeCells count="12">
    <mergeCell ref="T22:T24"/>
    <mergeCell ref="U23:U24"/>
    <mergeCell ref="R26:S26"/>
    <mergeCell ref="A1:P1"/>
    <mergeCell ref="R1:S1"/>
    <mergeCell ref="B3:O3"/>
    <mergeCell ref="P5:P6"/>
    <mergeCell ref="R6:S6"/>
    <mergeCell ref="R10:S10"/>
    <mergeCell ref="B13:O13"/>
    <mergeCell ref="R15:S15"/>
    <mergeCell ref="R21:S21"/>
  </mergeCells>
  <pageMargins left="0.7" right="0.7" top="0.78740157499999996" bottom="0.78740157499999996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workbookViewId="0">
      <selection activeCell="C15" sqref="C15:N15"/>
    </sheetView>
  </sheetViews>
  <sheetFormatPr baseColWidth="10" defaultRowHeight="14" x14ac:dyDescent="0"/>
  <cols>
    <col min="1" max="1" width="10.83203125" style="37"/>
    <col min="2" max="2" width="11.83203125" style="37" customWidth="1"/>
    <col min="3" max="14" width="9.5" style="37" customWidth="1"/>
    <col min="15" max="15" width="10.83203125" style="37"/>
    <col min="16" max="16" width="9.83203125" style="37" customWidth="1"/>
    <col min="17" max="17" width="2.83203125" style="37" customWidth="1"/>
    <col min="18" max="18" width="29.5" style="37" bestFit="1" customWidth="1"/>
    <col min="19" max="19" width="10.83203125" style="37"/>
    <col min="20" max="20" width="10.33203125" style="37" bestFit="1" customWidth="1"/>
    <col min="21" max="21" width="23.5" style="37" bestFit="1" customWidth="1"/>
    <col min="22" max="22" width="25.83203125" style="37" customWidth="1"/>
    <col min="23" max="16384" width="10.83203125" style="37"/>
  </cols>
  <sheetData>
    <row r="1" spans="1:22" ht="25">
      <c r="A1" s="92">
        <v>2033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2"/>
      <c r="R1" s="93" t="s">
        <v>28</v>
      </c>
      <c r="S1" s="94"/>
    </row>
    <row r="2" spans="1:22">
      <c r="Q2" s="2"/>
      <c r="R2" s="14" t="s">
        <v>80</v>
      </c>
      <c r="S2" s="15">
        <v>0</v>
      </c>
    </row>
    <row r="3" spans="1:22" ht="25">
      <c r="B3" s="96" t="s">
        <v>37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Q3" s="2"/>
      <c r="R3" s="112" t="s">
        <v>86</v>
      </c>
      <c r="S3" s="49">
        <f>'2032'!S3</f>
        <v>10000</v>
      </c>
    </row>
    <row r="4" spans="1:22" ht="15" thickBot="1">
      <c r="B4" s="5"/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27</v>
      </c>
      <c r="L4" s="5" t="s">
        <v>10</v>
      </c>
      <c r="M4" s="5" t="s">
        <v>26</v>
      </c>
      <c r="N4" s="5" t="s">
        <v>25</v>
      </c>
      <c r="O4" s="5" t="s">
        <v>11</v>
      </c>
      <c r="Q4" s="2"/>
      <c r="R4" s="16" t="s">
        <v>24</v>
      </c>
      <c r="S4" s="36">
        <f>'2032'!S4</f>
        <v>9.0999999999999998E-2</v>
      </c>
    </row>
    <row r="5" spans="1:22" ht="15" thickBot="1">
      <c r="B5" s="3" t="s">
        <v>13</v>
      </c>
      <c r="C5" s="37">
        <v>5000</v>
      </c>
      <c r="D5" s="37">
        <v>1000</v>
      </c>
      <c r="E5" s="37">
        <v>1000</v>
      </c>
      <c r="F5" s="37">
        <v>1000</v>
      </c>
      <c r="G5" s="37">
        <v>1000</v>
      </c>
      <c r="H5" s="37">
        <v>1000</v>
      </c>
      <c r="I5" s="37">
        <v>1000</v>
      </c>
      <c r="J5" s="37">
        <v>1000</v>
      </c>
      <c r="K5" s="37">
        <v>1000</v>
      </c>
      <c r="L5" s="37">
        <v>1000</v>
      </c>
      <c r="M5" s="37">
        <v>1000</v>
      </c>
      <c r="N5" s="37">
        <v>1000</v>
      </c>
      <c r="O5" s="5">
        <f t="shared" ref="O5:O7" si="0">SUM(C5:N5)</f>
        <v>16000</v>
      </c>
      <c r="P5" s="103">
        <f>O6+O5</f>
        <v>71500</v>
      </c>
      <c r="Q5" s="2"/>
    </row>
    <row r="6" spans="1:22" ht="15" thickTop="1">
      <c r="B6" s="4" t="s">
        <v>14</v>
      </c>
      <c r="C6" s="37">
        <v>500</v>
      </c>
      <c r="D6" s="37">
        <v>5000</v>
      </c>
      <c r="E6" s="37">
        <v>5000</v>
      </c>
      <c r="F6" s="37">
        <v>5000</v>
      </c>
      <c r="G6" s="37">
        <v>5000</v>
      </c>
      <c r="H6" s="37">
        <v>5000</v>
      </c>
      <c r="I6" s="37">
        <v>5000</v>
      </c>
      <c r="J6" s="37">
        <v>5000</v>
      </c>
      <c r="K6" s="37">
        <v>5000</v>
      </c>
      <c r="L6" s="37">
        <v>5000</v>
      </c>
      <c r="M6" s="37">
        <v>5000</v>
      </c>
      <c r="N6" s="37">
        <v>5000</v>
      </c>
      <c r="O6" s="5">
        <f t="shared" si="0"/>
        <v>55500</v>
      </c>
      <c r="P6" s="103"/>
      <c r="Q6" s="2"/>
      <c r="R6" s="104" t="s">
        <v>29</v>
      </c>
      <c r="S6" s="105"/>
      <c r="U6" s="55" t="s">
        <v>36</v>
      </c>
      <c r="V6" s="56" t="s">
        <v>53</v>
      </c>
    </row>
    <row r="7" spans="1:22" ht="15" thickBot="1">
      <c r="B7" s="8" t="s">
        <v>16</v>
      </c>
      <c r="C7" s="9">
        <v>1000</v>
      </c>
      <c r="D7" s="9">
        <v>1000</v>
      </c>
      <c r="E7" s="9">
        <v>1000</v>
      </c>
      <c r="F7" s="9">
        <v>1000</v>
      </c>
      <c r="G7" s="9">
        <v>1000</v>
      </c>
      <c r="H7" s="9">
        <v>1000</v>
      </c>
      <c r="I7" s="9">
        <v>1000</v>
      </c>
      <c r="J7" s="9">
        <v>1000</v>
      </c>
      <c r="K7" s="9">
        <v>1000</v>
      </c>
      <c r="L7" s="9">
        <v>1000</v>
      </c>
      <c r="M7" s="9">
        <v>1000</v>
      </c>
      <c r="N7" s="9">
        <v>1000</v>
      </c>
      <c r="O7" s="54">
        <f t="shared" si="0"/>
        <v>12000</v>
      </c>
      <c r="Q7" s="12"/>
      <c r="R7" s="17" t="s">
        <v>35</v>
      </c>
      <c r="S7" s="82">
        <f>'2032'!U7</f>
        <v>11113719.431238629</v>
      </c>
      <c r="T7" s="11"/>
      <c r="U7" s="57">
        <f>S7-T22</f>
        <v>11101707.431238629</v>
      </c>
      <c r="V7" s="60">
        <f>U7/T22</f>
        <v>924.21806786868376</v>
      </c>
    </row>
    <row r="8" spans="1:22" ht="16" thickTop="1" thickBot="1">
      <c r="B8" s="33" t="s">
        <v>12</v>
      </c>
      <c r="C8" s="33">
        <f t="shared" ref="C8:O8" si="1">SUM(C5:C7)</f>
        <v>6500</v>
      </c>
      <c r="D8" s="33">
        <f t="shared" si="1"/>
        <v>7000</v>
      </c>
      <c r="E8" s="33">
        <f t="shared" si="1"/>
        <v>7000</v>
      </c>
      <c r="F8" s="33">
        <f t="shared" si="1"/>
        <v>7000</v>
      </c>
      <c r="G8" s="33">
        <f t="shared" si="1"/>
        <v>7000</v>
      </c>
      <c r="H8" s="33">
        <f t="shared" si="1"/>
        <v>7000</v>
      </c>
      <c r="I8" s="33">
        <f t="shared" si="1"/>
        <v>7000</v>
      </c>
      <c r="J8" s="33">
        <f t="shared" si="1"/>
        <v>7000</v>
      </c>
      <c r="K8" s="33">
        <f t="shared" si="1"/>
        <v>7000</v>
      </c>
      <c r="L8" s="33">
        <f t="shared" si="1"/>
        <v>7000</v>
      </c>
      <c r="M8" s="33">
        <f t="shared" si="1"/>
        <v>7000</v>
      </c>
      <c r="N8" s="34">
        <f t="shared" si="1"/>
        <v>7000</v>
      </c>
      <c r="O8" s="33">
        <f t="shared" si="1"/>
        <v>83500</v>
      </c>
      <c r="Q8" s="12"/>
      <c r="R8" s="18" t="s">
        <v>34</v>
      </c>
      <c r="S8" s="83">
        <f>'2032'!U8</f>
        <v>4629148.1185151516</v>
      </c>
      <c r="T8" s="11"/>
      <c r="U8" s="58">
        <f>S8-((O6*S2)-O16*S4)</f>
        <v>4629830.6185151516</v>
      </c>
      <c r="V8" s="61">
        <f>U8/U9</f>
        <v>-6783.6346058830059</v>
      </c>
    </row>
    <row r="9" spans="1:22" ht="15" thickBot="1">
      <c r="B9" s="41" t="s">
        <v>40</v>
      </c>
      <c r="C9" s="42">
        <f t="shared" ref="C9:N9" si="2">IF(C8&gt;0,(C5+C6)/C8,"")</f>
        <v>0.84615384615384615</v>
      </c>
      <c r="D9" s="42">
        <f t="shared" si="2"/>
        <v>0.8571428571428571</v>
      </c>
      <c r="E9" s="42">
        <f t="shared" si="2"/>
        <v>0.8571428571428571</v>
      </c>
      <c r="F9" s="42">
        <f t="shared" si="2"/>
        <v>0.8571428571428571</v>
      </c>
      <c r="G9" s="42">
        <f t="shared" si="2"/>
        <v>0.8571428571428571</v>
      </c>
      <c r="H9" s="42">
        <f t="shared" si="2"/>
        <v>0.8571428571428571</v>
      </c>
      <c r="I9" s="42">
        <f t="shared" si="2"/>
        <v>0.8571428571428571</v>
      </c>
      <c r="J9" s="42">
        <f t="shared" si="2"/>
        <v>0.8571428571428571</v>
      </c>
      <c r="K9" s="42">
        <f t="shared" si="2"/>
        <v>0.8571428571428571</v>
      </c>
      <c r="L9" s="42">
        <f t="shared" si="2"/>
        <v>0.8571428571428571</v>
      </c>
      <c r="M9" s="42">
        <f t="shared" si="2"/>
        <v>0.8571428571428571</v>
      </c>
      <c r="N9" s="42">
        <f t="shared" si="2"/>
        <v>0.8571428571428571</v>
      </c>
      <c r="O9" s="46">
        <f>(O5+O6)/O8</f>
        <v>0.85628742514970058</v>
      </c>
      <c r="Q9" s="2"/>
      <c r="U9" s="65">
        <f>S8-U8</f>
        <v>-682.5</v>
      </c>
    </row>
    <row r="10" spans="1:22">
      <c r="B10" s="43" t="s">
        <v>41</v>
      </c>
      <c r="C10" s="40">
        <f t="shared" ref="C10:O10" si="3">IF(C8&gt;0,(C5+C6)/C18,"")</f>
        <v>0.11695657721260579</v>
      </c>
      <c r="D10" s="40">
        <f t="shared" si="3"/>
        <v>9.5348578511608689E-2</v>
      </c>
      <c r="E10" s="40">
        <f t="shared" si="3"/>
        <v>5.957345406886691E-2</v>
      </c>
      <c r="F10" s="40">
        <f t="shared" si="3"/>
        <v>4.4987628402189395E-2</v>
      </c>
      <c r="G10" s="40">
        <f t="shared" si="3"/>
        <v>3.7766727513060996E-2</v>
      </c>
      <c r="H10" s="40">
        <f t="shared" si="3"/>
        <v>3.5855145213338116E-2</v>
      </c>
      <c r="I10" s="40">
        <f t="shared" si="3"/>
        <v>3.5366306519778609E-2</v>
      </c>
      <c r="J10" s="40">
        <f t="shared" si="3"/>
        <v>4.2042126210462882E-2</v>
      </c>
      <c r="K10" s="40">
        <f t="shared" si="3"/>
        <v>5.3049459779667914E-2</v>
      </c>
      <c r="L10" s="40">
        <f t="shared" si="3"/>
        <v>6.9679936823523941E-2</v>
      </c>
      <c r="M10" s="40">
        <f t="shared" si="3"/>
        <v>0.13226930029540143</v>
      </c>
      <c r="N10" s="40">
        <f t="shared" si="3"/>
        <v>0.16237280796709244</v>
      </c>
      <c r="O10" s="47">
        <f t="shared" si="3"/>
        <v>5.6560191118072367E-2</v>
      </c>
      <c r="Q10" s="2"/>
      <c r="R10" s="97" t="s">
        <v>30</v>
      </c>
      <c r="S10" s="98"/>
    </row>
    <row r="11" spans="1:22" ht="15" thickBot="1">
      <c r="B11" s="44" t="s">
        <v>42</v>
      </c>
      <c r="C11" s="45">
        <f t="shared" ref="C11:N11" si="4">IF(C8&gt;0,C5*$S$2+C6*$S$2+C17*$S$4,"")</f>
        <v>1001</v>
      </c>
      <c r="D11" s="45">
        <f t="shared" si="4"/>
        <v>1001</v>
      </c>
      <c r="E11" s="45">
        <f t="shared" si="4"/>
        <v>1001</v>
      </c>
      <c r="F11" s="45">
        <f t="shared" si="4"/>
        <v>1001</v>
      </c>
      <c r="G11" s="45">
        <f t="shared" si="4"/>
        <v>1001</v>
      </c>
      <c r="H11" s="45">
        <f t="shared" si="4"/>
        <v>1001</v>
      </c>
      <c r="I11" s="45">
        <f t="shared" si="4"/>
        <v>1001</v>
      </c>
      <c r="J11" s="45">
        <f t="shared" si="4"/>
        <v>1001</v>
      </c>
      <c r="K11" s="45">
        <f t="shared" si="4"/>
        <v>1001</v>
      </c>
      <c r="L11" s="45">
        <f t="shared" si="4"/>
        <v>1001</v>
      </c>
      <c r="M11" s="45">
        <f t="shared" si="4"/>
        <v>1001</v>
      </c>
      <c r="N11" s="45">
        <f t="shared" si="4"/>
        <v>1001</v>
      </c>
      <c r="O11" s="48">
        <f>SUM(C11:N11)</f>
        <v>12012</v>
      </c>
      <c r="Q11" s="2"/>
      <c r="R11" s="19" t="s">
        <v>0</v>
      </c>
      <c r="S11" s="20">
        <f>P5/O8</f>
        <v>0.85628742514970058</v>
      </c>
    </row>
    <row r="12" spans="1:22" ht="15" thickBot="1">
      <c r="Q12" s="2"/>
      <c r="R12" s="21" t="s">
        <v>1</v>
      </c>
      <c r="S12" s="22">
        <f>P5/O18</f>
        <v>5.6560191118072367E-2</v>
      </c>
    </row>
    <row r="13" spans="1:22" ht="25">
      <c r="B13" s="95" t="s">
        <v>38</v>
      </c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Q13" s="2"/>
    </row>
    <row r="14" spans="1:22" ht="15" thickBot="1">
      <c r="B14" s="5"/>
      <c r="C14" s="5" t="s">
        <v>2</v>
      </c>
      <c r="D14" s="5" t="s">
        <v>3</v>
      </c>
      <c r="E14" s="5" t="s">
        <v>4</v>
      </c>
      <c r="F14" s="5" t="s">
        <v>5</v>
      </c>
      <c r="G14" s="5" t="s">
        <v>6</v>
      </c>
      <c r="H14" s="5" t="s">
        <v>7</v>
      </c>
      <c r="I14" s="5" t="s">
        <v>8</v>
      </c>
      <c r="J14" s="5" t="s">
        <v>9</v>
      </c>
      <c r="K14" s="5" t="s">
        <v>27</v>
      </c>
      <c r="L14" s="5" t="s">
        <v>10</v>
      </c>
      <c r="M14" s="5" t="s">
        <v>26</v>
      </c>
      <c r="N14" s="5" t="s">
        <v>25</v>
      </c>
      <c r="O14" s="5" t="s">
        <v>11</v>
      </c>
      <c r="Q14" s="2"/>
      <c r="S14" s="11"/>
    </row>
    <row r="15" spans="1:22">
      <c r="B15" s="3" t="s">
        <v>13</v>
      </c>
      <c r="C15" s="123">
        <v>35401</v>
      </c>
      <c r="D15" s="123">
        <v>51302</v>
      </c>
      <c r="E15" s="123">
        <v>89091</v>
      </c>
      <c r="F15" s="123">
        <v>121745</v>
      </c>
      <c r="G15" s="123">
        <v>147245</v>
      </c>
      <c r="H15" s="123">
        <v>155715</v>
      </c>
      <c r="I15" s="123">
        <v>158028</v>
      </c>
      <c r="J15" s="123">
        <v>131089</v>
      </c>
      <c r="K15" s="123">
        <v>101477</v>
      </c>
      <c r="L15" s="123">
        <v>74483</v>
      </c>
      <c r="M15" s="123">
        <v>33737</v>
      </c>
      <c r="N15" s="123">
        <v>25327</v>
      </c>
      <c r="O15" s="5">
        <f t="shared" ref="O15:O17" si="5">SUM(C15:N15)</f>
        <v>1124640</v>
      </c>
      <c r="Q15" s="2"/>
      <c r="R15" s="99" t="s">
        <v>31</v>
      </c>
      <c r="S15" s="100"/>
    </row>
    <row r="16" spans="1:22">
      <c r="B16" s="1" t="s">
        <v>15</v>
      </c>
      <c r="C16" s="37">
        <v>625</v>
      </c>
      <c r="D16" s="37">
        <v>625</v>
      </c>
      <c r="E16" s="37">
        <v>625</v>
      </c>
      <c r="F16" s="37">
        <v>625</v>
      </c>
      <c r="G16" s="37">
        <v>625</v>
      </c>
      <c r="H16" s="37">
        <v>625</v>
      </c>
      <c r="I16" s="37">
        <v>625</v>
      </c>
      <c r="J16" s="37">
        <v>625</v>
      </c>
      <c r="K16" s="37">
        <v>625</v>
      </c>
      <c r="L16" s="37">
        <v>625</v>
      </c>
      <c r="M16" s="37">
        <v>625</v>
      </c>
      <c r="N16" s="37">
        <v>625</v>
      </c>
      <c r="O16" s="5">
        <f t="shared" si="5"/>
        <v>7500</v>
      </c>
      <c r="Q16" s="2"/>
      <c r="R16" s="23" t="s">
        <v>19</v>
      </c>
      <c r="S16" s="24">
        <f>O16</f>
        <v>7500</v>
      </c>
      <c r="U16" s="59" t="s">
        <v>48</v>
      </c>
    </row>
    <row r="17" spans="2:21" ht="15" thickBot="1">
      <c r="B17" s="10" t="s">
        <v>17</v>
      </c>
      <c r="C17" s="9">
        <v>11000</v>
      </c>
      <c r="D17" s="9">
        <v>11000</v>
      </c>
      <c r="E17" s="9">
        <v>11000</v>
      </c>
      <c r="F17" s="9">
        <v>11000</v>
      </c>
      <c r="G17" s="9">
        <v>11000</v>
      </c>
      <c r="H17" s="9">
        <v>11000</v>
      </c>
      <c r="I17" s="9">
        <v>11000</v>
      </c>
      <c r="J17" s="9">
        <v>11000</v>
      </c>
      <c r="K17" s="9">
        <v>11000</v>
      </c>
      <c r="L17" s="9">
        <v>11000</v>
      </c>
      <c r="M17" s="9">
        <v>11000</v>
      </c>
      <c r="N17" s="9">
        <v>11000</v>
      </c>
      <c r="O17" s="54">
        <f t="shared" si="5"/>
        <v>132000</v>
      </c>
      <c r="Q17" s="2"/>
      <c r="R17" s="23" t="s">
        <v>18</v>
      </c>
      <c r="S17" s="24">
        <f>O6</f>
        <v>55500</v>
      </c>
      <c r="U17" s="66" t="s">
        <v>49</v>
      </c>
    </row>
    <row r="18" spans="2:21" ht="16" thickTop="1" thickBot="1">
      <c r="B18" s="6" t="s">
        <v>12</v>
      </c>
      <c r="C18" s="6">
        <f>SUM(C15:C17)</f>
        <v>47026</v>
      </c>
      <c r="D18" s="6">
        <f t="shared" ref="D18:N18" si="6">SUM(D15:D17)</f>
        <v>62927</v>
      </c>
      <c r="E18" s="6">
        <f t="shared" si="6"/>
        <v>100716</v>
      </c>
      <c r="F18" s="6">
        <f t="shared" si="6"/>
        <v>133370</v>
      </c>
      <c r="G18" s="6">
        <f t="shared" si="6"/>
        <v>158870</v>
      </c>
      <c r="H18" s="6">
        <f t="shared" si="6"/>
        <v>167340</v>
      </c>
      <c r="I18" s="6">
        <f t="shared" si="6"/>
        <v>169653</v>
      </c>
      <c r="J18" s="6">
        <f t="shared" si="6"/>
        <v>142714</v>
      </c>
      <c r="K18" s="6">
        <f t="shared" si="6"/>
        <v>113102</v>
      </c>
      <c r="L18" s="6">
        <f t="shared" si="6"/>
        <v>86108</v>
      </c>
      <c r="M18" s="6">
        <f t="shared" si="6"/>
        <v>45362</v>
      </c>
      <c r="N18" s="7">
        <f t="shared" si="6"/>
        <v>36952</v>
      </c>
      <c r="O18" s="6">
        <f>SUM(O15:O17)</f>
        <v>1264140</v>
      </c>
      <c r="Q18" s="2"/>
      <c r="R18" s="23" t="s">
        <v>20</v>
      </c>
      <c r="S18" s="24">
        <f>100/S16*S17</f>
        <v>740</v>
      </c>
      <c r="U18" s="59" t="s">
        <v>50</v>
      </c>
    </row>
    <row r="19" spans="2:21" ht="15" thickBot="1">
      <c r="B19" s="41" t="s">
        <v>44</v>
      </c>
      <c r="C19" s="50">
        <f>IF(C18&gt;0,C18/$S$3,"")</f>
        <v>4.7026000000000003</v>
      </c>
      <c r="D19" s="50">
        <f t="shared" ref="D19:N19" si="7">IF(D18&gt;0,D18/$S$3,"")</f>
        <v>6.2927</v>
      </c>
      <c r="E19" s="50">
        <f t="shared" si="7"/>
        <v>10.0716</v>
      </c>
      <c r="F19" s="50">
        <f t="shared" si="7"/>
        <v>13.337</v>
      </c>
      <c r="G19" s="50">
        <f t="shared" si="7"/>
        <v>15.887</v>
      </c>
      <c r="H19" s="50">
        <f t="shared" si="7"/>
        <v>16.734000000000002</v>
      </c>
      <c r="I19" s="50">
        <f t="shared" si="7"/>
        <v>16.965299999999999</v>
      </c>
      <c r="J19" s="50">
        <f t="shared" si="7"/>
        <v>14.2714</v>
      </c>
      <c r="K19" s="50">
        <f t="shared" si="7"/>
        <v>11.3102</v>
      </c>
      <c r="L19" s="50">
        <f t="shared" si="7"/>
        <v>8.6107999999999993</v>
      </c>
      <c r="M19" s="50">
        <f t="shared" si="7"/>
        <v>4.5362</v>
      </c>
      <c r="N19" s="50">
        <f t="shared" si="7"/>
        <v>3.6951999999999998</v>
      </c>
      <c r="O19" s="53">
        <f>SUM(C19:N19)</f>
        <v>126.41399999999999</v>
      </c>
      <c r="Q19" s="2"/>
      <c r="R19" s="25" t="s">
        <v>21</v>
      </c>
      <c r="S19" s="26">
        <f>100-S18</f>
        <v>-640</v>
      </c>
    </row>
    <row r="20" spans="2:21" ht="15" thickBot="1">
      <c r="B20" s="43" t="s">
        <v>46</v>
      </c>
      <c r="C20" s="51">
        <f>IF(C8&gt;0,C16/31,"")</f>
        <v>20.161290322580644</v>
      </c>
      <c r="D20" s="51">
        <f>IF(D8&gt;0,D16/28,"")</f>
        <v>22.321428571428573</v>
      </c>
      <c r="E20" s="51">
        <f>IF(E8&gt;0,E16/31,"")</f>
        <v>20.161290322580644</v>
      </c>
      <c r="F20" s="51">
        <f>IF(F8&gt;0,F16/30,"")</f>
        <v>20.833333333333332</v>
      </c>
      <c r="G20" s="51">
        <f>IF(G8&gt;0,G16/31,"")</f>
        <v>20.161290322580644</v>
      </c>
      <c r="H20" s="51">
        <f>IF(H8&gt;0,H16/30,"")</f>
        <v>20.833333333333332</v>
      </c>
      <c r="I20" s="51">
        <f>IF(I8&gt;0,I16/31,"")</f>
        <v>20.161290322580644</v>
      </c>
      <c r="J20" s="51">
        <f>IF(J8&gt;0,J16/31,"")</f>
        <v>20.161290322580644</v>
      </c>
      <c r="K20" s="51">
        <f>IF(K8&gt;0,K16/30,"")</f>
        <v>20.833333333333332</v>
      </c>
      <c r="L20" s="51">
        <f>IF(L8&gt;0,L16/31,"")</f>
        <v>20.161290322580644</v>
      </c>
      <c r="M20" s="51">
        <f>IF(M8&gt;0,M16/30,"")</f>
        <v>20.833333333333332</v>
      </c>
      <c r="N20" s="51">
        <f>IF(N8&gt;0,N16/31,"")</f>
        <v>20.161290322580644</v>
      </c>
      <c r="O20" s="52">
        <f>SUM(C20:N20)/COUNT(C20:N20)</f>
        <v>20.565316180235534</v>
      </c>
      <c r="Q20" s="2"/>
    </row>
    <row r="21" spans="2:21" ht="15" thickBot="1">
      <c r="B21" s="43" t="s">
        <v>47</v>
      </c>
      <c r="C21" s="40">
        <f>IF(C18&gt;0,C17/C18,"")</f>
        <v>0.23391315442521157</v>
      </c>
      <c r="D21" s="40">
        <f t="shared" ref="D21:N21" si="8">IF(D18&gt;0,D17/D18,"")</f>
        <v>0.1748057272712826</v>
      </c>
      <c r="E21" s="40">
        <f t="shared" si="8"/>
        <v>0.109217999126256</v>
      </c>
      <c r="F21" s="40">
        <f t="shared" si="8"/>
        <v>8.2477318737347233E-2</v>
      </c>
      <c r="G21" s="40">
        <f t="shared" si="8"/>
        <v>6.923900044061182E-2</v>
      </c>
      <c r="H21" s="40">
        <f t="shared" si="8"/>
        <v>6.5734432891119882E-2</v>
      </c>
      <c r="I21" s="40">
        <f t="shared" si="8"/>
        <v>6.483822861959411E-2</v>
      </c>
      <c r="J21" s="40">
        <f t="shared" si="8"/>
        <v>7.7077231385848627E-2</v>
      </c>
      <c r="K21" s="40">
        <f t="shared" si="8"/>
        <v>9.7257342929391172E-2</v>
      </c>
      <c r="L21" s="40">
        <f t="shared" si="8"/>
        <v>0.12774655084312725</v>
      </c>
      <c r="M21" s="40">
        <f t="shared" si="8"/>
        <v>0.24249371720823598</v>
      </c>
      <c r="N21" s="40">
        <f t="shared" si="8"/>
        <v>0.29768348127300281</v>
      </c>
      <c r="O21" s="47">
        <f>O17/O18</f>
        <v>0.1044188143718259</v>
      </c>
      <c r="Q21" s="2"/>
      <c r="R21" s="101" t="s">
        <v>32</v>
      </c>
      <c r="S21" s="102"/>
    </row>
    <row r="22" spans="2:21" ht="15" thickBot="1">
      <c r="B22" s="44" t="s">
        <v>51</v>
      </c>
      <c r="C22" s="74">
        <f t="shared" ref="C22:O22" si="9">IF(C8&gt;0,100/C16*C6-100,"")</f>
        <v>-20</v>
      </c>
      <c r="D22" s="74">
        <f t="shared" si="9"/>
        <v>700</v>
      </c>
      <c r="E22" s="74">
        <f t="shared" si="9"/>
        <v>700</v>
      </c>
      <c r="F22" s="74">
        <f t="shared" si="9"/>
        <v>700</v>
      </c>
      <c r="G22" s="74">
        <f t="shared" si="9"/>
        <v>700</v>
      </c>
      <c r="H22" s="74">
        <f t="shared" si="9"/>
        <v>700</v>
      </c>
      <c r="I22" s="74">
        <f t="shared" si="9"/>
        <v>700</v>
      </c>
      <c r="J22" s="74">
        <f t="shared" si="9"/>
        <v>700</v>
      </c>
      <c r="K22" s="74">
        <f t="shared" si="9"/>
        <v>700</v>
      </c>
      <c r="L22" s="74">
        <f t="shared" si="9"/>
        <v>700</v>
      </c>
      <c r="M22" s="74">
        <f t="shared" si="9"/>
        <v>700</v>
      </c>
      <c r="N22" s="74">
        <f t="shared" si="9"/>
        <v>700</v>
      </c>
      <c r="O22" s="75">
        <f t="shared" si="9"/>
        <v>640</v>
      </c>
      <c r="Q22" s="2"/>
      <c r="R22" s="27" t="s">
        <v>22</v>
      </c>
      <c r="S22" s="28">
        <f>O5*S2</f>
        <v>0</v>
      </c>
      <c r="T22" s="106">
        <f>SUM(S22:S24)</f>
        <v>12012</v>
      </c>
      <c r="U22" s="39" t="s">
        <v>43</v>
      </c>
    </row>
    <row r="23" spans="2:21">
      <c r="Q23" s="2"/>
      <c r="R23" s="27" t="s">
        <v>54</v>
      </c>
      <c r="S23" s="28">
        <f>O6*S2</f>
        <v>0</v>
      </c>
      <c r="T23" s="107"/>
      <c r="U23" s="85">
        <f>1/'2025'!S7*T22</f>
        <v>1.0010000000000002E-3</v>
      </c>
    </row>
    <row r="24" spans="2:21" ht="15" thickBot="1">
      <c r="Q24" s="2"/>
      <c r="R24" s="29" t="s">
        <v>24</v>
      </c>
      <c r="S24" s="30">
        <f>O17*S4</f>
        <v>12012</v>
      </c>
      <c r="T24" s="91"/>
      <c r="U24" s="86"/>
    </row>
    <row r="25" spans="2:21" ht="15" thickBot="1">
      <c r="Q25" s="2"/>
    </row>
    <row r="26" spans="2:21">
      <c r="Q26" s="2"/>
      <c r="R26" s="87" t="s">
        <v>33</v>
      </c>
      <c r="S26" s="88"/>
    </row>
    <row r="27" spans="2:21" ht="15" thickBot="1">
      <c r="Q27" s="2"/>
      <c r="R27" s="31" t="s">
        <v>23</v>
      </c>
      <c r="S27" s="32">
        <f>O7*S2</f>
        <v>0</v>
      </c>
      <c r="U27" s="38"/>
    </row>
    <row r="28" spans="2:21">
      <c r="Q28" s="2"/>
    </row>
    <row r="29" spans="2:21">
      <c r="Q29" s="2"/>
    </row>
    <row r="30" spans="2:21">
      <c r="Q30" s="2"/>
    </row>
    <row r="31" spans="2:21">
      <c r="Q31" s="2"/>
    </row>
    <row r="32" spans="2:21">
      <c r="Q32" s="2"/>
    </row>
    <row r="33" spans="2:17">
      <c r="Q33" s="2"/>
    </row>
    <row r="34" spans="2:17">
      <c r="Q34" s="2"/>
    </row>
    <row r="35" spans="2:17">
      <c r="Q35" s="2"/>
    </row>
    <row r="36" spans="2:17">
      <c r="Q36" s="2"/>
    </row>
    <row r="37" spans="2:17">
      <c r="Q37" s="2"/>
    </row>
    <row r="38" spans="2:17">
      <c r="Q38" s="2"/>
    </row>
    <row r="39" spans="2:17">
      <c r="Q39" s="2"/>
    </row>
    <row r="40" spans="2:17">
      <c r="Q40" s="2"/>
    </row>
    <row r="43" spans="2:17">
      <c r="B43" s="5" t="s">
        <v>65</v>
      </c>
      <c r="C43" s="5">
        <f>C8</f>
        <v>6500</v>
      </c>
      <c r="D43" s="5">
        <f t="shared" ref="D43:O43" si="10">D8</f>
        <v>7000</v>
      </c>
      <c r="E43" s="5">
        <f t="shared" si="10"/>
        <v>7000</v>
      </c>
      <c r="F43" s="5">
        <f t="shared" si="10"/>
        <v>7000</v>
      </c>
      <c r="G43" s="5">
        <f t="shared" si="10"/>
        <v>7000</v>
      </c>
      <c r="H43" s="5">
        <f t="shared" si="10"/>
        <v>7000</v>
      </c>
      <c r="I43" s="5">
        <f t="shared" si="10"/>
        <v>7000</v>
      </c>
      <c r="J43" s="5">
        <f t="shared" si="10"/>
        <v>7000</v>
      </c>
      <c r="K43" s="5">
        <f t="shared" si="10"/>
        <v>7000</v>
      </c>
      <c r="L43" s="5">
        <f t="shared" si="10"/>
        <v>7000</v>
      </c>
      <c r="M43" s="5">
        <f t="shared" si="10"/>
        <v>7000</v>
      </c>
      <c r="N43" s="5">
        <f t="shared" si="10"/>
        <v>7000</v>
      </c>
      <c r="O43" s="5">
        <f t="shared" si="10"/>
        <v>83500</v>
      </c>
    </row>
    <row r="44" spans="2:17">
      <c r="B44" s="5" t="s">
        <v>62</v>
      </c>
      <c r="C44" s="5" t="s">
        <v>2</v>
      </c>
      <c r="D44" s="5" t="s">
        <v>3</v>
      </c>
      <c r="E44" s="5" t="s">
        <v>4</v>
      </c>
      <c r="F44" s="5" t="s">
        <v>5</v>
      </c>
      <c r="G44" s="5" t="s">
        <v>6</v>
      </c>
      <c r="H44" s="5" t="s">
        <v>7</v>
      </c>
      <c r="I44" s="5" t="s">
        <v>8</v>
      </c>
      <c r="J44" s="5" t="s">
        <v>9</v>
      </c>
      <c r="K44" s="5" t="s">
        <v>27</v>
      </c>
      <c r="L44" s="5" t="s">
        <v>10</v>
      </c>
      <c r="M44" s="5" t="s">
        <v>26</v>
      </c>
      <c r="N44" s="5" t="s">
        <v>25</v>
      </c>
      <c r="O44" s="5" t="s">
        <v>11</v>
      </c>
    </row>
    <row r="45" spans="2:17">
      <c r="B45" s="76" t="s">
        <v>63</v>
      </c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>
        <f>SUM(C45:N45)</f>
        <v>0</v>
      </c>
    </row>
    <row r="46" spans="2:17">
      <c r="B46" s="76" t="s">
        <v>64</v>
      </c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>
        <f t="shared" ref="O46:O53" si="11">SUM(C46:N46)</f>
        <v>0</v>
      </c>
    </row>
    <row r="47" spans="2:17">
      <c r="B47" s="76" t="s">
        <v>66</v>
      </c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>
        <f t="shared" si="11"/>
        <v>0</v>
      </c>
    </row>
    <row r="48" spans="2:17">
      <c r="B48" s="76" t="s">
        <v>67</v>
      </c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>
        <f t="shared" si="11"/>
        <v>0</v>
      </c>
    </row>
    <row r="49" spans="2:15">
      <c r="B49" s="76" t="s">
        <v>68</v>
      </c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>
        <f t="shared" si="11"/>
        <v>0</v>
      </c>
    </row>
    <row r="50" spans="2:15">
      <c r="B50" s="76" t="s">
        <v>69</v>
      </c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>
        <f t="shared" si="11"/>
        <v>0</v>
      </c>
    </row>
    <row r="51" spans="2:15">
      <c r="B51" s="76" t="s">
        <v>71</v>
      </c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>
        <f t="shared" si="11"/>
        <v>0</v>
      </c>
    </row>
    <row r="52" spans="2:15">
      <c r="B52" s="77" t="s">
        <v>72</v>
      </c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6">
        <f t="shared" si="11"/>
        <v>0</v>
      </c>
    </row>
    <row r="53" spans="2:15" ht="15" thickBot="1">
      <c r="B53" s="77" t="s">
        <v>70</v>
      </c>
      <c r="C53" s="77">
        <f>C43-C45-C46-C47-C48-C49-C50-C51-C52</f>
        <v>6500</v>
      </c>
      <c r="D53" s="77">
        <f t="shared" ref="D53:N53" si="12">D43-D45-D46-D47-D48-D49-D50-D51-D52</f>
        <v>7000</v>
      </c>
      <c r="E53" s="77">
        <f t="shared" si="12"/>
        <v>7000</v>
      </c>
      <c r="F53" s="77">
        <f>(F43-F45-F46-F47-F48-F49-F50-F51-F52)</f>
        <v>7000</v>
      </c>
      <c r="G53" s="77">
        <f t="shared" si="12"/>
        <v>7000</v>
      </c>
      <c r="H53" s="77">
        <f t="shared" si="12"/>
        <v>7000</v>
      </c>
      <c r="I53" s="77">
        <f t="shared" si="12"/>
        <v>7000</v>
      </c>
      <c r="J53" s="77">
        <f t="shared" si="12"/>
        <v>7000</v>
      </c>
      <c r="K53" s="77">
        <f t="shared" si="12"/>
        <v>7000</v>
      </c>
      <c r="L53" s="77">
        <f t="shared" si="12"/>
        <v>7000</v>
      </c>
      <c r="M53" s="77">
        <f t="shared" si="12"/>
        <v>7000</v>
      </c>
      <c r="N53" s="77">
        <f t="shared" si="12"/>
        <v>7000</v>
      </c>
      <c r="O53" s="76">
        <f t="shared" si="11"/>
        <v>83500</v>
      </c>
    </row>
    <row r="54" spans="2:15" ht="15" thickBot="1">
      <c r="B54" s="78" t="s">
        <v>11</v>
      </c>
      <c r="C54" s="79">
        <f>SUM(C45:C53)</f>
        <v>6500</v>
      </c>
      <c r="D54" s="79">
        <f t="shared" ref="D54:O54" si="13">SUM(D45:D53)</f>
        <v>7000</v>
      </c>
      <c r="E54" s="79">
        <f t="shared" si="13"/>
        <v>7000</v>
      </c>
      <c r="F54" s="79">
        <f t="shared" si="13"/>
        <v>7000</v>
      </c>
      <c r="G54" s="79">
        <f t="shared" si="13"/>
        <v>7000</v>
      </c>
      <c r="H54" s="79">
        <f t="shared" si="13"/>
        <v>7000</v>
      </c>
      <c r="I54" s="79">
        <f t="shared" si="13"/>
        <v>7000</v>
      </c>
      <c r="J54" s="79">
        <f t="shared" si="13"/>
        <v>7000</v>
      </c>
      <c r="K54" s="79">
        <f t="shared" si="13"/>
        <v>7000</v>
      </c>
      <c r="L54" s="79">
        <f t="shared" si="13"/>
        <v>7000</v>
      </c>
      <c r="M54" s="79">
        <f t="shared" si="13"/>
        <v>7000</v>
      </c>
      <c r="N54" s="79">
        <f t="shared" si="13"/>
        <v>7000</v>
      </c>
      <c r="O54" s="79">
        <f t="shared" si="13"/>
        <v>83500</v>
      </c>
    </row>
  </sheetData>
  <mergeCells count="12">
    <mergeCell ref="T22:T24"/>
    <mergeCell ref="U23:U24"/>
    <mergeCell ref="R26:S26"/>
    <mergeCell ref="A1:P1"/>
    <mergeCell ref="R1:S1"/>
    <mergeCell ref="B3:O3"/>
    <mergeCell ref="P5:P6"/>
    <mergeCell ref="R6:S6"/>
    <mergeCell ref="R10:S10"/>
    <mergeCell ref="B13:O13"/>
    <mergeCell ref="R15:S15"/>
    <mergeCell ref="R21:S21"/>
  </mergeCells>
  <pageMargins left="0.7" right="0.7" top="0.78740157499999996" bottom="0.78740157499999996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2025</vt:lpstr>
      <vt:lpstr>2026</vt:lpstr>
      <vt:lpstr>2027</vt:lpstr>
      <vt:lpstr>2028</vt:lpstr>
      <vt:lpstr>2029</vt:lpstr>
      <vt:lpstr>2030</vt:lpstr>
      <vt:lpstr>2031</vt:lpstr>
      <vt:lpstr>2032</vt:lpstr>
      <vt:lpstr>2033</vt:lpstr>
      <vt:lpstr>2034</vt:lpstr>
      <vt:lpstr>2035</vt:lpstr>
      <vt:lpstr>2036</vt:lpstr>
      <vt:lpstr>2037</vt:lpstr>
      <vt:lpstr>2038</vt:lpstr>
      <vt:lpstr>2039</vt:lpstr>
      <vt:lpstr>2040</vt:lpstr>
      <vt:lpstr>Gesamt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Bächle</dc:creator>
  <cp:lastModifiedBy>admin</cp:lastModifiedBy>
  <dcterms:created xsi:type="dcterms:W3CDTF">2022-01-08T21:26:36Z</dcterms:created>
  <dcterms:modified xsi:type="dcterms:W3CDTF">2024-05-16T14:22:56Z</dcterms:modified>
</cp:coreProperties>
</file>