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40" windowWidth="28800" windowHeight="12280" tabRatio="601" activeTab="17"/>
  </bookViews>
  <sheets>
    <sheet name="Basicparameter" sheetId="51" r:id="rId1"/>
    <sheet name="2025" sheetId="1" r:id="rId2"/>
    <sheet name="2026" sheetId="3" r:id="rId3"/>
    <sheet name="2027" sheetId="5" r:id="rId4"/>
    <sheet name="2028" sheetId="16" r:id="rId5"/>
    <sheet name="2029" sheetId="39" r:id="rId6"/>
    <sheet name="2030" sheetId="40" r:id="rId7"/>
    <sheet name="2031" sheetId="41" r:id="rId8"/>
    <sheet name="2032" sheetId="42" r:id="rId9"/>
    <sheet name="2033" sheetId="43" r:id="rId10"/>
    <sheet name="2034" sheetId="44" r:id="rId11"/>
    <sheet name="2035" sheetId="45" r:id="rId12"/>
    <sheet name="2036" sheetId="46" r:id="rId13"/>
    <sheet name="2037" sheetId="47" r:id="rId14"/>
    <sheet name="2038" sheetId="48" r:id="rId15"/>
    <sheet name="2039" sheetId="49" r:id="rId16"/>
    <sheet name="2040" sheetId="50" r:id="rId17"/>
    <sheet name="Gesamt" sheetId="4" r:id="rId18"/>
  </sheets>
  <definedNames>
    <definedName name="_xlnm.Print_Area" localSheetId="1">'2025'!$P$21</definedName>
    <definedName name="Kapazität">'2026'!$C$5:$N$5</definedName>
    <definedName name="Überschuss">'2026'!$B$7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" i="4" l="1"/>
  <c r="U42" i="4"/>
  <c r="U39" i="4"/>
  <c r="U37" i="4"/>
  <c r="U36" i="4"/>
  <c r="U35" i="4"/>
  <c r="U34" i="4"/>
  <c r="U33" i="4"/>
  <c r="U31" i="4"/>
  <c r="U30" i="4"/>
  <c r="H17" i="4"/>
  <c r="S17" i="4"/>
  <c r="S20" i="4"/>
  <c r="T20" i="4"/>
  <c r="T19" i="4"/>
  <c r="T18" i="4"/>
  <c r="T17" i="4"/>
  <c r="T8" i="4"/>
  <c r="T7" i="4"/>
  <c r="T6" i="4"/>
  <c r="T5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N13" i="1"/>
  <c r="M13" i="1"/>
  <c r="L13" i="1"/>
  <c r="K13" i="1"/>
  <c r="J13" i="1"/>
  <c r="I13" i="1"/>
  <c r="H13" i="1"/>
  <c r="G13" i="1"/>
  <c r="F13" i="1"/>
  <c r="E13" i="1"/>
  <c r="D13" i="1"/>
  <c r="C13" i="1"/>
  <c r="C47" i="50"/>
  <c r="D47" i="50"/>
  <c r="E47" i="50"/>
  <c r="F47" i="50"/>
  <c r="G47" i="50"/>
  <c r="H47" i="50"/>
  <c r="I47" i="50"/>
  <c r="J47" i="50"/>
  <c r="K47" i="50"/>
  <c r="L47" i="50"/>
  <c r="M47" i="50"/>
  <c r="N47" i="50"/>
  <c r="O47" i="50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R17" i="4"/>
  <c r="Q17" i="4"/>
  <c r="P17" i="4"/>
  <c r="O17" i="4"/>
  <c r="N17" i="4"/>
  <c r="M17" i="4"/>
  <c r="L17" i="4"/>
  <c r="K17" i="4"/>
  <c r="J17" i="4"/>
  <c r="I17" i="4"/>
  <c r="G17" i="4"/>
  <c r="F17" i="4"/>
  <c r="E17" i="4"/>
  <c r="C17" i="4"/>
  <c r="D17" i="4"/>
  <c r="S11" i="4"/>
  <c r="S10" i="4"/>
  <c r="S9" i="4"/>
  <c r="S12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C36" i="1"/>
  <c r="C37" i="1"/>
  <c r="C38" i="1"/>
  <c r="C41" i="1"/>
  <c r="C34" i="1"/>
  <c r="C35" i="1"/>
  <c r="C42" i="1"/>
  <c r="C43" i="1"/>
  <c r="D36" i="1"/>
  <c r="D37" i="1"/>
  <c r="D38" i="1"/>
  <c r="D41" i="1"/>
  <c r="D34" i="1"/>
  <c r="D35" i="1"/>
  <c r="D42" i="1"/>
  <c r="D43" i="1"/>
  <c r="E36" i="1"/>
  <c r="E37" i="1"/>
  <c r="E38" i="1"/>
  <c r="E41" i="1"/>
  <c r="E34" i="1"/>
  <c r="E35" i="1"/>
  <c r="E42" i="1"/>
  <c r="E43" i="1"/>
  <c r="F36" i="1"/>
  <c r="F37" i="1"/>
  <c r="F38" i="1"/>
  <c r="F41" i="1"/>
  <c r="F34" i="1"/>
  <c r="F35" i="1"/>
  <c r="F42" i="1"/>
  <c r="F43" i="1"/>
  <c r="G36" i="1"/>
  <c r="G37" i="1"/>
  <c r="G38" i="1"/>
  <c r="G41" i="1"/>
  <c r="G34" i="1"/>
  <c r="G35" i="1"/>
  <c r="G42" i="1"/>
  <c r="G43" i="1"/>
  <c r="H36" i="1"/>
  <c r="H37" i="1"/>
  <c r="H38" i="1"/>
  <c r="H41" i="1"/>
  <c r="H34" i="1"/>
  <c r="H35" i="1"/>
  <c r="H42" i="1"/>
  <c r="H43" i="1"/>
  <c r="I36" i="1"/>
  <c r="I37" i="1"/>
  <c r="I38" i="1"/>
  <c r="I41" i="1"/>
  <c r="I34" i="1"/>
  <c r="I35" i="1"/>
  <c r="I42" i="1"/>
  <c r="I43" i="1"/>
  <c r="J36" i="1"/>
  <c r="J37" i="1"/>
  <c r="J38" i="1"/>
  <c r="J41" i="1"/>
  <c r="J34" i="1"/>
  <c r="J35" i="1"/>
  <c r="J42" i="1"/>
  <c r="J43" i="1"/>
  <c r="K36" i="1"/>
  <c r="K37" i="1"/>
  <c r="K38" i="1"/>
  <c r="K41" i="1"/>
  <c r="K34" i="1"/>
  <c r="K35" i="1"/>
  <c r="K42" i="1"/>
  <c r="K43" i="1"/>
  <c r="L36" i="1"/>
  <c r="L37" i="1"/>
  <c r="L38" i="1"/>
  <c r="L41" i="1"/>
  <c r="L34" i="1"/>
  <c r="L35" i="1"/>
  <c r="L42" i="1"/>
  <c r="L43" i="1"/>
  <c r="M36" i="1"/>
  <c r="M37" i="1"/>
  <c r="M38" i="1"/>
  <c r="M41" i="1"/>
  <c r="M34" i="1"/>
  <c r="M35" i="1"/>
  <c r="M42" i="1"/>
  <c r="M43" i="1"/>
  <c r="N36" i="1"/>
  <c r="N37" i="1"/>
  <c r="N38" i="1"/>
  <c r="N41" i="1"/>
  <c r="N34" i="1"/>
  <c r="N35" i="1"/>
  <c r="N42" i="1"/>
  <c r="N43" i="1"/>
  <c r="O43" i="1"/>
  <c r="O42" i="1"/>
  <c r="O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O39" i="1"/>
  <c r="O38" i="1"/>
  <c r="O36" i="1"/>
  <c r="O35" i="1"/>
  <c r="O34" i="1"/>
  <c r="O8" i="1"/>
  <c r="O7" i="1"/>
  <c r="C36" i="3"/>
  <c r="C37" i="3"/>
  <c r="C38" i="3"/>
  <c r="C41" i="3"/>
  <c r="C34" i="3"/>
  <c r="C35" i="3"/>
  <c r="C42" i="3"/>
  <c r="C43" i="3"/>
  <c r="D36" i="3"/>
  <c r="D37" i="3"/>
  <c r="D38" i="3"/>
  <c r="D41" i="3"/>
  <c r="D34" i="3"/>
  <c r="D35" i="3"/>
  <c r="D42" i="3"/>
  <c r="D43" i="3"/>
  <c r="E36" i="3"/>
  <c r="E37" i="3"/>
  <c r="E38" i="3"/>
  <c r="E41" i="3"/>
  <c r="E34" i="3"/>
  <c r="E35" i="3"/>
  <c r="E42" i="3"/>
  <c r="E43" i="3"/>
  <c r="F36" i="3"/>
  <c r="F37" i="3"/>
  <c r="F38" i="3"/>
  <c r="F41" i="3"/>
  <c r="F34" i="3"/>
  <c r="F35" i="3"/>
  <c r="F42" i="3"/>
  <c r="F43" i="3"/>
  <c r="G36" i="3"/>
  <c r="G37" i="3"/>
  <c r="G38" i="3"/>
  <c r="G41" i="3"/>
  <c r="G34" i="3"/>
  <c r="G35" i="3"/>
  <c r="G42" i="3"/>
  <c r="G43" i="3"/>
  <c r="H36" i="3"/>
  <c r="H37" i="3"/>
  <c r="H38" i="3"/>
  <c r="H41" i="3"/>
  <c r="H34" i="3"/>
  <c r="H35" i="3"/>
  <c r="H42" i="3"/>
  <c r="H43" i="3"/>
  <c r="I36" i="3"/>
  <c r="I37" i="3"/>
  <c r="I38" i="3"/>
  <c r="I41" i="3"/>
  <c r="I34" i="3"/>
  <c r="I35" i="3"/>
  <c r="I42" i="3"/>
  <c r="I43" i="3"/>
  <c r="J36" i="3"/>
  <c r="J37" i="3"/>
  <c r="J38" i="3"/>
  <c r="J41" i="3"/>
  <c r="J34" i="3"/>
  <c r="J35" i="3"/>
  <c r="J42" i="3"/>
  <c r="J43" i="3"/>
  <c r="K36" i="3"/>
  <c r="K37" i="3"/>
  <c r="K38" i="3"/>
  <c r="K41" i="3"/>
  <c r="K34" i="3"/>
  <c r="K35" i="3"/>
  <c r="K42" i="3"/>
  <c r="K43" i="3"/>
  <c r="L36" i="3"/>
  <c r="L37" i="3"/>
  <c r="L38" i="3"/>
  <c r="L41" i="3"/>
  <c r="L34" i="3"/>
  <c r="L35" i="3"/>
  <c r="L42" i="3"/>
  <c r="L43" i="3"/>
  <c r="M36" i="3"/>
  <c r="M37" i="3"/>
  <c r="M38" i="3"/>
  <c r="M41" i="3"/>
  <c r="M34" i="3"/>
  <c r="M35" i="3"/>
  <c r="M42" i="3"/>
  <c r="M43" i="3"/>
  <c r="N36" i="3"/>
  <c r="N37" i="3"/>
  <c r="N38" i="3"/>
  <c r="N41" i="3"/>
  <c r="N34" i="3"/>
  <c r="N35" i="3"/>
  <c r="N42" i="3"/>
  <c r="N43" i="3"/>
  <c r="O43" i="3"/>
  <c r="O42" i="3"/>
  <c r="O41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O39" i="3"/>
  <c r="O38" i="3"/>
  <c r="O36" i="3"/>
  <c r="O35" i="3"/>
  <c r="O34" i="3"/>
  <c r="O8" i="3"/>
  <c r="O7" i="3"/>
  <c r="C36" i="5"/>
  <c r="C37" i="5"/>
  <c r="C38" i="5"/>
  <c r="C41" i="5"/>
  <c r="C34" i="5"/>
  <c r="C35" i="5"/>
  <c r="C42" i="5"/>
  <c r="C43" i="5"/>
  <c r="D36" i="5"/>
  <c r="D37" i="5"/>
  <c r="D38" i="5"/>
  <c r="D41" i="5"/>
  <c r="D34" i="5"/>
  <c r="D35" i="5"/>
  <c r="D42" i="5"/>
  <c r="D43" i="5"/>
  <c r="E36" i="5"/>
  <c r="E37" i="5"/>
  <c r="E38" i="5"/>
  <c r="E41" i="5"/>
  <c r="E34" i="5"/>
  <c r="E35" i="5"/>
  <c r="E42" i="5"/>
  <c r="E43" i="5"/>
  <c r="F36" i="5"/>
  <c r="F37" i="5"/>
  <c r="F38" i="5"/>
  <c r="F41" i="5"/>
  <c r="F34" i="5"/>
  <c r="F35" i="5"/>
  <c r="F42" i="5"/>
  <c r="F43" i="5"/>
  <c r="G36" i="5"/>
  <c r="G37" i="5"/>
  <c r="G38" i="5"/>
  <c r="G41" i="5"/>
  <c r="G34" i="5"/>
  <c r="G35" i="5"/>
  <c r="G42" i="5"/>
  <c r="G43" i="5"/>
  <c r="H36" i="5"/>
  <c r="H37" i="5"/>
  <c r="H38" i="5"/>
  <c r="H41" i="5"/>
  <c r="H34" i="5"/>
  <c r="H35" i="5"/>
  <c r="H42" i="5"/>
  <c r="H43" i="5"/>
  <c r="I36" i="5"/>
  <c r="I37" i="5"/>
  <c r="I38" i="5"/>
  <c r="I41" i="5"/>
  <c r="I34" i="5"/>
  <c r="I35" i="5"/>
  <c r="I42" i="5"/>
  <c r="I43" i="5"/>
  <c r="J36" i="5"/>
  <c r="J37" i="5"/>
  <c r="J38" i="5"/>
  <c r="J41" i="5"/>
  <c r="J34" i="5"/>
  <c r="J35" i="5"/>
  <c r="J42" i="5"/>
  <c r="J43" i="5"/>
  <c r="K36" i="5"/>
  <c r="K37" i="5"/>
  <c r="K38" i="5"/>
  <c r="K41" i="5"/>
  <c r="K34" i="5"/>
  <c r="K35" i="5"/>
  <c r="K42" i="5"/>
  <c r="K43" i="5"/>
  <c r="L36" i="5"/>
  <c r="L37" i="5"/>
  <c r="L38" i="5"/>
  <c r="L41" i="5"/>
  <c r="L34" i="5"/>
  <c r="L35" i="5"/>
  <c r="L42" i="5"/>
  <c r="L43" i="5"/>
  <c r="M36" i="5"/>
  <c r="M37" i="5"/>
  <c r="M38" i="5"/>
  <c r="M41" i="5"/>
  <c r="M34" i="5"/>
  <c r="M35" i="5"/>
  <c r="M42" i="5"/>
  <c r="M43" i="5"/>
  <c r="N36" i="5"/>
  <c r="N37" i="5"/>
  <c r="N38" i="5"/>
  <c r="N41" i="5"/>
  <c r="N34" i="5"/>
  <c r="N35" i="5"/>
  <c r="N42" i="5"/>
  <c r="N43" i="5"/>
  <c r="O43" i="5"/>
  <c r="O42" i="5"/>
  <c r="O41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O39" i="5"/>
  <c r="O38" i="5"/>
  <c r="O36" i="5"/>
  <c r="O35" i="5"/>
  <c r="O34" i="5"/>
  <c r="O8" i="5"/>
  <c r="O7" i="5"/>
  <c r="C36" i="16"/>
  <c r="C37" i="16"/>
  <c r="C38" i="16"/>
  <c r="C41" i="16"/>
  <c r="C34" i="16"/>
  <c r="C35" i="16"/>
  <c r="C42" i="16"/>
  <c r="C43" i="16"/>
  <c r="D36" i="16"/>
  <c r="D37" i="16"/>
  <c r="D38" i="16"/>
  <c r="D41" i="16"/>
  <c r="D34" i="16"/>
  <c r="D35" i="16"/>
  <c r="D42" i="16"/>
  <c r="D43" i="16"/>
  <c r="E36" i="16"/>
  <c r="E37" i="16"/>
  <c r="E38" i="16"/>
  <c r="E41" i="16"/>
  <c r="E34" i="16"/>
  <c r="E35" i="16"/>
  <c r="E42" i="16"/>
  <c r="E43" i="16"/>
  <c r="F36" i="16"/>
  <c r="F37" i="16"/>
  <c r="F38" i="16"/>
  <c r="F41" i="16"/>
  <c r="F34" i="16"/>
  <c r="F35" i="16"/>
  <c r="F42" i="16"/>
  <c r="F43" i="16"/>
  <c r="G36" i="16"/>
  <c r="G37" i="16"/>
  <c r="G38" i="16"/>
  <c r="G41" i="16"/>
  <c r="G34" i="16"/>
  <c r="G35" i="16"/>
  <c r="G42" i="16"/>
  <c r="G43" i="16"/>
  <c r="H36" i="16"/>
  <c r="H37" i="16"/>
  <c r="H38" i="16"/>
  <c r="H41" i="16"/>
  <c r="H34" i="16"/>
  <c r="H35" i="16"/>
  <c r="H42" i="16"/>
  <c r="H43" i="16"/>
  <c r="I36" i="16"/>
  <c r="I37" i="16"/>
  <c r="I38" i="16"/>
  <c r="I41" i="16"/>
  <c r="I34" i="16"/>
  <c r="I35" i="16"/>
  <c r="I42" i="16"/>
  <c r="I43" i="16"/>
  <c r="J36" i="16"/>
  <c r="J37" i="16"/>
  <c r="J38" i="16"/>
  <c r="J41" i="16"/>
  <c r="J34" i="16"/>
  <c r="J35" i="16"/>
  <c r="J42" i="16"/>
  <c r="J43" i="16"/>
  <c r="K36" i="16"/>
  <c r="K37" i="16"/>
  <c r="K38" i="16"/>
  <c r="K41" i="16"/>
  <c r="K34" i="16"/>
  <c r="K35" i="16"/>
  <c r="K42" i="16"/>
  <c r="K43" i="16"/>
  <c r="L36" i="16"/>
  <c r="L37" i="16"/>
  <c r="L38" i="16"/>
  <c r="L41" i="16"/>
  <c r="L34" i="16"/>
  <c r="L35" i="16"/>
  <c r="L42" i="16"/>
  <c r="L43" i="16"/>
  <c r="M36" i="16"/>
  <c r="M37" i="16"/>
  <c r="M38" i="16"/>
  <c r="M41" i="16"/>
  <c r="M34" i="16"/>
  <c r="M35" i="16"/>
  <c r="M42" i="16"/>
  <c r="M43" i="16"/>
  <c r="N36" i="16"/>
  <c r="N37" i="16"/>
  <c r="N38" i="16"/>
  <c r="N41" i="16"/>
  <c r="N34" i="16"/>
  <c r="N35" i="16"/>
  <c r="N42" i="16"/>
  <c r="N43" i="16"/>
  <c r="O43" i="16"/>
  <c r="O42" i="16"/>
  <c r="O41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O39" i="16"/>
  <c r="O38" i="16"/>
  <c r="O36" i="16"/>
  <c r="O35" i="16"/>
  <c r="O34" i="16"/>
  <c r="O8" i="16"/>
  <c r="O7" i="16"/>
  <c r="C36" i="39"/>
  <c r="C37" i="39"/>
  <c r="C38" i="39"/>
  <c r="C41" i="39"/>
  <c r="C34" i="39"/>
  <c r="C35" i="39"/>
  <c r="C42" i="39"/>
  <c r="C43" i="39"/>
  <c r="D36" i="39"/>
  <c r="D37" i="39"/>
  <c r="D38" i="39"/>
  <c r="D41" i="39"/>
  <c r="D34" i="39"/>
  <c r="D35" i="39"/>
  <c r="D42" i="39"/>
  <c r="D43" i="39"/>
  <c r="E36" i="39"/>
  <c r="E37" i="39"/>
  <c r="E38" i="39"/>
  <c r="E41" i="39"/>
  <c r="E34" i="39"/>
  <c r="E35" i="39"/>
  <c r="E42" i="39"/>
  <c r="E43" i="39"/>
  <c r="F36" i="39"/>
  <c r="F37" i="39"/>
  <c r="F38" i="39"/>
  <c r="F41" i="39"/>
  <c r="F34" i="39"/>
  <c r="F35" i="39"/>
  <c r="F42" i="39"/>
  <c r="F43" i="39"/>
  <c r="G36" i="39"/>
  <c r="G37" i="39"/>
  <c r="G38" i="39"/>
  <c r="G41" i="39"/>
  <c r="G34" i="39"/>
  <c r="G35" i="39"/>
  <c r="G42" i="39"/>
  <c r="G43" i="39"/>
  <c r="H36" i="39"/>
  <c r="H37" i="39"/>
  <c r="H38" i="39"/>
  <c r="H41" i="39"/>
  <c r="H34" i="39"/>
  <c r="H35" i="39"/>
  <c r="H42" i="39"/>
  <c r="H43" i="39"/>
  <c r="I36" i="39"/>
  <c r="I37" i="39"/>
  <c r="I38" i="39"/>
  <c r="I41" i="39"/>
  <c r="I34" i="39"/>
  <c r="I35" i="39"/>
  <c r="I42" i="39"/>
  <c r="I43" i="39"/>
  <c r="J36" i="39"/>
  <c r="J37" i="39"/>
  <c r="J38" i="39"/>
  <c r="J41" i="39"/>
  <c r="J34" i="39"/>
  <c r="J35" i="39"/>
  <c r="J42" i="39"/>
  <c r="J43" i="39"/>
  <c r="K36" i="39"/>
  <c r="K37" i="39"/>
  <c r="K38" i="39"/>
  <c r="K41" i="39"/>
  <c r="K34" i="39"/>
  <c r="K35" i="39"/>
  <c r="K42" i="39"/>
  <c r="K43" i="39"/>
  <c r="L36" i="39"/>
  <c r="L37" i="39"/>
  <c r="L38" i="39"/>
  <c r="L41" i="39"/>
  <c r="L34" i="39"/>
  <c r="L35" i="39"/>
  <c r="L42" i="39"/>
  <c r="L43" i="39"/>
  <c r="M36" i="39"/>
  <c r="M37" i="39"/>
  <c r="M38" i="39"/>
  <c r="M41" i="39"/>
  <c r="M34" i="39"/>
  <c r="M35" i="39"/>
  <c r="M42" i="39"/>
  <c r="M43" i="39"/>
  <c r="N36" i="39"/>
  <c r="N37" i="39"/>
  <c r="N38" i="39"/>
  <c r="N41" i="39"/>
  <c r="N34" i="39"/>
  <c r="N35" i="39"/>
  <c r="N42" i="39"/>
  <c r="N43" i="39"/>
  <c r="O43" i="39"/>
  <c r="O42" i="39"/>
  <c r="O41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O39" i="39"/>
  <c r="O38" i="39"/>
  <c r="O36" i="39"/>
  <c r="O35" i="39"/>
  <c r="O34" i="39"/>
  <c r="O8" i="39"/>
  <c r="O7" i="39"/>
  <c r="C36" i="40"/>
  <c r="C37" i="40"/>
  <c r="C38" i="40"/>
  <c r="C41" i="40"/>
  <c r="C34" i="40"/>
  <c r="C35" i="40"/>
  <c r="C42" i="40"/>
  <c r="C43" i="40"/>
  <c r="D36" i="40"/>
  <c r="D37" i="40"/>
  <c r="D38" i="40"/>
  <c r="D41" i="40"/>
  <c r="D34" i="40"/>
  <c r="D35" i="40"/>
  <c r="D42" i="40"/>
  <c r="D43" i="40"/>
  <c r="E36" i="40"/>
  <c r="E37" i="40"/>
  <c r="E38" i="40"/>
  <c r="E41" i="40"/>
  <c r="E34" i="40"/>
  <c r="E35" i="40"/>
  <c r="E42" i="40"/>
  <c r="E43" i="40"/>
  <c r="F36" i="40"/>
  <c r="F37" i="40"/>
  <c r="F38" i="40"/>
  <c r="F41" i="40"/>
  <c r="F34" i="40"/>
  <c r="F35" i="40"/>
  <c r="F42" i="40"/>
  <c r="F43" i="40"/>
  <c r="G36" i="40"/>
  <c r="G37" i="40"/>
  <c r="G38" i="40"/>
  <c r="G41" i="40"/>
  <c r="G34" i="40"/>
  <c r="G35" i="40"/>
  <c r="G42" i="40"/>
  <c r="G43" i="40"/>
  <c r="H36" i="40"/>
  <c r="H37" i="40"/>
  <c r="H38" i="40"/>
  <c r="H41" i="40"/>
  <c r="H34" i="40"/>
  <c r="H35" i="40"/>
  <c r="H42" i="40"/>
  <c r="H43" i="40"/>
  <c r="I36" i="40"/>
  <c r="I37" i="40"/>
  <c r="I38" i="40"/>
  <c r="I41" i="40"/>
  <c r="I34" i="40"/>
  <c r="I35" i="40"/>
  <c r="I42" i="40"/>
  <c r="I43" i="40"/>
  <c r="J36" i="40"/>
  <c r="J37" i="40"/>
  <c r="J38" i="40"/>
  <c r="J41" i="40"/>
  <c r="J34" i="40"/>
  <c r="J35" i="40"/>
  <c r="J42" i="40"/>
  <c r="J43" i="40"/>
  <c r="K36" i="40"/>
  <c r="K37" i="40"/>
  <c r="K38" i="40"/>
  <c r="K41" i="40"/>
  <c r="K34" i="40"/>
  <c r="K35" i="40"/>
  <c r="K42" i="40"/>
  <c r="K43" i="40"/>
  <c r="L36" i="40"/>
  <c r="L37" i="40"/>
  <c r="L38" i="40"/>
  <c r="L41" i="40"/>
  <c r="L34" i="40"/>
  <c r="L35" i="40"/>
  <c r="L42" i="40"/>
  <c r="L43" i="40"/>
  <c r="M36" i="40"/>
  <c r="M37" i="40"/>
  <c r="M38" i="40"/>
  <c r="M41" i="40"/>
  <c r="M34" i="40"/>
  <c r="M35" i="40"/>
  <c r="M42" i="40"/>
  <c r="M43" i="40"/>
  <c r="N36" i="40"/>
  <c r="N37" i="40"/>
  <c r="N38" i="40"/>
  <c r="N41" i="40"/>
  <c r="N34" i="40"/>
  <c r="N35" i="40"/>
  <c r="N42" i="40"/>
  <c r="N43" i="40"/>
  <c r="O43" i="40"/>
  <c r="O42" i="40"/>
  <c r="O41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O39" i="40"/>
  <c r="O38" i="40"/>
  <c r="O36" i="40"/>
  <c r="O35" i="40"/>
  <c r="O34" i="40"/>
  <c r="O8" i="40"/>
  <c r="O7" i="40"/>
  <c r="C36" i="41"/>
  <c r="C37" i="41"/>
  <c r="C38" i="41"/>
  <c r="C41" i="41"/>
  <c r="C34" i="41"/>
  <c r="C35" i="41"/>
  <c r="C42" i="41"/>
  <c r="C43" i="41"/>
  <c r="D36" i="41"/>
  <c r="D37" i="41"/>
  <c r="D38" i="41"/>
  <c r="D41" i="41"/>
  <c r="D34" i="41"/>
  <c r="D35" i="41"/>
  <c r="D42" i="41"/>
  <c r="D43" i="41"/>
  <c r="E36" i="41"/>
  <c r="E37" i="41"/>
  <c r="E38" i="41"/>
  <c r="E41" i="41"/>
  <c r="E34" i="41"/>
  <c r="E35" i="41"/>
  <c r="E42" i="41"/>
  <c r="E43" i="41"/>
  <c r="F36" i="41"/>
  <c r="F37" i="41"/>
  <c r="F38" i="41"/>
  <c r="F41" i="41"/>
  <c r="F34" i="41"/>
  <c r="F35" i="41"/>
  <c r="F42" i="41"/>
  <c r="F43" i="41"/>
  <c r="G36" i="41"/>
  <c r="G37" i="41"/>
  <c r="G38" i="41"/>
  <c r="G41" i="41"/>
  <c r="G34" i="41"/>
  <c r="G35" i="41"/>
  <c r="G42" i="41"/>
  <c r="G43" i="41"/>
  <c r="H36" i="41"/>
  <c r="H37" i="41"/>
  <c r="H38" i="41"/>
  <c r="H41" i="41"/>
  <c r="H34" i="41"/>
  <c r="H35" i="41"/>
  <c r="H42" i="41"/>
  <c r="H43" i="41"/>
  <c r="I36" i="41"/>
  <c r="I37" i="41"/>
  <c r="I38" i="41"/>
  <c r="I41" i="41"/>
  <c r="I34" i="41"/>
  <c r="I35" i="41"/>
  <c r="I42" i="41"/>
  <c r="I43" i="41"/>
  <c r="J36" i="41"/>
  <c r="J37" i="41"/>
  <c r="J38" i="41"/>
  <c r="J41" i="41"/>
  <c r="J34" i="41"/>
  <c r="J35" i="41"/>
  <c r="J42" i="41"/>
  <c r="J43" i="41"/>
  <c r="K36" i="41"/>
  <c r="K37" i="41"/>
  <c r="K38" i="41"/>
  <c r="K41" i="41"/>
  <c r="K34" i="41"/>
  <c r="K35" i="41"/>
  <c r="K42" i="41"/>
  <c r="K43" i="41"/>
  <c r="L36" i="41"/>
  <c r="L37" i="41"/>
  <c r="L38" i="41"/>
  <c r="L41" i="41"/>
  <c r="L34" i="41"/>
  <c r="L35" i="41"/>
  <c r="L42" i="41"/>
  <c r="L43" i="41"/>
  <c r="M36" i="41"/>
  <c r="M37" i="41"/>
  <c r="M38" i="41"/>
  <c r="M41" i="41"/>
  <c r="M34" i="41"/>
  <c r="M35" i="41"/>
  <c r="M42" i="41"/>
  <c r="M43" i="41"/>
  <c r="N36" i="41"/>
  <c r="N37" i="41"/>
  <c r="N38" i="41"/>
  <c r="N41" i="41"/>
  <c r="N34" i="41"/>
  <c r="N35" i="41"/>
  <c r="N42" i="41"/>
  <c r="N43" i="41"/>
  <c r="O43" i="41"/>
  <c r="O42" i="41"/>
  <c r="O41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O39" i="41"/>
  <c r="O38" i="41"/>
  <c r="O36" i="41"/>
  <c r="O35" i="41"/>
  <c r="O34" i="41"/>
  <c r="O8" i="41"/>
  <c r="O7" i="41"/>
  <c r="C36" i="42"/>
  <c r="C37" i="42"/>
  <c r="C38" i="42"/>
  <c r="C41" i="42"/>
  <c r="C34" i="42"/>
  <c r="C35" i="42"/>
  <c r="C42" i="42"/>
  <c r="C43" i="42"/>
  <c r="D36" i="42"/>
  <c r="D37" i="42"/>
  <c r="D38" i="42"/>
  <c r="D41" i="42"/>
  <c r="D34" i="42"/>
  <c r="D35" i="42"/>
  <c r="D42" i="42"/>
  <c r="D43" i="42"/>
  <c r="E36" i="42"/>
  <c r="E37" i="42"/>
  <c r="E38" i="42"/>
  <c r="E41" i="42"/>
  <c r="E34" i="42"/>
  <c r="E35" i="42"/>
  <c r="E42" i="42"/>
  <c r="E43" i="42"/>
  <c r="F36" i="42"/>
  <c r="F37" i="42"/>
  <c r="F38" i="42"/>
  <c r="F41" i="42"/>
  <c r="F34" i="42"/>
  <c r="F35" i="42"/>
  <c r="F42" i="42"/>
  <c r="F43" i="42"/>
  <c r="G36" i="42"/>
  <c r="G37" i="42"/>
  <c r="G38" i="42"/>
  <c r="G41" i="42"/>
  <c r="G34" i="42"/>
  <c r="G35" i="42"/>
  <c r="G42" i="42"/>
  <c r="G43" i="42"/>
  <c r="H36" i="42"/>
  <c r="H37" i="42"/>
  <c r="H38" i="42"/>
  <c r="H41" i="42"/>
  <c r="H34" i="42"/>
  <c r="H35" i="42"/>
  <c r="H42" i="42"/>
  <c r="H43" i="42"/>
  <c r="I36" i="42"/>
  <c r="I37" i="42"/>
  <c r="I38" i="42"/>
  <c r="I41" i="42"/>
  <c r="I34" i="42"/>
  <c r="I35" i="42"/>
  <c r="I42" i="42"/>
  <c r="I43" i="42"/>
  <c r="J36" i="42"/>
  <c r="J37" i="42"/>
  <c r="J38" i="42"/>
  <c r="J41" i="42"/>
  <c r="J34" i="42"/>
  <c r="J35" i="42"/>
  <c r="J42" i="42"/>
  <c r="J43" i="42"/>
  <c r="K36" i="42"/>
  <c r="K37" i="42"/>
  <c r="K38" i="42"/>
  <c r="K41" i="42"/>
  <c r="K34" i="42"/>
  <c r="K35" i="42"/>
  <c r="K42" i="42"/>
  <c r="K43" i="42"/>
  <c r="L36" i="42"/>
  <c r="L37" i="42"/>
  <c r="L38" i="42"/>
  <c r="L41" i="42"/>
  <c r="L34" i="42"/>
  <c r="L35" i="42"/>
  <c r="L42" i="42"/>
  <c r="L43" i="42"/>
  <c r="M36" i="42"/>
  <c r="M37" i="42"/>
  <c r="M38" i="42"/>
  <c r="M41" i="42"/>
  <c r="M34" i="42"/>
  <c r="M35" i="42"/>
  <c r="M42" i="42"/>
  <c r="M43" i="42"/>
  <c r="N36" i="42"/>
  <c r="N37" i="42"/>
  <c r="N38" i="42"/>
  <c r="N41" i="42"/>
  <c r="N34" i="42"/>
  <c r="N35" i="42"/>
  <c r="N42" i="42"/>
  <c r="N43" i="42"/>
  <c r="O43" i="42"/>
  <c r="O42" i="42"/>
  <c r="O41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O39" i="42"/>
  <c r="O38" i="42"/>
  <c r="O36" i="42"/>
  <c r="O35" i="42"/>
  <c r="O34" i="42"/>
  <c r="O8" i="42"/>
  <c r="O7" i="42"/>
  <c r="C36" i="43"/>
  <c r="C37" i="43"/>
  <c r="C38" i="43"/>
  <c r="C41" i="43"/>
  <c r="C34" i="43"/>
  <c r="C35" i="43"/>
  <c r="C42" i="43"/>
  <c r="C43" i="43"/>
  <c r="D36" i="43"/>
  <c r="D37" i="43"/>
  <c r="D38" i="43"/>
  <c r="D41" i="43"/>
  <c r="D34" i="43"/>
  <c r="D35" i="43"/>
  <c r="D42" i="43"/>
  <c r="D43" i="43"/>
  <c r="E36" i="43"/>
  <c r="E37" i="43"/>
  <c r="E38" i="43"/>
  <c r="E41" i="43"/>
  <c r="E34" i="43"/>
  <c r="E35" i="43"/>
  <c r="E42" i="43"/>
  <c r="E43" i="43"/>
  <c r="F36" i="43"/>
  <c r="F37" i="43"/>
  <c r="F38" i="43"/>
  <c r="F41" i="43"/>
  <c r="F34" i="43"/>
  <c r="F35" i="43"/>
  <c r="F42" i="43"/>
  <c r="F43" i="43"/>
  <c r="G36" i="43"/>
  <c r="G37" i="43"/>
  <c r="G38" i="43"/>
  <c r="G41" i="43"/>
  <c r="G34" i="43"/>
  <c r="G35" i="43"/>
  <c r="G42" i="43"/>
  <c r="G43" i="43"/>
  <c r="H36" i="43"/>
  <c r="H37" i="43"/>
  <c r="H38" i="43"/>
  <c r="H41" i="43"/>
  <c r="H34" i="43"/>
  <c r="H35" i="43"/>
  <c r="H42" i="43"/>
  <c r="H43" i="43"/>
  <c r="I36" i="43"/>
  <c r="I37" i="43"/>
  <c r="I38" i="43"/>
  <c r="I41" i="43"/>
  <c r="I34" i="43"/>
  <c r="I35" i="43"/>
  <c r="I42" i="43"/>
  <c r="I43" i="43"/>
  <c r="J36" i="43"/>
  <c r="J37" i="43"/>
  <c r="J38" i="43"/>
  <c r="J41" i="43"/>
  <c r="J34" i="43"/>
  <c r="J35" i="43"/>
  <c r="J42" i="43"/>
  <c r="J43" i="43"/>
  <c r="K36" i="43"/>
  <c r="K37" i="43"/>
  <c r="K38" i="43"/>
  <c r="K41" i="43"/>
  <c r="K34" i="43"/>
  <c r="K35" i="43"/>
  <c r="K42" i="43"/>
  <c r="K43" i="43"/>
  <c r="L36" i="43"/>
  <c r="L37" i="43"/>
  <c r="L38" i="43"/>
  <c r="L41" i="43"/>
  <c r="L34" i="43"/>
  <c r="L35" i="43"/>
  <c r="L42" i="43"/>
  <c r="L43" i="43"/>
  <c r="M36" i="43"/>
  <c r="M37" i="43"/>
  <c r="M38" i="43"/>
  <c r="M41" i="43"/>
  <c r="M34" i="43"/>
  <c r="M35" i="43"/>
  <c r="M42" i="43"/>
  <c r="M43" i="43"/>
  <c r="N36" i="43"/>
  <c r="N37" i="43"/>
  <c r="N38" i="43"/>
  <c r="N41" i="43"/>
  <c r="N34" i="43"/>
  <c r="N35" i="43"/>
  <c r="N42" i="43"/>
  <c r="N43" i="43"/>
  <c r="O43" i="43"/>
  <c r="O42" i="43"/>
  <c r="O41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O39" i="43"/>
  <c r="O38" i="43"/>
  <c r="O36" i="43"/>
  <c r="O35" i="43"/>
  <c r="O34" i="43"/>
  <c r="O8" i="43"/>
  <c r="O7" i="43"/>
  <c r="C36" i="44"/>
  <c r="C37" i="44"/>
  <c r="C38" i="44"/>
  <c r="C41" i="44"/>
  <c r="C34" i="44"/>
  <c r="C35" i="44"/>
  <c r="C42" i="44"/>
  <c r="C43" i="44"/>
  <c r="D36" i="44"/>
  <c r="D37" i="44"/>
  <c r="D38" i="44"/>
  <c r="D41" i="44"/>
  <c r="D34" i="44"/>
  <c r="D35" i="44"/>
  <c r="D42" i="44"/>
  <c r="D43" i="44"/>
  <c r="E36" i="44"/>
  <c r="E37" i="44"/>
  <c r="E38" i="44"/>
  <c r="E41" i="44"/>
  <c r="E34" i="44"/>
  <c r="E35" i="44"/>
  <c r="E42" i="44"/>
  <c r="E43" i="44"/>
  <c r="F36" i="44"/>
  <c r="F37" i="44"/>
  <c r="F38" i="44"/>
  <c r="F41" i="44"/>
  <c r="F34" i="44"/>
  <c r="F35" i="44"/>
  <c r="F42" i="44"/>
  <c r="F43" i="44"/>
  <c r="G36" i="44"/>
  <c r="G37" i="44"/>
  <c r="G38" i="44"/>
  <c r="G41" i="44"/>
  <c r="G34" i="44"/>
  <c r="G35" i="44"/>
  <c r="G42" i="44"/>
  <c r="G43" i="44"/>
  <c r="H36" i="44"/>
  <c r="H37" i="44"/>
  <c r="H38" i="44"/>
  <c r="H41" i="44"/>
  <c r="H34" i="44"/>
  <c r="H35" i="44"/>
  <c r="H42" i="44"/>
  <c r="H43" i="44"/>
  <c r="I36" i="44"/>
  <c r="I37" i="44"/>
  <c r="I38" i="44"/>
  <c r="I41" i="44"/>
  <c r="I34" i="44"/>
  <c r="I35" i="44"/>
  <c r="I42" i="44"/>
  <c r="I43" i="44"/>
  <c r="J36" i="44"/>
  <c r="J37" i="44"/>
  <c r="J38" i="44"/>
  <c r="J41" i="44"/>
  <c r="J34" i="44"/>
  <c r="J35" i="44"/>
  <c r="J42" i="44"/>
  <c r="J43" i="44"/>
  <c r="K36" i="44"/>
  <c r="K37" i="44"/>
  <c r="K38" i="44"/>
  <c r="K41" i="44"/>
  <c r="K34" i="44"/>
  <c r="K35" i="44"/>
  <c r="K42" i="44"/>
  <c r="K43" i="44"/>
  <c r="L36" i="44"/>
  <c r="L37" i="44"/>
  <c r="L38" i="44"/>
  <c r="L41" i="44"/>
  <c r="L34" i="44"/>
  <c r="L35" i="44"/>
  <c r="L42" i="44"/>
  <c r="L43" i="44"/>
  <c r="M36" i="44"/>
  <c r="M37" i="44"/>
  <c r="M38" i="44"/>
  <c r="M41" i="44"/>
  <c r="M34" i="44"/>
  <c r="M35" i="44"/>
  <c r="M42" i="44"/>
  <c r="M43" i="44"/>
  <c r="N36" i="44"/>
  <c r="N37" i="44"/>
  <c r="N38" i="44"/>
  <c r="N41" i="44"/>
  <c r="N34" i="44"/>
  <c r="N35" i="44"/>
  <c r="N42" i="44"/>
  <c r="N43" i="44"/>
  <c r="O43" i="44"/>
  <c r="O42" i="44"/>
  <c r="O41" i="44"/>
  <c r="C40" i="44"/>
  <c r="D40" i="44"/>
  <c r="E40" i="44"/>
  <c r="F40" i="44"/>
  <c r="G40" i="44"/>
  <c r="H40" i="44"/>
  <c r="I40" i="44"/>
  <c r="J40" i="44"/>
  <c r="K40" i="44"/>
  <c r="L40" i="44"/>
  <c r="M40" i="44"/>
  <c r="N40" i="44"/>
  <c r="O40" i="44"/>
  <c r="O39" i="44"/>
  <c r="O38" i="44"/>
  <c r="O36" i="44"/>
  <c r="O35" i="44"/>
  <c r="O34" i="44"/>
  <c r="O8" i="44"/>
  <c r="O7" i="44"/>
  <c r="C36" i="45"/>
  <c r="C37" i="45"/>
  <c r="C38" i="45"/>
  <c r="C41" i="45"/>
  <c r="C34" i="45"/>
  <c r="C35" i="45"/>
  <c r="C42" i="45"/>
  <c r="C43" i="45"/>
  <c r="D36" i="45"/>
  <c r="D37" i="45"/>
  <c r="D38" i="45"/>
  <c r="D41" i="45"/>
  <c r="D34" i="45"/>
  <c r="D35" i="45"/>
  <c r="D42" i="45"/>
  <c r="D43" i="45"/>
  <c r="E36" i="45"/>
  <c r="E37" i="45"/>
  <c r="E38" i="45"/>
  <c r="E41" i="45"/>
  <c r="E34" i="45"/>
  <c r="E35" i="45"/>
  <c r="E42" i="45"/>
  <c r="E43" i="45"/>
  <c r="F36" i="45"/>
  <c r="F37" i="45"/>
  <c r="F38" i="45"/>
  <c r="F41" i="45"/>
  <c r="F34" i="45"/>
  <c r="F35" i="45"/>
  <c r="F42" i="45"/>
  <c r="F43" i="45"/>
  <c r="G36" i="45"/>
  <c r="G37" i="45"/>
  <c r="G38" i="45"/>
  <c r="G41" i="45"/>
  <c r="G34" i="45"/>
  <c r="G35" i="45"/>
  <c r="G42" i="45"/>
  <c r="G43" i="45"/>
  <c r="H36" i="45"/>
  <c r="H37" i="45"/>
  <c r="H38" i="45"/>
  <c r="H41" i="45"/>
  <c r="H34" i="45"/>
  <c r="H35" i="45"/>
  <c r="H42" i="45"/>
  <c r="H43" i="45"/>
  <c r="I36" i="45"/>
  <c r="I37" i="45"/>
  <c r="I38" i="45"/>
  <c r="I41" i="45"/>
  <c r="I34" i="45"/>
  <c r="I35" i="45"/>
  <c r="I42" i="45"/>
  <c r="I43" i="45"/>
  <c r="J36" i="45"/>
  <c r="J37" i="45"/>
  <c r="J38" i="45"/>
  <c r="J41" i="45"/>
  <c r="J34" i="45"/>
  <c r="J35" i="45"/>
  <c r="J42" i="45"/>
  <c r="J43" i="45"/>
  <c r="K36" i="45"/>
  <c r="K37" i="45"/>
  <c r="K38" i="45"/>
  <c r="K41" i="45"/>
  <c r="K34" i="45"/>
  <c r="K35" i="45"/>
  <c r="K42" i="45"/>
  <c r="K43" i="45"/>
  <c r="L36" i="45"/>
  <c r="L37" i="45"/>
  <c r="L38" i="45"/>
  <c r="L41" i="45"/>
  <c r="L34" i="45"/>
  <c r="L35" i="45"/>
  <c r="L42" i="45"/>
  <c r="L43" i="45"/>
  <c r="M36" i="45"/>
  <c r="M37" i="45"/>
  <c r="M38" i="45"/>
  <c r="M41" i="45"/>
  <c r="M34" i="45"/>
  <c r="M35" i="45"/>
  <c r="M42" i="45"/>
  <c r="M43" i="45"/>
  <c r="N36" i="45"/>
  <c r="N37" i="45"/>
  <c r="N38" i="45"/>
  <c r="N41" i="45"/>
  <c r="N34" i="45"/>
  <c r="N35" i="45"/>
  <c r="N42" i="45"/>
  <c r="N43" i="45"/>
  <c r="O43" i="45"/>
  <c r="O42" i="45"/>
  <c r="O41" i="45"/>
  <c r="C40" i="45"/>
  <c r="D40" i="45"/>
  <c r="E40" i="45"/>
  <c r="F40" i="45"/>
  <c r="G40" i="45"/>
  <c r="H40" i="45"/>
  <c r="I40" i="45"/>
  <c r="J40" i="45"/>
  <c r="K40" i="45"/>
  <c r="L40" i="45"/>
  <c r="M40" i="45"/>
  <c r="N40" i="45"/>
  <c r="O40" i="45"/>
  <c r="O39" i="45"/>
  <c r="O38" i="45"/>
  <c r="O36" i="45"/>
  <c r="O35" i="45"/>
  <c r="O34" i="45"/>
  <c r="O8" i="45"/>
  <c r="O7" i="45"/>
  <c r="C36" i="46"/>
  <c r="C37" i="46"/>
  <c r="C38" i="46"/>
  <c r="C41" i="46"/>
  <c r="C34" i="46"/>
  <c r="C35" i="46"/>
  <c r="C42" i="46"/>
  <c r="C43" i="46"/>
  <c r="D36" i="46"/>
  <c r="D37" i="46"/>
  <c r="D38" i="46"/>
  <c r="D41" i="46"/>
  <c r="D34" i="46"/>
  <c r="D35" i="46"/>
  <c r="D42" i="46"/>
  <c r="D43" i="46"/>
  <c r="E36" i="46"/>
  <c r="E37" i="46"/>
  <c r="E38" i="46"/>
  <c r="E41" i="46"/>
  <c r="E34" i="46"/>
  <c r="E35" i="46"/>
  <c r="E42" i="46"/>
  <c r="E43" i="46"/>
  <c r="F36" i="46"/>
  <c r="F37" i="46"/>
  <c r="F38" i="46"/>
  <c r="F41" i="46"/>
  <c r="F34" i="46"/>
  <c r="F35" i="46"/>
  <c r="F42" i="46"/>
  <c r="F43" i="46"/>
  <c r="G36" i="46"/>
  <c r="G37" i="46"/>
  <c r="G38" i="46"/>
  <c r="G41" i="46"/>
  <c r="G34" i="46"/>
  <c r="G35" i="46"/>
  <c r="G42" i="46"/>
  <c r="G43" i="46"/>
  <c r="H36" i="46"/>
  <c r="H37" i="46"/>
  <c r="H38" i="46"/>
  <c r="H41" i="46"/>
  <c r="H34" i="46"/>
  <c r="H35" i="46"/>
  <c r="H42" i="46"/>
  <c r="H43" i="46"/>
  <c r="I36" i="46"/>
  <c r="I37" i="46"/>
  <c r="I38" i="46"/>
  <c r="I41" i="46"/>
  <c r="I34" i="46"/>
  <c r="I35" i="46"/>
  <c r="I42" i="46"/>
  <c r="I43" i="46"/>
  <c r="J36" i="46"/>
  <c r="J37" i="46"/>
  <c r="J38" i="46"/>
  <c r="J41" i="46"/>
  <c r="J34" i="46"/>
  <c r="J35" i="46"/>
  <c r="J42" i="46"/>
  <c r="J43" i="46"/>
  <c r="K36" i="46"/>
  <c r="K37" i="46"/>
  <c r="K38" i="46"/>
  <c r="K41" i="46"/>
  <c r="K34" i="46"/>
  <c r="K35" i="46"/>
  <c r="K42" i="46"/>
  <c r="K43" i="46"/>
  <c r="L36" i="46"/>
  <c r="L37" i="46"/>
  <c r="L38" i="46"/>
  <c r="L41" i="46"/>
  <c r="L34" i="46"/>
  <c r="L35" i="46"/>
  <c r="L42" i="46"/>
  <c r="L43" i="46"/>
  <c r="M36" i="46"/>
  <c r="M37" i="46"/>
  <c r="M38" i="46"/>
  <c r="M41" i="46"/>
  <c r="M34" i="46"/>
  <c r="M35" i="46"/>
  <c r="M42" i="46"/>
  <c r="M43" i="46"/>
  <c r="N36" i="46"/>
  <c r="N37" i="46"/>
  <c r="N38" i="46"/>
  <c r="N41" i="46"/>
  <c r="N34" i="46"/>
  <c r="N35" i="46"/>
  <c r="N42" i="46"/>
  <c r="N43" i="46"/>
  <c r="O43" i="46"/>
  <c r="O42" i="46"/>
  <c r="O41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O39" i="46"/>
  <c r="O38" i="46"/>
  <c r="O36" i="46"/>
  <c r="O35" i="46"/>
  <c r="O34" i="46"/>
  <c r="O8" i="46"/>
  <c r="O7" i="46"/>
  <c r="C36" i="47"/>
  <c r="C37" i="47"/>
  <c r="C38" i="47"/>
  <c r="C41" i="47"/>
  <c r="C34" i="47"/>
  <c r="C35" i="47"/>
  <c r="C42" i="47"/>
  <c r="C43" i="47"/>
  <c r="D36" i="47"/>
  <c r="D37" i="47"/>
  <c r="D38" i="47"/>
  <c r="D41" i="47"/>
  <c r="D34" i="47"/>
  <c r="D35" i="47"/>
  <c r="D42" i="47"/>
  <c r="D43" i="47"/>
  <c r="E36" i="47"/>
  <c r="E37" i="47"/>
  <c r="E38" i="47"/>
  <c r="E41" i="47"/>
  <c r="E34" i="47"/>
  <c r="E35" i="47"/>
  <c r="E42" i="47"/>
  <c r="E43" i="47"/>
  <c r="F36" i="47"/>
  <c r="F37" i="47"/>
  <c r="F38" i="47"/>
  <c r="F41" i="47"/>
  <c r="F34" i="47"/>
  <c r="F35" i="47"/>
  <c r="F42" i="47"/>
  <c r="F43" i="47"/>
  <c r="G36" i="47"/>
  <c r="G37" i="47"/>
  <c r="G38" i="47"/>
  <c r="G41" i="47"/>
  <c r="G34" i="47"/>
  <c r="G35" i="47"/>
  <c r="G42" i="47"/>
  <c r="G43" i="47"/>
  <c r="H36" i="47"/>
  <c r="H37" i="47"/>
  <c r="H38" i="47"/>
  <c r="H41" i="47"/>
  <c r="H34" i="47"/>
  <c r="H35" i="47"/>
  <c r="H42" i="47"/>
  <c r="H43" i="47"/>
  <c r="I36" i="47"/>
  <c r="I37" i="47"/>
  <c r="I38" i="47"/>
  <c r="I41" i="47"/>
  <c r="I34" i="47"/>
  <c r="I35" i="47"/>
  <c r="I42" i="47"/>
  <c r="I43" i="47"/>
  <c r="J36" i="47"/>
  <c r="J37" i="47"/>
  <c r="J38" i="47"/>
  <c r="J41" i="47"/>
  <c r="J34" i="47"/>
  <c r="J35" i="47"/>
  <c r="J42" i="47"/>
  <c r="J43" i="47"/>
  <c r="K36" i="47"/>
  <c r="K37" i="47"/>
  <c r="K38" i="47"/>
  <c r="K41" i="47"/>
  <c r="K34" i="47"/>
  <c r="K35" i="47"/>
  <c r="K42" i="47"/>
  <c r="K43" i="47"/>
  <c r="L36" i="47"/>
  <c r="L37" i="47"/>
  <c r="L38" i="47"/>
  <c r="L41" i="47"/>
  <c r="L34" i="47"/>
  <c r="L35" i="47"/>
  <c r="L42" i="47"/>
  <c r="L43" i="47"/>
  <c r="M36" i="47"/>
  <c r="M37" i="47"/>
  <c r="M38" i="47"/>
  <c r="M41" i="47"/>
  <c r="M34" i="47"/>
  <c r="M35" i="47"/>
  <c r="M42" i="47"/>
  <c r="M43" i="47"/>
  <c r="N36" i="47"/>
  <c r="N37" i="47"/>
  <c r="N38" i="47"/>
  <c r="N41" i="47"/>
  <c r="N34" i="47"/>
  <c r="N35" i="47"/>
  <c r="N42" i="47"/>
  <c r="N43" i="47"/>
  <c r="O43" i="47"/>
  <c r="O42" i="47"/>
  <c r="O41" i="47"/>
  <c r="C40" i="47"/>
  <c r="D40" i="47"/>
  <c r="E40" i="47"/>
  <c r="F40" i="47"/>
  <c r="G40" i="47"/>
  <c r="H40" i="47"/>
  <c r="I40" i="47"/>
  <c r="J40" i="47"/>
  <c r="K40" i="47"/>
  <c r="L40" i="47"/>
  <c r="M40" i="47"/>
  <c r="N40" i="47"/>
  <c r="O40" i="47"/>
  <c r="O39" i="47"/>
  <c r="O38" i="47"/>
  <c r="O36" i="47"/>
  <c r="O35" i="47"/>
  <c r="O34" i="47"/>
  <c r="O8" i="47"/>
  <c r="O7" i="47"/>
  <c r="C36" i="48"/>
  <c r="C37" i="48"/>
  <c r="C38" i="48"/>
  <c r="C41" i="48"/>
  <c r="C34" i="48"/>
  <c r="C35" i="48"/>
  <c r="C42" i="48"/>
  <c r="C43" i="48"/>
  <c r="D36" i="48"/>
  <c r="D37" i="48"/>
  <c r="D38" i="48"/>
  <c r="D41" i="48"/>
  <c r="D34" i="48"/>
  <c r="D35" i="48"/>
  <c r="D42" i="48"/>
  <c r="D43" i="48"/>
  <c r="E36" i="48"/>
  <c r="E37" i="48"/>
  <c r="E38" i="48"/>
  <c r="E41" i="48"/>
  <c r="E34" i="48"/>
  <c r="E35" i="48"/>
  <c r="E42" i="48"/>
  <c r="E43" i="48"/>
  <c r="F36" i="48"/>
  <c r="F37" i="48"/>
  <c r="F38" i="48"/>
  <c r="F41" i="48"/>
  <c r="F34" i="48"/>
  <c r="F35" i="48"/>
  <c r="F42" i="48"/>
  <c r="F43" i="48"/>
  <c r="G36" i="48"/>
  <c r="G37" i="48"/>
  <c r="G38" i="48"/>
  <c r="G41" i="48"/>
  <c r="G34" i="48"/>
  <c r="G35" i="48"/>
  <c r="G42" i="48"/>
  <c r="G43" i="48"/>
  <c r="H36" i="48"/>
  <c r="H37" i="48"/>
  <c r="H38" i="48"/>
  <c r="H41" i="48"/>
  <c r="H34" i="48"/>
  <c r="H35" i="48"/>
  <c r="H42" i="48"/>
  <c r="H43" i="48"/>
  <c r="I36" i="48"/>
  <c r="I37" i="48"/>
  <c r="I38" i="48"/>
  <c r="I41" i="48"/>
  <c r="I34" i="48"/>
  <c r="I35" i="48"/>
  <c r="I42" i="48"/>
  <c r="I43" i="48"/>
  <c r="J36" i="48"/>
  <c r="J37" i="48"/>
  <c r="J38" i="48"/>
  <c r="J41" i="48"/>
  <c r="J34" i="48"/>
  <c r="J35" i="48"/>
  <c r="J42" i="48"/>
  <c r="J43" i="48"/>
  <c r="K36" i="48"/>
  <c r="K37" i="48"/>
  <c r="K38" i="48"/>
  <c r="K41" i="48"/>
  <c r="K34" i="48"/>
  <c r="K35" i="48"/>
  <c r="K42" i="48"/>
  <c r="K43" i="48"/>
  <c r="L36" i="48"/>
  <c r="L37" i="48"/>
  <c r="L38" i="48"/>
  <c r="L41" i="48"/>
  <c r="L34" i="48"/>
  <c r="L35" i="48"/>
  <c r="L42" i="48"/>
  <c r="L43" i="48"/>
  <c r="M36" i="48"/>
  <c r="M37" i="48"/>
  <c r="M38" i="48"/>
  <c r="M41" i="48"/>
  <c r="M34" i="48"/>
  <c r="M35" i="48"/>
  <c r="M42" i="48"/>
  <c r="M43" i="48"/>
  <c r="N36" i="48"/>
  <c r="N37" i="48"/>
  <c r="N38" i="48"/>
  <c r="N41" i="48"/>
  <c r="N34" i="48"/>
  <c r="N35" i="48"/>
  <c r="N42" i="48"/>
  <c r="N43" i="48"/>
  <c r="O43" i="48"/>
  <c r="O42" i="48"/>
  <c r="O41" i="48"/>
  <c r="C40" i="48"/>
  <c r="D40" i="48"/>
  <c r="E40" i="48"/>
  <c r="F40" i="48"/>
  <c r="G40" i="48"/>
  <c r="H40" i="48"/>
  <c r="I40" i="48"/>
  <c r="J40" i="48"/>
  <c r="K40" i="48"/>
  <c r="L40" i="48"/>
  <c r="M40" i="48"/>
  <c r="N40" i="48"/>
  <c r="O40" i="48"/>
  <c r="O39" i="48"/>
  <c r="O38" i="48"/>
  <c r="O36" i="48"/>
  <c r="O35" i="48"/>
  <c r="O34" i="48"/>
  <c r="O8" i="48"/>
  <c r="O7" i="48"/>
  <c r="C36" i="49"/>
  <c r="C37" i="49"/>
  <c r="C38" i="49"/>
  <c r="C41" i="49"/>
  <c r="C34" i="49"/>
  <c r="C35" i="49"/>
  <c r="C42" i="49"/>
  <c r="C43" i="49"/>
  <c r="D36" i="49"/>
  <c r="D37" i="49"/>
  <c r="D38" i="49"/>
  <c r="D41" i="49"/>
  <c r="D34" i="49"/>
  <c r="D35" i="49"/>
  <c r="D42" i="49"/>
  <c r="D43" i="49"/>
  <c r="E36" i="49"/>
  <c r="E37" i="49"/>
  <c r="E38" i="49"/>
  <c r="E41" i="49"/>
  <c r="E34" i="49"/>
  <c r="E35" i="49"/>
  <c r="E42" i="49"/>
  <c r="E43" i="49"/>
  <c r="F36" i="49"/>
  <c r="F37" i="49"/>
  <c r="F38" i="49"/>
  <c r="F41" i="49"/>
  <c r="F34" i="49"/>
  <c r="F35" i="49"/>
  <c r="F42" i="49"/>
  <c r="F43" i="49"/>
  <c r="G36" i="49"/>
  <c r="G37" i="49"/>
  <c r="G38" i="49"/>
  <c r="G41" i="49"/>
  <c r="G34" i="49"/>
  <c r="G35" i="49"/>
  <c r="G42" i="49"/>
  <c r="G43" i="49"/>
  <c r="H36" i="49"/>
  <c r="H37" i="49"/>
  <c r="H38" i="49"/>
  <c r="H41" i="49"/>
  <c r="H34" i="49"/>
  <c r="H35" i="49"/>
  <c r="H42" i="49"/>
  <c r="H43" i="49"/>
  <c r="I36" i="49"/>
  <c r="I37" i="49"/>
  <c r="I38" i="49"/>
  <c r="I41" i="49"/>
  <c r="I34" i="49"/>
  <c r="I35" i="49"/>
  <c r="I42" i="49"/>
  <c r="I43" i="49"/>
  <c r="J36" i="49"/>
  <c r="J37" i="49"/>
  <c r="J38" i="49"/>
  <c r="J41" i="49"/>
  <c r="J34" i="49"/>
  <c r="J35" i="49"/>
  <c r="J42" i="49"/>
  <c r="J43" i="49"/>
  <c r="K36" i="49"/>
  <c r="K37" i="49"/>
  <c r="K38" i="49"/>
  <c r="K41" i="49"/>
  <c r="K34" i="49"/>
  <c r="K35" i="49"/>
  <c r="K42" i="49"/>
  <c r="K43" i="49"/>
  <c r="L36" i="49"/>
  <c r="L37" i="49"/>
  <c r="L38" i="49"/>
  <c r="L41" i="49"/>
  <c r="L34" i="49"/>
  <c r="L35" i="49"/>
  <c r="L42" i="49"/>
  <c r="L43" i="49"/>
  <c r="M36" i="49"/>
  <c r="M37" i="49"/>
  <c r="M38" i="49"/>
  <c r="M41" i="49"/>
  <c r="M34" i="49"/>
  <c r="M35" i="49"/>
  <c r="M42" i="49"/>
  <c r="M43" i="49"/>
  <c r="N36" i="49"/>
  <c r="N37" i="49"/>
  <c r="N38" i="49"/>
  <c r="N41" i="49"/>
  <c r="N34" i="49"/>
  <c r="N35" i="49"/>
  <c r="N42" i="49"/>
  <c r="N43" i="49"/>
  <c r="O43" i="49"/>
  <c r="O42" i="49"/>
  <c r="O41" i="49"/>
  <c r="C40" i="49"/>
  <c r="D40" i="49"/>
  <c r="E40" i="49"/>
  <c r="F40" i="49"/>
  <c r="G40" i="49"/>
  <c r="H40" i="49"/>
  <c r="I40" i="49"/>
  <c r="J40" i="49"/>
  <c r="K40" i="49"/>
  <c r="L40" i="49"/>
  <c r="M40" i="49"/>
  <c r="N40" i="49"/>
  <c r="O40" i="49"/>
  <c r="O39" i="49"/>
  <c r="O38" i="49"/>
  <c r="O36" i="49"/>
  <c r="O35" i="49"/>
  <c r="O34" i="49"/>
  <c r="N17" i="50"/>
  <c r="M17" i="50"/>
  <c r="L17" i="50"/>
  <c r="K17" i="50"/>
  <c r="J17" i="50"/>
  <c r="I17" i="50"/>
  <c r="H17" i="50"/>
  <c r="G17" i="50"/>
  <c r="F17" i="50"/>
  <c r="E17" i="50"/>
  <c r="D17" i="50"/>
  <c r="C17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N14" i="50"/>
  <c r="M14" i="50"/>
  <c r="L14" i="50"/>
  <c r="K14" i="50"/>
  <c r="J14" i="50"/>
  <c r="I14" i="50"/>
  <c r="H14" i="50"/>
  <c r="G14" i="50"/>
  <c r="F14" i="50"/>
  <c r="E14" i="50"/>
  <c r="D14" i="50"/>
  <c r="P48" i="50"/>
  <c r="C14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C34" i="50"/>
  <c r="C35" i="50"/>
  <c r="C42" i="50"/>
  <c r="C36" i="50"/>
  <c r="C37" i="50"/>
  <c r="C38" i="50"/>
  <c r="C40" i="50"/>
  <c r="D34" i="50"/>
  <c r="D35" i="50"/>
  <c r="D42" i="50"/>
  <c r="D36" i="50"/>
  <c r="D37" i="50"/>
  <c r="D38" i="50"/>
  <c r="D40" i="50"/>
  <c r="E34" i="50"/>
  <c r="E35" i="50"/>
  <c r="E42" i="50"/>
  <c r="E36" i="50"/>
  <c r="E37" i="50"/>
  <c r="E38" i="50"/>
  <c r="E40" i="50"/>
  <c r="F34" i="50"/>
  <c r="F35" i="50"/>
  <c r="F42" i="50"/>
  <c r="F36" i="50"/>
  <c r="F37" i="50"/>
  <c r="F38" i="50"/>
  <c r="F40" i="50"/>
  <c r="G34" i="50"/>
  <c r="G35" i="50"/>
  <c r="G42" i="50"/>
  <c r="G36" i="50"/>
  <c r="G37" i="50"/>
  <c r="G38" i="50"/>
  <c r="G40" i="50"/>
  <c r="H34" i="50"/>
  <c r="H35" i="50"/>
  <c r="H42" i="50"/>
  <c r="H36" i="50"/>
  <c r="H37" i="50"/>
  <c r="H38" i="50"/>
  <c r="H40" i="50"/>
  <c r="I34" i="50"/>
  <c r="I35" i="50"/>
  <c r="I42" i="50"/>
  <c r="I36" i="50"/>
  <c r="I37" i="50"/>
  <c r="I38" i="50"/>
  <c r="I40" i="50"/>
  <c r="J34" i="50"/>
  <c r="J35" i="50"/>
  <c r="J42" i="50"/>
  <c r="J36" i="50"/>
  <c r="J37" i="50"/>
  <c r="J38" i="50"/>
  <c r="J40" i="50"/>
  <c r="K34" i="50"/>
  <c r="K35" i="50"/>
  <c r="K42" i="50"/>
  <c r="K36" i="50"/>
  <c r="K37" i="50"/>
  <c r="K38" i="50"/>
  <c r="K40" i="50"/>
  <c r="L34" i="50"/>
  <c r="L35" i="50"/>
  <c r="L42" i="50"/>
  <c r="L36" i="50"/>
  <c r="L37" i="50"/>
  <c r="L38" i="50"/>
  <c r="L40" i="50"/>
  <c r="M34" i="50"/>
  <c r="M35" i="50"/>
  <c r="M42" i="50"/>
  <c r="M36" i="50"/>
  <c r="M37" i="50"/>
  <c r="M38" i="50"/>
  <c r="M40" i="50"/>
  <c r="N34" i="50"/>
  <c r="N35" i="50"/>
  <c r="N42" i="50"/>
  <c r="N36" i="50"/>
  <c r="N37" i="50"/>
  <c r="N38" i="50"/>
  <c r="N40" i="50"/>
  <c r="O40" i="50"/>
  <c r="O39" i="50"/>
  <c r="C41" i="50"/>
  <c r="N41" i="50"/>
  <c r="N43" i="50"/>
  <c r="M41" i="50"/>
  <c r="M43" i="50"/>
  <c r="L41" i="50"/>
  <c r="L43" i="50"/>
  <c r="K41" i="50"/>
  <c r="K43" i="50"/>
  <c r="J41" i="50"/>
  <c r="J43" i="50"/>
  <c r="I41" i="50"/>
  <c r="I43" i="50"/>
  <c r="H41" i="50"/>
  <c r="H43" i="50"/>
  <c r="G41" i="50"/>
  <c r="G43" i="50"/>
  <c r="F41" i="50"/>
  <c r="F43" i="50"/>
  <c r="E41" i="50"/>
  <c r="E43" i="50"/>
  <c r="D41" i="50"/>
  <c r="D43" i="50"/>
  <c r="O42" i="50"/>
  <c r="O38" i="50"/>
  <c r="R47" i="50"/>
  <c r="O36" i="50"/>
  <c r="O35" i="50"/>
  <c r="O34" i="50"/>
  <c r="D83" i="50"/>
  <c r="E83" i="50"/>
  <c r="S14" i="1"/>
  <c r="O8" i="50"/>
  <c r="O7" i="50"/>
  <c r="O8" i="49"/>
  <c r="O7" i="49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U50" i="1"/>
  <c r="R7" i="4"/>
  <c r="S7" i="4"/>
  <c r="V23" i="4"/>
  <c r="V22" i="4"/>
  <c r="W21" i="4"/>
  <c r="C16" i="51"/>
  <c r="C17" i="51"/>
  <c r="C18" i="51"/>
  <c r="C15" i="51"/>
  <c r="C14" i="51"/>
  <c r="C8" i="51"/>
  <c r="S4" i="1"/>
  <c r="U49" i="1"/>
  <c r="U53" i="1"/>
  <c r="W33" i="1"/>
  <c r="S31" i="1"/>
  <c r="S29" i="1"/>
  <c r="S30" i="1"/>
  <c r="S11" i="50"/>
  <c r="U44" i="3"/>
  <c r="U43" i="3"/>
  <c r="U42" i="3"/>
  <c r="U41" i="3"/>
  <c r="S35" i="3"/>
  <c r="T21" i="3"/>
  <c r="V21" i="3"/>
  <c r="X21" i="3"/>
  <c r="Z21" i="3"/>
  <c r="T22" i="3"/>
  <c r="V22" i="3"/>
  <c r="X22" i="3"/>
  <c r="Z22" i="3"/>
  <c r="AA32" i="3"/>
  <c r="Y32" i="3"/>
  <c r="V32" i="3"/>
  <c r="T23" i="3"/>
  <c r="V23" i="3"/>
  <c r="X23" i="3"/>
  <c r="Z23" i="3"/>
  <c r="S15" i="3"/>
  <c r="S16" i="3"/>
  <c r="S17" i="3"/>
  <c r="S18" i="3"/>
  <c r="S12" i="3"/>
  <c r="S11" i="3"/>
  <c r="U8" i="3"/>
  <c r="U9" i="3"/>
  <c r="V8" i="3"/>
  <c r="U7" i="3"/>
  <c r="V7" i="3"/>
  <c r="T35" i="1"/>
  <c r="V35" i="1"/>
  <c r="Y35" i="1"/>
  <c r="AA35" i="1"/>
  <c r="T36" i="1"/>
  <c r="V36" i="1"/>
  <c r="Y36" i="1"/>
  <c r="AA36" i="1"/>
  <c r="U52" i="1"/>
  <c r="U51" i="1"/>
  <c r="R20" i="1"/>
  <c r="R21" i="1"/>
  <c r="X8" i="4"/>
  <c r="X9" i="4"/>
  <c r="J21" i="4"/>
  <c r="O21" i="4"/>
  <c r="R21" i="4"/>
  <c r="Y8" i="4"/>
  <c r="Y7" i="4"/>
  <c r="R8" i="4"/>
  <c r="Q8" i="4"/>
  <c r="P8" i="4"/>
  <c r="P22" i="4"/>
  <c r="Q22" i="4"/>
  <c r="O8" i="4"/>
  <c r="O22" i="4"/>
  <c r="N8" i="4"/>
  <c r="M8" i="4"/>
  <c r="L8" i="4"/>
  <c r="K8" i="4"/>
  <c r="J8" i="4"/>
  <c r="I8" i="4"/>
  <c r="H8" i="4"/>
  <c r="G8" i="4"/>
  <c r="F8" i="4"/>
  <c r="S18" i="4"/>
  <c r="H22" i="4"/>
  <c r="I22" i="4"/>
  <c r="L22" i="4"/>
  <c r="J22" i="4"/>
  <c r="N22" i="4"/>
  <c r="K22" i="4"/>
  <c r="M22" i="4"/>
  <c r="G22" i="4"/>
  <c r="F22" i="4"/>
  <c r="V17" i="4"/>
  <c r="V16" i="4"/>
  <c r="E8" i="4"/>
  <c r="S19" i="4"/>
  <c r="V18" i="4"/>
  <c r="V19" i="4"/>
  <c r="U9" i="1"/>
  <c r="S21" i="1"/>
  <c r="C22" i="4"/>
  <c r="S8" i="4"/>
  <c r="X22" i="4"/>
  <c r="V11" i="4"/>
  <c r="V12" i="4"/>
  <c r="S20" i="1"/>
  <c r="X7" i="4"/>
  <c r="T37" i="1"/>
  <c r="V37" i="1"/>
  <c r="Y37" i="1"/>
  <c r="AA37" i="1"/>
  <c r="AA46" i="1"/>
  <c r="Y46" i="1"/>
  <c r="V46" i="1"/>
  <c r="O41" i="50"/>
  <c r="C43" i="50"/>
  <c r="O43" i="50"/>
</calcChain>
</file>

<file path=xl/comments1.xml><?xml version="1.0" encoding="utf-8"?>
<comments xmlns="http://schemas.openxmlformats.org/spreadsheetml/2006/main">
  <authors>
    <author>Steffen Bächle</author>
  </authors>
  <commentList>
    <comment ref="R21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0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1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2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3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4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5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6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7.xml><?xml version="1.0" encoding="utf-8"?>
<comments xmlns="http://schemas.openxmlformats.org/spreadsheetml/2006/main">
  <authors>
    <author>Steffen Bächle</author>
  </authors>
  <commentList>
    <comment ref="X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2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2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3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4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5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6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7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8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9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sharedStrings.xml><?xml version="1.0" encoding="utf-8"?>
<sst xmlns="http://schemas.openxmlformats.org/spreadsheetml/2006/main" count="5224" uniqueCount="331">
  <si>
    <t>Autarkie</t>
  </si>
  <si>
    <t>Eigenverbrauchsquote</t>
  </si>
  <si>
    <t xml:space="preserve">Januar 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</si>
  <si>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</si>
  <si>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</si>
  <si>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</si>
  <si>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</si>
  <si>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</si>
  <si>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</si>
  <si>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</si>
  <si>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</si>
  <si>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>Gesamt</t>
  </si>
  <si>
    <t xml:space="preserve">Gesamt </t>
  </si>
  <si>
    <t>Speicher entladen</t>
  </si>
  <si>
    <t>Speicher geladen</t>
  </si>
  <si>
    <t>Speichereffektivität</t>
  </si>
  <si>
    <t>Speicherverlust</t>
  </si>
  <si>
    <t>Einspeisevergütung</t>
  </si>
  <si>
    <t>Dez.</t>
  </si>
  <si>
    <t xml:space="preserve">Novemb. </t>
  </si>
  <si>
    <t xml:space="preserve">Sept. </t>
  </si>
  <si>
    <t>Strompreis und Einspeisevergütung</t>
  </si>
  <si>
    <t>Investition</t>
  </si>
  <si>
    <t>Kennzahlen</t>
  </si>
  <si>
    <t>Details zum Speicher</t>
  </si>
  <si>
    <t>Finanzielle Erträge</t>
  </si>
  <si>
    <t>Stromkosten</t>
  </si>
  <si>
    <t xml:space="preserve">Davon Speicher </t>
  </si>
  <si>
    <t xml:space="preserve">Offene Invesitionssumme </t>
  </si>
  <si>
    <t>Investition fürs Folgejahr</t>
  </si>
  <si>
    <r>
      <t xml:space="preserve">Erzeugung </t>
    </r>
    <r>
      <rPr>
        <b/>
        <sz val="12"/>
        <color theme="1"/>
        <rFont val="Calibri"/>
        <family val="2"/>
        <scheme val="minor"/>
      </rPr>
      <t>(KWH)</t>
    </r>
  </si>
  <si>
    <t>Investition abzüglich Erträge</t>
  </si>
  <si>
    <t>Anteil an Gesamtinvest.</t>
  </si>
  <si>
    <t>KWH/KWP</t>
  </si>
  <si>
    <t>Speicher/Tag</t>
  </si>
  <si>
    <t>eingespeist</t>
  </si>
  <si>
    <t xml:space="preserve">Speicherverl. </t>
  </si>
  <si>
    <t>Jahre bis Amortisation</t>
  </si>
  <si>
    <t>Weitere Jahre Amortisation</t>
  </si>
  <si>
    <t>Durchschnittl. Strompreis 2020</t>
  </si>
  <si>
    <t>Durchschnittl. Strompreis</t>
  </si>
  <si>
    <t>change ideas</t>
  </si>
  <si>
    <t>grundgebühr des Stromanbieters</t>
  </si>
  <si>
    <t xml:space="preserve">Gesamtverbr. </t>
  </si>
  <si>
    <t xml:space="preserve"> </t>
  </si>
  <si>
    <t>Ladeinrichtung 5 MW</t>
  </si>
  <si>
    <t>Ladequote</t>
  </si>
  <si>
    <t>Verkauf an Ladenstelle</t>
  </si>
  <si>
    <t xml:space="preserve">Effizienz wurde auf </t>
  </si>
  <si>
    <t>0,21 berechnet</t>
  </si>
  <si>
    <t>Brutto Leistungsberechnung nach Betriebszeit (Nachtspeisung)</t>
  </si>
  <si>
    <t>Anlagenleistung</t>
  </si>
  <si>
    <t>Leistung</t>
  </si>
  <si>
    <t>Solaranlage 10 MW Block</t>
  </si>
  <si>
    <t>Batteriebetrieb</t>
  </si>
  <si>
    <t xml:space="preserve">500 KW Anlage </t>
  </si>
  <si>
    <t>Nur für die Batterie</t>
  </si>
  <si>
    <t>Berechnung der Efizienz</t>
  </si>
  <si>
    <t>Effizienz</t>
  </si>
  <si>
    <t>In Kw/h</t>
  </si>
  <si>
    <t>10 MW/p Block</t>
  </si>
  <si>
    <t>1 MW/p Block</t>
  </si>
  <si>
    <t>Lst Peak/Kw</t>
  </si>
  <si>
    <t>Carport Anlage / Batterie System</t>
  </si>
  <si>
    <t xml:space="preserve">Carport Ladesystem </t>
  </si>
  <si>
    <t>in Euro</t>
  </si>
  <si>
    <t>2100 Kw/h</t>
  </si>
  <si>
    <t>50000 Kw/h</t>
  </si>
  <si>
    <t>105 Kw/h</t>
  </si>
  <si>
    <t>Übersicht Jahresleistungen</t>
  </si>
  <si>
    <t>Alle Parameter werden im Projekt Garantiert</t>
  </si>
  <si>
    <t>Leistung in KW/h</t>
  </si>
  <si>
    <t>Einspeisevergütung min</t>
  </si>
  <si>
    <t>Brutto Umsatz</t>
  </si>
  <si>
    <t>Netto Umsatz</t>
  </si>
  <si>
    <t>Realtime Betrieb / Ist Werte Übernahme</t>
  </si>
  <si>
    <t xml:space="preserve">Umschaltung / Tme ist </t>
  </si>
  <si>
    <t>1,3 Sekunden</t>
  </si>
  <si>
    <t>Powerapp Schaltung</t>
  </si>
  <si>
    <t>Nachtabschaltung ab 400 Kw</t>
  </si>
  <si>
    <t xml:space="preserve">Storage Capacity </t>
  </si>
  <si>
    <t>10 MW Leistungsreserve Nacht</t>
  </si>
  <si>
    <t>Night-Injection</t>
  </si>
  <si>
    <t>max.withdrawal</t>
  </si>
  <si>
    <t>Technische Parameter</t>
  </si>
  <si>
    <t>Depowering</t>
  </si>
  <si>
    <t>Mwst</t>
  </si>
  <si>
    <t>MWST in EURO</t>
  </si>
  <si>
    <t>Solar Park Block 1</t>
  </si>
  <si>
    <t>time dependent shutdowm</t>
  </si>
  <si>
    <t>software Requirement</t>
  </si>
  <si>
    <t>Battery - 20%</t>
  </si>
  <si>
    <t>14 Day Full Cycling</t>
  </si>
  <si>
    <t>Netfrequency based</t>
  </si>
  <si>
    <t>Switching from Night to day</t>
  </si>
  <si>
    <t>Software based Switching</t>
  </si>
  <si>
    <t>Under 50 Hz AutoSwitching</t>
  </si>
  <si>
    <t>Feed in Tarif</t>
  </si>
  <si>
    <t>Solar Plant  10 MW Block 1</t>
  </si>
  <si>
    <t>Feed-In Tarif</t>
  </si>
  <si>
    <t>Solar Plant in Kw/h</t>
  </si>
  <si>
    <t>Feed-In Tarif in Euro</t>
  </si>
  <si>
    <t>Nightoperating in the Year</t>
  </si>
  <si>
    <t>Yearly Ours</t>
  </si>
  <si>
    <t>Yearly Average</t>
  </si>
  <si>
    <t>Feed-in /realtime</t>
  </si>
  <si>
    <t>Production</t>
  </si>
  <si>
    <t>210 Kw/h</t>
  </si>
  <si>
    <t>Einspeisung Tag</t>
  </si>
  <si>
    <t xml:space="preserve">Gesamtleistung </t>
  </si>
  <si>
    <t>Loading Power</t>
  </si>
  <si>
    <t>Operating Time</t>
  </si>
  <si>
    <t>Monthly Day</t>
  </si>
  <si>
    <t>Daily Ours</t>
  </si>
  <si>
    <t>Feed-In Power</t>
  </si>
  <si>
    <t>Difference</t>
  </si>
  <si>
    <t>Storage / Day</t>
  </si>
  <si>
    <t>Real-Data</t>
  </si>
  <si>
    <t>Operating Ours</t>
  </si>
  <si>
    <t>Operating Days</t>
  </si>
  <si>
    <t>Monthly Our</t>
  </si>
  <si>
    <t>Delivery</t>
  </si>
  <si>
    <t>Deliver to Battery</t>
  </si>
  <si>
    <t>Feed-IN</t>
  </si>
  <si>
    <t>Batterie Load</t>
  </si>
  <si>
    <t xml:space="preserve">Ladeleistung </t>
  </si>
  <si>
    <t>Storage History</t>
  </si>
  <si>
    <t>Power Reserve</t>
  </si>
  <si>
    <t xml:space="preserve">Depower </t>
  </si>
  <si>
    <t>Summary</t>
  </si>
  <si>
    <t>Summery</t>
  </si>
  <si>
    <t>Power to Load</t>
  </si>
  <si>
    <t>planed power</t>
  </si>
  <si>
    <t>planed Feed-In Power</t>
  </si>
  <si>
    <t>Days</t>
  </si>
  <si>
    <t>Month</t>
  </si>
  <si>
    <t>Storage/Day</t>
  </si>
  <si>
    <t>Storage/Output</t>
  </si>
  <si>
    <t>Total Power</t>
  </si>
  <si>
    <t>Storage</t>
  </si>
  <si>
    <t>days</t>
  </si>
  <si>
    <t>ours</t>
  </si>
  <si>
    <r>
      <t xml:space="preserve">Speicher </t>
    </r>
    <r>
      <rPr>
        <b/>
        <sz val="11"/>
        <color rgb="FF000000"/>
        <rFont val="Calibri"/>
        <family val="2"/>
        <scheme val="minor"/>
      </rPr>
      <t>(KWH) Batteriekapizät mindestens 20 MW pro Monat an Vertrag</t>
    </r>
  </si>
  <si>
    <r>
      <t xml:space="preserve">Erzeugung 10 MW Block </t>
    </r>
    <r>
      <rPr>
        <b/>
        <sz val="12"/>
        <color rgb="FF000000"/>
        <rFont val="Calibri"/>
        <family val="2"/>
        <scheme val="minor"/>
      </rPr>
      <t>(ca. 2.100 KWH) Solaranlage</t>
    </r>
  </si>
  <si>
    <r>
      <t xml:space="preserve">Batterie  Ladeanlage 1 MW /P (Carport) Erzeugung </t>
    </r>
    <r>
      <rPr>
        <b/>
        <sz val="12"/>
        <color rgb="FF000000"/>
        <rFont val="Calibri"/>
        <family val="2"/>
        <scheme val="minor"/>
      </rPr>
      <t>(KWH)</t>
    </r>
  </si>
  <si>
    <t xml:space="preserve">   </t>
  </si>
  <si>
    <t xml:space="preserve"> 2100 Kw/h </t>
  </si>
  <si>
    <t xml:space="preserve"> 50000 Kw/h </t>
  </si>
  <si>
    <t xml:space="preserve"> 105 Kw/h </t>
  </si>
  <si>
    <t xml:space="preserve"> 10 MW Leistungsreserve Nacht </t>
  </si>
  <si>
    <t xml:space="preserve"> Solar Park Block 1 </t>
  </si>
  <si>
    <t xml:space="preserve"> software Requirement </t>
  </si>
  <si>
    <t xml:space="preserve"> Battery - 20% </t>
  </si>
  <si>
    <t xml:space="preserve"> 1,3 Sekunden </t>
  </si>
  <si>
    <t xml:space="preserve"> Switching from Night to day </t>
  </si>
  <si>
    <t xml:space="preserve"> Software based Switching </t>
  </si>
  <si>
    <t>Ladeinrichtung 1 MW/p</t>
  </si>
  <si>
    <t>Kw/h</t>
  </si>
  <si>
    <t>Leistungsreserve</t>
  </si>
  <si>
    <t>kw/h</t>
  </si>
  <si>
    <t>420 Kw/h</t>
  </si>
  <si>
    <t>1000 Kw/p Anlage</t>
  </si>
  <si>
    <t xml:space="preserve">1000 KW Anlage </t>
  </si>
  <si>
    <t>Storage Details</t>
  </si>
  <si>
    <t>Loaded Storage</t>
  </si>
  <si>
    <t>Max. Unloading</t>
  </si>
  <si>
    <t>Storage Effiziency</t>
  </si>
  <si>
    <t>Nightly max. Feed-In Power</t>
  </si>
  <si>
    <t>Unload in percentage</t>
  </si>
  <si>
    <t>Effizienz ist die tatsächliche Leistung die Solarmodule abgeben.</t>
  </si>
  <si>
    <t>Alle Module liegen zwisch 18 und 24%. Die Einstellung der Module und die</t>
  </si>
  <si>
    <t>Präzision liegen bei ca. max. 22%. Hierbei spielt der Deklinationwinkel eine wesent</t>
  </si>
  <si>
    <t>liche Rolle</t>
  </si>
  <si>
    <t>Average Powerprice on EEX</t>
  </si>
  <si>
    <t>Price from 18.May 2024</t>
  </si>
  <si>
    <t xml:space="preserve">1000 Kw/p </t>
  </si>
  <si>
    <t>Switching Time on Power App</t>
  </si>
  <si>
    <t>0,50 ms</t>
  </si>
  <si>
    <t>Powerbased</t>
  </si>
  <si>
    <t>Full</t>
  </si>
  <si>
    <t>EEX Price</t>
  </si>
  <si>
    <t>Battery Operating</t>
  </si>
  <si>
    <t>1000 Kw/p  Plant</t>
  </si>
  <si>
    <t>Only for Batterie</t>
  </si>
  <si>
    <t>40000 Kw/h</t>
  </si>
  <si>
    <t>Ladereserve für Ausfall</t>
  </si>
  <si>
    <t>10000 Kw/h</t>
  </si>
  <si>
    <t>Realtime Data Operating via Power App included</t>
  </si>
  <si>
    <t xml:space="preserve">also included Blockchain </t>
  </si>
  <si>
    <t>Technical Description</t>
  </si>
  <si>
    <t>Power in Kw/h</t>
  </si>
  <si>
    <t>Mwst in Euro</t>
  </si>
  <si>
    <t>Yearly summary</t>
  </si>
  <si>
    <t>Solar Plant 10 MW Block</t>
  </si>
  <si>
    <t>10 NW Powerreserve on Battery</t>
  </si>
  <si>
    <t>Pwr Peak/Kw</t>
  </si>
  <si>
    <t>Carport Anlage / Battery System</t>
  </si>
  <si>
    <t>Carport Loading System</t>
  </si>
  <si>
    <t xml:space="preserve">All technical parameters are granted </t>
  </si>
  <si>
    <t>Efficieny Calculation Parameter Change</t>
  </si>
  <si>
    <t>Battery Cost per 1 Kw/h Investment</t>
  </si>
  <si>
    <t>2 MW/p Block</t>
  </si>
  <si>
    <t>Davon Speicher 50 Mw/h</t>
  </si>
  <si>
    <t>Technische Parater (Technical Parameters for the Calculation)</t>
  </si>
  <si>
    <t>Werte /Values</t>
  </si>
  <si>
    <t>Geamtleistung in Kw/p</t>
  </si>
  <si>
    <t>Gesamtleistung in MW/p</t>
  </si>
  <si>
    <t>Anlageeffizienz</t>
  </si>
  <si>
    <t>Beschreibung</t>
  </si>
  <si>
    <t>Description</t>
  </si>
  <si>
    <t>Summary Power in Mw/p</t>
  </si>
  <si>
    <t>Summary Power in Kw/p</t>
  </si>
  <si>
    <t>Geamtleistung in Kw/h</t>
  </si>
  <si>
    <t>Gesamtleistung in MW/h</t>
  </si>
  <si>
    <t>Kw/p : PE</t>
  </si>
  <si>
    <t>Plant Efficienty  (PE)</t>
  </si>
  <si>
    <t>Planning Operatinng Parameters</t>
  </si>
  <si>
    <t>Lifetime of the Project mminimum 40 Years</t>
  </si>
  <si>
    <t>Yearly  Planed Kw/h</t>
  </si>
  <si>
    <t>Yearly in MW</t>
  </si>
  <si>
    <t>Nightly Ours</t>
  </si>
  <si>
    <t>Sunset Ours</t>
  </si>
  <si>
    <t>Yearly ours</t>
  </si>
  <si>
    <t>Kw/h  Anlage</t>
  </si>
  <si>
    <r>
      <t xml:space="preserve">Speicher </t>
    </r>
    <r>
      <rPr>
        <b/>
        <sz val="11"/>
        <color theme="1"/>
        <rFont val="Calibri"/>
        <family val="2"/>
        <scheme val="minor"/>
      </rPr>
      <t>(50000 KWH)</t>
    </r>
  </si>
  <si>
    <t xml:space="preserve">Block1 </t>
  </si>
  <si>
    <t>Batterie</t>
  </si>
  <si>
    <t>Carport</t>
  </si>
  <si>
    <t>Gesamtübersicht 20 Jahre (ausgehend von weniger als 1 micro Bogensekunde Deklinationänderung pro Jahr) ( 4 Kw/h pro 1m2 Einstrahlung)</t>
  </si>
  <si>
    <t>Entladung / einspeisung</t>
  </si>
  <si>
    <t>Vergütung</t>
  </si>
  <si>
    <t xml:space="preserve">Einspeisung Carport </t>
  </si>
  <si>
    <t>Block 1 / 2025 (Abrechnung ab 2026 Vollrechnung)</t>
  </si>
  <si>
    <t>Input  High Volage Grid</t>
  </si>
  <si>
    <t>Power Reserve HVG</t>
  </si>
  <si>
    <t>endof Construction</t>
  </si>
  <si>
    <t>All Values are</t>
  </si>
  <si>
    <t xml:space="preserve">calculated </t>
  </si>
  <si>
    <t>on finnished</t>
  </si>
  <si>
    <t>Construction</t>
  </si>
  <si>
    <t>Monthly Night Counter</t>
  </si>
  <si>
    <t>Batterie Operating Time</t>
  </si>
  <si>
    <t>Month Operating time</t>
  </si>
  <si>
    <t>Loading and Powering Differnce Graphics</t>
  </si>
  <si>
    <t>Legend</t>
  </si>
  <si>
    <t>Full Power Line</t>
  </si>
  <si>
    <t>Loading Power Cross</t>
  </si>
  <si>
    <t>Loading Power Netz</t>
  </si>
  <si>
    <t>Difference of Power</t>
  </si>
  <si>
    <t>Graphics Realtime</t>
  </si>
  <si>
    <t>Monthly</t>
  </si>
  <si>
    <t>Daily</t>
  </si>
  <si>
    <t>From Database</t>
  </si>
  <si>
    <t>from Database</t>
  </si>
  <si>
    <t>Lifetime Real</t>
  </si>
  <si>
    <t xml:space="preserve">     </t>
  </si>
  <si>
    <t>21 prozent</t>
  </si>
  <si>
    <t>bitte hier in Translate</t>
  </si>
  <si>
    <t>Ladeleistung in Kw/h planed</t>
  </si>
  <si>
    <t>Ladeleistung in Kw/h installiert</t>
  </si>
  <si>
    <t>Differenz in %</t>
  </si>
  <si>
    <t>Raeltime Operating Night</t>
  </si>
  <si>
    <t>Storage Load Oerating</t>
  </si>
  <si>
    <t>Feed-In Realtime</t>
  </si>
  <si>
    <t>Average Storage Load</t>
  </si>
  <si>
    <t>Summary with 1 not in Use</t>
  </si>
  <si>
    <t>for Calculation</t>
  </si>
  <si>
    <t>Powersummerys</t>
  </si>
  <si>
    <t>Feed in Monthly Battery</t>
  </si>
  <si>
    <t>Feed in High Volatage Grid</t>
  </si>
  <si>
    <t>Anlagen Power Level 0</t>
  </si>
  <si>
    <t>Producing Block 1</t>
  </si>
  <si>
    <t>Producing Carport</t>
  </si>
  <si>
    <t>Nighoperating Our</t>
  </si>
  <si>
    <t>Power Out</t>
  </si>
  <si>
    <t>Operating Our Day</t>
  </si>
  <si>
    <t>Brutto Leistungsberechnung nach Betriebszeit (Day and Night)</t>
  </si>
  <si>
    <t>Our Summary</t>
  </si>
  <si>
    <t>Summary Ours</t>
  </si>
  <si>
    <t>Planed after Constr.</t>
  </si>
  <si>
    <t>To Install</t>
  </si>
  <si>
    <t>Constructed Power /Our</t>
  </si>
  <si>
    <t>Constructed Power</t>
  </si>
  <si>
    <t>Cross / Power</t>
  </si>
  <si>
    <t xml:space="preserve"> -    </t>
  </si>
  <si>
    <t>Brutto Operating time</t>
  </si>
  <si>
    <t>Storage  Power</t>
  </si>
  <si>
    <t>Max. Feed-In in Ww/h</t>
  </si>
  <si>
    <t>Carport Cross Production</t>
  </si>
  <si>
    <t>Car Port Net Production</t>
  </si>
  <si>
    <t>Yearly Operating Time</t>
  </si>
  <si>
    <t>Carport Production</t>
  </si>
  <si>
    <t xml:space="preserve">Cross Power </t>
  </si>
  <si>
    <t>Ours</t>
  </si>
  <si>
    <t>Values in Mw/h</t>
  </si>
  <si>
    <t>Another Technical Details</t>
  </si>
  <si>
    <t>Power per m2 in Kw/h</t>
  </si>
  <si>
    <t>Modul Power in Watt</t>
  </si>
  <si>
    <t>Efficiency Real output</t>
  </si>
  <si>
    <t>Real Watt per Modul</t>
  </si>
  <si>
    <t>Planed Power in Watt</t>
  </si>
  <si>
    <t>Modules to install</t>
  </si>
  <si>
    <t>m2 per Modules</t>
  </si>
  <si>
    <t>Carport in Watt</t>
  </si>
  <si>
    <t>to installed Modules</t>
  </si>
  <si>
    <t>Anzahl der Stellplätze</t>
  </si>
  <si>
    <t>Property in m2</t>
  </si>
  <si>
    <t>Solar Block 1</t>
  </si>
  <si>
    <t>Logistic structure</t>
  </si>
  <si>
    <t>Fireway m2</t>
  </si>
  <si>
    <t>Property Rest</t>
  </si>
  <si>
    <t>Carport 1 in m2</t>
  </si>
  <si>
    <t>Elektro Truck Parking</t>
  </si>
  <si>
    <t>Kw</t>
  </si>
  <si>
    <t>Modulleistung Netto</t>
  </si>
  <si>
    <t>Watt (Bruttoleistung</t>
  </si>
  <si>
    <t>geplante Leistung in Watt</t>
  </si>
  <si>
    <t>Anzahl der Module</t>
  </si>
  <si>
    <t>m2 pro Moduleinheit</t>
  </si>
  <si>
    <t>Solar in m2</t>
  </si>
  <si>
    <t xml:space="preserve">Solarflache in m2 </t>
  </si>
  <si>
    <t>Leistung in Watt</t>
  </si>
  <si>
    <t>Solarfläche</t>
  </si>
  <si>
    <t>1 Stellplatz Grösse</t>
  </si>
  <si>
    <t>Größe des Grundstückes</t>
  </si>
  <si>
    <t>Abzug</t>
  </si>
  <si>
    <t>Rest of Property</t>
  </si>
  <si>
    <t xml:space="preserve">Parken mit Ladestation </t>
  </si>
  <si>
    <t>Rest of Property to used for another 2 Blocks a 2100 KW/h</t>
  </si>
  <si>
    <t>Counted Carports</t>
  </si>
  <si>
    <t>Carports Höhe für Zugmaschine 4,10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</si>
</sst>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  <numFmt numFmtId="165" formatCode="#,##0.0000\ &quot;€&quot;"/>
    <numFmt numFmtId="168" formatCode="_-* #,##0.000\ &quot;€&quot;_-;\-* #,##0.000\ &quot;€&quot;_-;_-* &quot;-&quot;??\ &quot;€&quot;_-;_-@_-"/>
  </numFmts>
  <fonts count="5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scheme val="minor"/>
    </font>
    <font>
      <sz val="9"/>
      <color rgb="FF000000"/>
      <name val="Calibri"/>
      <scheme val="minor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scheme val="minor"/>
    </font>
    <font>
      <sz val="11"/>
      <color rgb="FF0000FF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b/>
      <sz val="20"/>
      <color rgb="FF000000"/>
      <name val="Calibri"/>
      <family val="2"/>
      <scheme val="minor"/>
    </font>
    <font>
      <b/>
      <i/>
      <sz val="9"/>
      <color rgb="FF000000"/>
      <name val="Calibri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 (Textkörper)"/>
    </font>
    <font>
      <b/>
      <sz val="1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name val="Calibri"/>
      <scheme val="minor"/>
    </font>
    <font>
      <b/>
      <sz val="11"/>
      <color rgb="FF0000FF"/>
      <name val="Calibri"/>
      <scheme val="minor"/>
    </font>
    <font>
      <b/>
      <i/>
      <sz val="11"/>
      <color rgb="FF000000"/>
      <name val="Calibri"/>
      <scheme val="minor"/>
    </font>
    <font>
      <b/>
      <i/>
      <sz val="11"/>
      <color rgb="FF0000FF"/>
      <name val="Calibri"/>
      <scheme val="minor"/>
    </font>
    <font>
      <b/>
      <sz val="12"/>
      <color rgb="FF0000FF"/>
      <name val="Calibri"/>
      <scheme val="minor"/>
    </font>
    <font>
      <b/>
      <i/>
      <sz val="12"/>
      <color rgb="FF0000FF"/>
      <name val="Calibri"/>
      <scheme val="minor"/>
    </font>
    <font>
      <b/>
      <sz val="12"/>
      <name val="Calibri"/>
      <scheme val="minor"/>
    </font>
    <font>
      <sz val="11"/>
      <color theme="9" tint="-0.249977111117893"/>
      <name val="Calibri"/>
      <scheme val="minor"/>
    </font>
    <font>
      <b/>
      <sz val="11"/>
      <color indexed="8"/>
      <name val="Calibri"/>
      <scheme val="minor"/>
    </font>
    <font>
      <b/>
      <i/>
      <sz val="11"/>
      <color indexed="8"/>
      <name val="Calibri"/>
      <scheme val="minor"/>
    </font>
    <font>
      <b/>
      <i/>
      <sz val="11"/>
      <color theme="1"/>
      <name val="Calibri"/>
      <scheme val="minor"/>
    </font>
    <font>
      <b/>
      <sz val="14"/>
      <color indexed="8"/>
      <name val="Calibri"/>
      <scheme val="minor"/>
    </font>
    <font>
      <sz val="9"/>
      <color indexed="8"/>
      <name val="Calibri"/>
      <scheme val="minor"/>
    </font>
    <font>
      <b/>
      <sz val="11"/>
      <color rgb="FFFF0000"/>
      <name val="Calibri"/>
      <scheme val="minor"/>
    </font>
    <font>
      <b/>
      <sz val="11"/>
      <color rgb="FFFFFF00"/>
      <name val="Calibri"/>
      <scheme val="minor"/>
    </font>
    <font>
      <sz val="11"/>
      <color rgb="FFFF6600"/>
      <name val="Calibri"/>
      <scheme val="minor"/>
    </font>
    <font>
      <b/>
      <sz val="11"/>
      <color rgb="FF008000"/>
      <name val="Calibri"/>
      <scheme val="minor"/>
    </font>
    <font>
      <b/>
      <sz val="11"/>
      <color rgb="FF800000"/>
      <name val="Calibri"/>
      <scheme val="minor"/>
    </font>
    <font>
      <b/>
      <sz val="11"/>
      <color rgb="FFFF6600"/>
      <name val="Calibri"/>
      <scheme val="minor"/>
    </font>
    <font>
      <i/>
      <sz val="11"/>
      <color rgb="FF000000"/>
      <name val="Calibri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882DC"/>
        <bgColor indexed="64"/>
      </patternFill>
    </fill>
    <fill>
      <patternFill patternType="solid">
        <fgColor rgb="FF6BF3F3"/>
        <bgColor indexed="64"/>
      </patternFill>
    </fill>
    <fill>
      <patternFill patternType="solid">
        <fgColor rgb="FFF06E6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9BC2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8882DC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BF3F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06E6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6600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</borders>
  <cellStyleXfs count="565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1" borderId="0" applyNumberFormat="0" applyBorder="0" applyAlignment="0" applyProtection="0"/>
    <xf numFmtId="0" fontId="13" fillId="22" borderId="32" applyNumberFormat="0" applyAlignment="0" applyProtection="0"/>
    <xf numFmtId="0" fontId="10" fillId="23" borderId="33" applyNumberFormat="0" applyFont="0" applyAlignment="0" applyProtection="0"/>
    <xf numFmtId="0" fontId="14" fillId="2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28">
    <xf numFmtId="0" fontId="0" fillId="0" borderId="0" xfId="0"/>
    <xf numFmtId="0" fontId="0" fillId="4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13" borderId="4" xfId="0" applyFill="1" applyBorder="1"/>
    <xf numFmtId="0" fontId="0" fillId="10" borderId="4" xfId="0" applyFill="1" applyBorder="1"/>
    <xf numFmtId="2" fontId="0" fillId="0" borderId="0" xfId="0" applyNumberFormat="1"/>
    <xf numFmtId="0" fontId="0" fillId="5" borderId="0" xfId="0" applyFill="1" applyBorder="1" applyAlignment="1">
      <alignment horizontal="center" vertical="center"/>
    </xf>
    <xf numFmtId="0" fontId="0" fillId="7" borderId="12" xfId="0" applyFill="1" applyBorder="1"/>
    <xf numFmtId="10" fontId="0" fillId="8" borderId="13" xfId="0" applyNumberFormat="1" applyFill="1" applyBorder="1"/>
    <xf numFmtId="10" fontId="0" fillId="8" borderId="15" xfId="0" applyNumberFormat="1" applyFill="1" applyBorder="1"/>
    <xf numFmtId="2" fontId="0" fillId="17" borderId="13" xfId="0" applyNumberFormat="1" applyFill="1" applyBorder="1"/>
    <xf numFmtId="2" fontId="0" fillId="17" borderId="15" xfId="0" applyNumberFormat="1" applyFill="1" applyBorder="1"/>
    <xf numFmtId="164" fontId="0" fillId="14" borderId="13" xfId="0" applyNumberForma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0" xfId="0"/>
    <xf numFmtId="164" fontId="0" fillId="0" borderId="0" xfId="0" applyNumberFormat="1"/>
    <xf numFmtId="10" fontId="2" fillId="14" borderId="6" xfId="0" applyNumberFormat="1" applyFont="1" applyFill="1" applyBorder="1" applyAlignment="1">
      <alignment horizontal="center" vertical="center"/>
    </xf>
    <xf numFmtId="10" fontId="0" fillId="20" borderId="24" xfId="0" applyNumberFormat="1" applyFill="1" applyBorder="1"/>
    <xf numFmtId="0" fontId="2" fillId="20" borderId="25" xfId="0" applyFont="1" applyFill="1" applyBorder="1"/>
    <xf numFmtId="0" fontId="2" fillId="20" borderId="28" xfId="0" applyFont="1" applyFill="1" applyBorder="1"/>
    <xf numFmtId="0" fontId="2" fillId="20" borderId="29" xfId="0" applyFont="1" applyFill="1" applyBorder="1"/>
    <xf numFmtId="2" fontId="0" fillId="20" borderId="26" xfId="0" applyNumberFormat="1" applyFill="1" applyBorder="1"/>
    <xf numFmtId="2" fontId="0" fillId="20" borderId="24" xfId="0" applyNumberFormat="1" applyFill="1" applyBorder="1"/>
    <xf numFmtId="0" fontId="2" fillId="3" borderId="19" xfId="0" applyFont="1" applyFill="1" applyBorder="1" applyAlignment="1"/>
    <xf numFmtId="0" fontId="2" fillId="3" borderId="20" xfId="0" applyFont="1" applyFill="1" applyBorder="1" applyAlignment="1"/>
    <xf numFmtId="164" fontId="0" fillId="4" borderId="21" xfId="0" applyNumberFormat="1" applyFill="1" applyBorder="1"/>
    <xf numFmtId="164" fontId="0" fillId="4" borderId="22" xfId="0" applyNumberFormat="1" applyFill="1" applyBorder="1"/>
    <xf numFmtId="2" fontId="0" fillId="4" borderId="31" xfId="0" applyNumberFormat="1" applyFill="1" applyBorder="1" applyAlignment="1">
      <alignment horizontal="right"/>
    </xf>
    <xf numFmtId="2" fontId="0" fillId="4" borderId="23" xfId="0" applyNumberFormat="1" applyFill="1" applyBorder="1" applyAlignment="1">
      <alignment horizontal="right"/>
    </xf>
    <xf numFmtId="164" fontId="5" fillId="0" borderId="0" xfId="0" applyNumberFormat="1" applyFont="1"/>
    <xf numFmtId="164" fontId="2" fillId="7" borderId="13" xfId="0" applyNumberFormat="1" applyFont="1" applyFill="1" applyBorder="1"/>
    <xf numFmtId="165" fontId="2" fillId="7" borderId="15" xfId="0" applyNumberFormat="1" applyFont="1" applyFill="1" applyBorder="1"/>
    <xf numFmtId="164" fontId="2" fillId="4" borderId="13" xfId="0" applyNumberFormat="1" applyFont="1" applyFill="1" applyBorder="1"/>
    <xf numFmtId="164" fontId="2" fillId="4" borderId="15" xfId="0" applyNumberFormat="1" applyFont="1" applyFill="1" applyBorder="1"/>
    <xf numFmtId="4" fontId="0" fillId="20" borderId="30" xfId="0" applyNumberFormat="1" applyFill="1" applyBorder="1"/>
    <xf numFmtId="10" fontId="0" fillId="14" borderId="7" xfId="0" applyNumberFormat="1" applyFill="1" applyBorder="1" applyAlignment="1">
      <alignment horizontal="center" vertical="center"/>
    </xf>
    <xf numFmtId="10" fontId="0" fillId="14" borderId="8" xfId="0" applyNumberForma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2" fillId="14" borderId="6" xfId="0" applyNumberFormat="1" applyFont="1" applyFill="1" applyBorder="1" applyAlignment="1">
      <alignment horizontal="center" vertical="center"/>
    </xf>
    <xf numFmtId="164" fontId="2" fillId="14" borderId="7" xfId="0" applyNumberFormat="1" applyFont="1" applyFill="1" applyBorder="1" applyAlignment="1">
      <alignment horizontal="center" vertical="center"/>
    </xf>
    <xf numFmtId="43" fontId="2" fillId="7" borderId="13" xfId="13" applyFont="1" applyFill="1" applyBorder="1"/>
    <xf numFmtId="0" fontId="17" fillId="0" borderId="0" xfId="0" applyFont="1"/>
    <xf numFmtId="43" fontId="2" fillId="2" borderId="18" xfId="13" applyFont="1" applyFill="1" applyBorder="1"/>
    <xf numFmtId="43" fontId="0" fillId="0" borderId="0" xfId="13" applyFont="1"/>
    <xf numFmtId="43" fontId="0" fillId="0" borderId="4" xfId="13" applyFont="1" applyBorder="1"/>
    <xf numFmtId="43" fontId="0" fillId="0" borderId="0" xfId="0" applyNumberFormat="1"/>
    <xf numFmtId="43" fontId="18" fillId="0" borderId="0" xfId="13" applyFont="1" applyAlignment="1" applyProtection="1">
      <alignment shrinkToFit="1"/>
      <protection locked="0"/>
    </xf>
    <xf numFmtId="43" fontId="18" fillId="0" borderId="4" xfId="13" applyFont="1" applyBorder="1" applyAlignment="1" applyProtection="1">
      <alignment shrinkToFit="1"/>
      <protection locked="0"/>
    </xf>
    <xf numFmtId="43" fontId="18" fillId="0" borderId="0" xfId="13" applyFont="1" applyAlignment="1" applyProtection="1">
      <alignment shrinkToFit="1"/>
    </xf>
    <xf numFmtId="0" fontId="0" fillId="14" borderId="0" xfId="0" applyFill="1" applyBorder="1"/>
    <xf numFmtId="0" fontId="0" fillId="9" borderId="0" xfId="0" applyFill="1"/>
    <xf numFmtId="0" fontId="2" fillId="2" borderId="37" xfId="0" applyFont="1" applyFill="1" applyBorder="1"/>
    <xf numFmtId="0" fontId="0" fillId="0" borderId="1" xfId="0" applyBorder="1"/>
    <xf numFmtId="0" fontId="0" fillId="28" borderId="0" xfId="0" applyFill="1"/>
    <xf numFmtId="44" fontId="0" fillId="14" borderId="13" xfId="14" applyFont="1" applyFill="1" applyBorder="1"/>
    <xf numFmtId="43" fontId="2" fillId="2" borderId="37" xfId="13" applyFont="1" applyFill="1" applyBorder="1"/>
    <xf numFmtId="0" fontId="0" fillId="0" borderId="0" xfId="0" applyBorder="1"/>
    <xf numFmtId="0" fontId="0" fillId="17" borderId="0" xfId="0" applyFill="1"/>
    <xf numFmtId="0" fontId="0" fillId="17" borderId="0" xfId="0" applyFill="1" applyBorder="1"/>
    <xf numFmtId="43" fontId="2" fillId="2" borderId="2" xfId="0" applyNumberFormat="1" applyFont="1" applyFill="1" applyBorder="1"/>
    <xf numFmtId="0" fontId="4" fillId="2" borderId="0" xfId="0" applyFont="1" applyFill="1" applyAlignment="1">
      <alignment horizontal="center" shrinkToFit="1"/>
    </xf>
    <xf numFmtId="0" fontId="0" fillId="5" borderId="0" xfId="0" applyFill="1" applyAlignment="1">
      <alignment shrinkToFit="1"/>
    </xf>
    <xf numFmtId="0" fontId="2" fillId="15" borderId="10" xfId="0" applyFont="1" applyFill="1" applyBorder="1" applyAlignment="1">
      <alignment vertical="center" shrinkToFit="1"/>
    </xf>
    <xf numFmtId="0" fontId="2" fillId="15" borderId="11" xfId="0" applyFont="1" applyFill="1" applyBorder="1" applyAlignment="1">
      <alignment vertical="center" shrinkToFit="1"/>
    </xf>
    <xf numFmtId="0" fontId="24" fillId="15" borderId="0" xfId="0" applyFont="1" applyFill="1" applyAlignment="1">
      <alignment shrinkToFit="1"/>
    </xf>
    <xf numFmtId="0" fontId="0" fillId="0" borderId="0" xfId="0" applyAlignment="1">
      <alignment shrinkToFit="1"/>
    </xf>
    <xf numFmtId="0" fontId="0" fillId="7" borderId="12" xfId="0" applyFill="1" applyBorder="1" applyAlignment="1">
      <alignment shrinkToFit="1"/>
    </xf>
    <xf numFmtId="164" fontId="2" fillId="7" borderId="13" xfId="0" applyNumberFormat="1" applyFont="1" applyFill="1" applyBorder="1" applyAlignment="1">
      <alignment shrinkToFit="1"/>
    </xf>
    <xf numFmtId="43" fontId="2" fillId="7" borderId="13" xfId="13" applyFont="1" applyFill="1" applyBorder="1" applyAlignment="1">
      <alignment shrinkToFit="1"/>
    </xf>
    <xf numFmtId="0" fontId="0" fillId="7" borderId="14" xfId="0" applyFill="1" applyBorder="1" applyAlignment="1">
      <alignment shrinkToFit="1"/>
    </xf>
    <xf numFmtId="165" fontId="2" fillId="7" borderId="15" xfId="0" applyNumberFormat="1" applyFont="1" applyFill="1" applyBorder="1" applyAlignment="1">
      <alignment shrinkToFit="1"/>
    </xf>
    <xf numFmtId="0" fontId="2" fillId="3" borderId="10" xfId="0" applyFont="1" applyFill="1" applyBorder="1" applyAlignment="1">
      <alignment shrinkToFit="1"/>
    </xf>
    <xf numFmtId="0" fontId="2" fillId="3" borderId="11" xfId="0" applyFont="1" applyFill="1" applyBorder="1" applyAlignment="1">
      <alignment shrinkToFit="1"/>
    </xf>
    <xf numFmtId="0" fontId="2" fillId="3" borderId="19" xfId="0" applyFont="1" applyFill="1" applyBorder="1" applyAlignment="1">
      <alignment shrinkToFit="1"/>
    </xf>
    <xf numFmtId="0" fontId="2" fillId="3" borderId="20" xfId="0" applyFont="1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5" borderId="0" xfId="0" applyFill="1" applyBorder="1" applyAlignment="1">
      <alignment horizontal="center" vertical="center" shrinkToFit="1"/>
    </xf>
    <xf numFmtId="0" fontId="0" fillId="4" borderId="12" xfId="0" applyFill="1" applyBorder="1" applyAlignment="1">
      <alignment shrinkToFit="1"/>
    </xf>
    <xf numFmtId="164" fontId="2" fillId="4" borderId="13" xfId="0" applyNumberFormat="1" applyFont="1" applyFill="1" applyBorder="1" applyAlignment="1">
      <alignment shrinkToFit="1"/>
    </xf>
    <xf numFmtId="2" fontId="0" fillId="0" borderId="0" xfId="0" applyNumberFormat="1" applyAlignment="1">
      <alignment shrinkToFit="1"/>
    </xf>
    <xf numFmtId="164" fontId="0" fillId="4" borderId="21" xfId="0" applyNumberFormat="1" applyFill="1" applyBorder="1" applyAlignment="1">
      <alignment shrinkToFit="1"/>
    </xf>
    <xf numFmtId="2" fontId="0" fillId="4" borderId="31" xfId="0" applyNumberFormat="1" applyFill="1" applyBorder="1" applyAlignment="1">
      <alignment horizontal="right" shrinkToFit="1"/>
    </xf>
    <xf numFmtId="0" fontId="0" fillId="4" borderId="14" xfId="0" applyFill="1" applyBorder="1" applyAlignment="1">
      <alignment shrinkToFit="1"/>
    </xf>
    <xf numFmtId="164" fontId="2" fillId="4" borderId="15" xfId="0" applyNumberFormat="1" applyFont="1" applyFill="1" applyBorder="1" applyAlignment="1">
      <alignment shrinkToFit="1"/>
    </xf>
    <xf numFmtId="164" fontId="0" fillId="4" borderId="22" xfId="0" applyNumberFormat="1" applyFill="1" applyBorder="1" applyAlignment="1">
      <alignment shrinkToFit="1"/>
    </xf>
    <xf numFmtId="2" fontId="0" fillId="4" borderId="23" xfId="0" applyNumberFormat="1" applyFill="1" applyBorder="1" applyAlignment="1">
      <alignment horizontal="right" shrinkToFit="1"/>
    </xf>
    <xf numFmtId="164" fontId="5" fillId="0" borderId="0" xfId="0" applyNumberFormat="1" applyFont="1" applyAlignment="1">
      <alignment shrinkToFit="1"/>
    </xf>
    <xf numFmtId="0" fontId="2" fillId="9" borderId="10" xfId="0" applyFont="1" applyFill="1" applyBorder="1" applyAlignment="1">
      <alignment shrinkToFit="1"/>
    </xf>
    <xf numFmtId="0" fontId="2" fillId="9" borderId="11" xfId="0" applyFont="1" applyFill="1" applyBorder="1" applyAlignment="1">
      <alignment shrinkToFit="1"/>
    </xf>
    <xf numFmtId="0" fontId="0" fillId="8" borderId="12" xfId="0" applyFill="1" applyBorder="1" applyAlignment="1">
      <alignment shrinkToFit="1"/>
    </xf>
    <xf numFmtId="10" fontId="0" fillId="8" borderId="13" xfId="0" applyNumberFormat="1" applyFill="1" applyBorder="1" applyAlignment="1">
      <alignment shrinkToFit="1"/>
    </xf>
    <xf numFmtId="10" fontId="0" fillId="0" borderId="0" xfId="0" applyNumberFormat="1" applyAlignment="1">
      <alignment shrinkToFit="1"/>
    </xf>
    <xf numFmtId="0" fontId="0" fillId="8" borderId="14" xfId="0" applyFill="1" applyBorder="1" applyAlignment="1">
      <alignment shrinkToFit="1"/>
    </xf>
    <xf numFmtId="10" fontId="0" fillId="8" borderId="15" xfId="0" applyNumberFormat="1" applyFill="1" applyBorder="1" applyAlignment="1">
      <alignment shrinkToFit="1"/>
    </xf>
    <xf numFmtId="0" fontId="0" fillId="16" borderId="35" xfId="0" applyFill="1" applyBorder="1" applyAlignment="1">
      <alignment shrinkToFit="1"/>
    </xf>
    <xf numFmtId="0" fontId="0" fillId="16" borderId="36" xfId="0" applyFill="1" applyBorder="1" applyAlignment="1">
      <alignment shrinkToFit="1"/>
    </xf>
    <xf numFmtId="0" fontId="0" fillId="16" borderId="0" xfId="0" applyFill="1" applyBorder="1" applyAlignment="1">
      <alignment shrinkToFit="1"/>
    </xf>
    <xf numFmtId="0" fontId="0" fillId="17" borderId="17" xfId="0" applyFill="1" applyBorder="1" applyAlignment="1">
      <alignment shrinkToFit="1"/>
    </xf>
    <xf numFmtId="2" fontId="0" fillId="17" borderId="0" xfId="0" applyNumberFormat="1" applyFill="1" applyBorder="1" applyAlignment="1">
      <alignment shrinkToFit="1"/>
    </xf>
    <xf numFmtId="0" fontId="0" fillId="17" borderId="0" xfId="0" applyFill="1" applyBorder="1" applyAlignment="1">
      <alignment shrinkToFit="1"/>
    </xf>
    <xf numFmtId="0" fontId="0" fillId="17" borderId="3" xfId="0" applyFill="1" applyBorder="1" applyAlignment="1">
      <alignment shrinkToFit="1"/>
    </xf>
    <xf numFmtId="2" fontId="0" fillId="17" borderId="5" xfId="0" applyNumberFormat="1" applyFill="1" applyBorder="1" applyAlignment="1">
      <alignment shrinkToFit="1"/>
    </xf>
    <xf numFmtId="0" fontId="0" fillId="20" borderId="0" xfId="0" applyFill="1" applyAlignment="1">
      <alignment shrinkToFit="1"/>
    </xf>
    <xf numFmtId="0" fontId="0" fillId="6" borderId="37" xfId="0" applyFill="1" applyBorder="1" applyAlignment="1">
      <alignment shrinkToFit="1"/>
    </xf>
    <xf numFmtId="0" fontId="0" fillId="6" borderId="43" xfId="0" applyFill="1" applyBorder="1" applyAlignment="1">
      <alignment horizontal="center" shrinkToFit="1"/>
    </xf>
    <xf numFmtId="0" fontId="0" fillId="6" borderId="35" xfId="0" applyFill="1" applyBorder="1" applyAlignment="1">
      <alignment shrinkToFit="1"/>
    </xf>
    <xf numFmtId="0" fontId="0" fillId="6" borderId="42" xfId="0" applyFill="1" applyBorder="1" applyAlignment="1">
      <alignment shrinkToFit="1"/>
    </xf>
    <xf numFmtId="0" fontId="0" fillId="6" borderId="36" xfId="0" applyFill="1" applyBorder="1" applyAlignment="1">
      <alignment shrinkToFit="1"/>
    </xf>
    <xf numFmtId="0" fontId="12" fillId="6" borderId="32" xfId="17" applyFill="1" applyBorder="1" applyAlignment="1">
      <alignment horizontal="center" shrinkToFit="1"/>
    </xf>
    <xf numFmtId="0" fontId="0" fillId="6" borderId="47" xfId="0" applyFill="1" applyBorder="1" applyAlignment="1">
      <alignment horizontal="center" shrinkToFit="1"/>
    </xf>
    <xf numFmtId="0" fontId="0" fillId="6" borderId="0" xfId="0" applyFill="1" applyAlignment="1">
      <alignment horizontal="center" shrinkToFit="1"/>
    </xf>
    <xf numFmtId="0" fontId="0" fillId="14" borderId="12" xfId="0" applyFill="1" applyBorder="1" applyAlignment="1">
      <alignment shrinkToFit="1"/>
    </xf>
    <xf numFmtId="43" fontId="0" fillId="14" borderId="0" xfId="13" applyFont="1" applyFill="1" applyBorder="1" applyAlignment="1">
      <alignment shrinkToFit="1"/>
    </xf>
    <xf numFmtId="43" fontId="2" fillId="14" borderId="37" xfId="13" applyFont="1" applyFill="1" applyBorder="1" applyAlignment="1">
      <alignment vertical="center" shrinkToFit="1"/>
    </xf>
    <xf numFmtId="168" fontId="0" fillId="14" borderId="1" xfId="14" applyNumberFormat="1" applyFont="1" applyFill="1" applyBorder="1" applyAlignment="1">
      <alignment shrinkToFit="1"/>
    </xf>
    <xf numFmtId="44" fontId="1" fillId="21" borderId="1" xfId="14" applyFont="1" applyFill="1" applyBorder="1" applyAlignment="1">
      <alignment shrinkToFit="1"/>
    </xf>
    <xf numFmtId="9" fontId="26" fillId="21" borderId="1" xfId="17" applyNumberFormat="1" applyFont="1" applyBorder="1" applyAlignment="1">
      <alignment shrinkToFit="1"/>
    </xf>
    <xf numFmtId="44" fontId="26" fillId="21" borderId="45" xfId="17" applyNumberFormat="1" applyFont="1" applyBorder="1" applyAlignment="1">
      <alignment horizontal="center" shrinkToFit="1"/>
    </xf>
    <xf numFmtId="0" fontId="26" fillId="21" borderId="46" xfId="17" applyFont="1" applyBorder="1" applyAlignment="1">
      <alignment horizontal="center" shrinkToFit="1"/>
    </xf>
    <xf numFmtId="44" fontId="25" fillId="21" borderId="0" xfId="17" applyNumberFormat="1" applyFont="1" applyAlignment="1">
      <alignment horizontal="center" shrinkToFit="1"/>
    </xf>
    <xf numFmtId="0" fontId="25" fillId="21" borderId="0" xfId="17" applyFont="1" applyAlignment="1">
      <alignment horizontal="center" shrinkToFit="1"/>
    </xf>
    <xf numFmtId="0" fontId="0" fillId="14" borderId="1" xfId="0" applyFill="1" applyBorder="1" applyAlignment="1">
      <alignment shrinkToFit="1"/>
    </xf>
    <xf numFmtId="44" fontId="12" fillId="21" borderId="1" xfId="14" applyFont="1" applyFill="1" applyBorder="1" applyAlignment="1">
      <alignment shrinkToFit="1"/>
    </xf>
    <xf numFmtId="0" fontId="26" fillId="21" borderId="1" xfId="17" applyFont="1" applyBorder="1" applyAlignment="1">
      <alignment shrinkToFit="1"/>
    </xf>
    <xf numFmtId="0" fontId="26" fillId="21" borderId="0" xfId="17" applyFont="1" applyAlignment="1">
      <alignment shrinkToFit="1"/>
    </xf>
    <xf numFmtId="0" fontId="25" fillId="21" borderId="0" xfId="17" applyFont="1" applyAlignment="1">
      <alignment shrinkToFit="1"/>
    </xf>
    <xf numFmtId="0" fontId="24" fillId="14" borderId="12" xfId="0" applyFont="1" applyFill="1" applyBorder="1" applyAlignment="1">
      <alignment shrinkToFit="1"/>
    </xf>
    <xf numFmtId="9" fontId="0" fillId="14" borderId="0" xfId="13" applyNumberFormat="1" applyFont="1" applyFill="1" applyBorder="1" applyAlignment="1">
      <alignment shrinkToFit="1"/>
    </xf>
    <xf numFmtId="43" fontId="14" fillId="24" borderId="1" xfId="20" applyNumberFormat="1" applyBorder="1" applyAlignment="1">
      <alignment vertical="center" shrinkToFit="1"/>
    </xf>
    <xf numFmtId="10" fontId="14" fillId="24" borderId="1" xfId="20" applyNumberFormat="1" applyBorder="1" applyAlignment="1">
      <alignment horizontal="center" vertical="center" shrinkToFit="1"/>
    </xf>
    <xf numFmtId="44" fontId="14" fillId="24" borderId="1" xfId="20" applyNumberFormat="1" applyBorder="1" applyAlignment="1">
      <alignment shrinkToFit="1"/>
    </xf>
    <xf numFmtId="0" fontId="26" fillId="24" borderId="1" xfId="20" applyFont="1" applyBorder="1" applyAlignment="1">
      <alignment shrinkToFit="1"/>
    </xf>
    <xf numFmtId="43" fontId="2" fillId="14" borderId="1" xfId="13" applyFont="1" applyFill="1" applyBorder="1" applyAlignment="1">
      <alignment vertical="center" shrinkToFit="1"/>
    </xf>
    <xf numFmtId="10" fontId="2" fillId="14" borderId="1" xfId="0" applyNumberFormat="1" applyFont="1" applyFill="1" applyBorder="1" applyAlignment="1">
      <alignment horizontal="center" vertical="center" shrinkToFit="1"/>
    </xf>
    <xf numFmtId="44" fontId="26" fillId="21" borderId="1" xfId="14" applyFont="1" applyFill="1" applyBorder="1" applyAlignment="1">
      <alignment shrinkToFit="1"/>
    </xf>
    <xf numFmtId="164" fontId="2" fillId="14" borderId="1" xfId="0" applyNumberFormat="1" applyFont="1" applyFill="1" applyBorder="1" applyAlignment="1">
      <alignment vertical="center" shrinkToFit="1"/>
    </xf>
    <xf numFmtId="10" fontId="0" fillId="14" borderId="1" xfId="0" applyNumberFormat="1" applyFill="1" applyBorder="1" applyAlignment="1">
      <alignment vertical="center" shrinkToFit="1"/>
    </xf>
    <xf numFmtId="0" fontId="12" fillId="21" borderId="1" xfId="17" applyBorder="1" applyAlignment="1">
      <alignment shrinkToFit="1"/>
    </xf>
    <xf numFmtId="0" fontId="0" fillId="14" borderId="14" xfId="0" applyFill="1" applyBorder="1" applyAlignment="1">
      <alignment shrinkToFit="1"/>
    </xf>
    <xf numFmtId="43" fontId="0" fillId="14" borderId="44" xfId="13" applyFont="1" applyFill="1" applyBorder="1" applyAlignment="1">
      <alignment shrinkToFit="1"/>
    </xf>
    <xf numFmtId="44" fontId="1" fillId="21" borderId="1" xfId="17" applyNumberFormat="1" applyFont="1" applyBorder="1" applyAlignment="1">
      <alignment shrinkToFit="1"/>
    </xf>
    <xf numFmtId="44" fontId="26" fillId="21" borderId="0" xfId="17" applyNumberFormat="1" applyFont="1" applyAlignment="1">
      <alignment shrinkToFit="1"/>
    </xf>
    <xf numFmtId="44" fontId="25" fillId="21" borderId="0" xfId="17" applyNumberFormat="1" applyFont="1" applyAlignment="1">
      <alignment shrinkToFit="1"/>
    </xf>
    <xf numFmtId="44" fontId="0" fillId="0" borderId="0" xfId="0" applyNumberFormat="1" applyAlignment="1">
      <alignment shrinkToFit="1"/>
    </xf>
    <xf numFmtId="0" fontId="0" fillId="18" borderId="10" xfId="0" applyFill="1" applyBorder="1" applyAlignment="1">
      <alignment shrinkToFit="1"/>
    </xf>
    <xf numFmtId="0" fontId="0" fillId="18" borderId="11" xfId="0" applyFill="1" applyBorder="1" applyAlignment="1">
      <alignment shrinkToFit="1"/>
    </xf>
    <xf numFmtId="0" fontId="0" fillId="19" borderId="14" xfId="0" applyFill="1" applyBorder="1" applyAlignment="1">
      <alignment shrinkToFit="1"/>
    </xf>
    <xf numFmtId="164" fontId="0" fillId="19" borderId="15" xfId="0" applyNumberFormat="1" applyFill="1" applyBorder="1" applyAlignment="1">
      <alignment shrinkToFit="1"/>
    </xf>
    <xf numFmtId="0" fontId="2" fillId="30" borderId="0" xfId="0" applyFont="1" applyFill="1" applyAlignment="1">
      <alignment shrinkToFit="1"/>
    </xf>
    <xf numFmtId="0" fontId="0" fillId="30" borderId="0" xfId="0" applyFill="1" applyAlignment="1">
      <alignment shrinkToFit="1"/>
    </xf>
    <xf numFmtId="0" fontId="0" fillId="30" borderId="36" xfId="0" applyFill="1" applyBorder="1" applyAlignment="1">
      <alignment shrinkToFit="1"/>
    </xf>
    <xf numFmtId="9" fontId="0" fillId="30" borderId="36" xfId="0" applyNumberFormat="1" applyFill="1" applyBorder="1" applyAlignment="1">
      <alignment shrinkToFit="1"/>
    </xf>
    <xf numFmtId="43" fontId="0" fillId="30" borderId="36" xfId="13" applyFont="1" applyFill="1" applyBorder="1" applyAlignment="1">
      <alignment shrinkToFit="1"/>
    </xf>
    <xf numFmtId="9" fontId="0" fillId="30" borderId="0" xfId="0" applyNumberFormat="1" applyFill="1" applyAlignment="1">
      <alignment shrinkToFit="1"/>
    </xf>
    <xf numFmtId="43" fontId="0" fillId="30" borderId="0" xfId="13" applyFont="1" applyFill="1" applyAlignment="1">
      <alignment shrinkToFit="1"/>
    </xf>
    <xf numFmtId="43" fontId="0" fillId="30" borderId="0" xfId="13" applyNumberFormat="1" applyFont="1" applyFill="1" applyAlignment="1">
      <alignment shrinkToFit="1"/>
    </xf>
    <xf numFmtId="0" fontId="17" fillId="0" borderId="0" xfId="0" applyFont="1" applyAlignment="1">
      <alignment shrinkToFit="1"/>
    </xf>
    <xf numFmtId="0" fontId="22" fillId="33" borderId="2" xfId="0" applyFont="1" applyFill="1" applyBorder="1" applyAlignment="1">
      <alignment shrinkToFit="1"/>
    </xf>
    <xf numFmtId="0" fontId="22" fillId="33" borderId="49" xfId="0" applyFont="1" applyFill="1" applyBorder="1" applyAlignment="1">
      <alignment shrinkToFit="1"/>
    </xf>
    <xf numFmtId="0" fontId="17" fillId="35" borderId="0" xfId="0" applyFont="1" applyFill="1" applyAlignment="1">
      <alignment shrinkToFit="1"/>
    </xf>
    <xf numFmtId="43" fontId="28" fillId="36" borderId="2" xfId="0" applyNumberFormat="1" applyFont="1" applyFill="1" applyBorder="1" applyAlignment="1">
      <alignment shrinkToFit="1"/>
    </xf>
    <xf numFmtId="43" fontId="28" fillId="36" borderId="49" xfId="0" applyNumberFormat="1" applyFont="1" applyFill="1" applyBorder="1" applyAlignment="1">
      <alignment shrinkToFit="1"/>
    </xf>
    <xf numFmtId="43" fontId="22" fillId="33" borderId="5" xfId="0" applyNumberFormat="1" applyFont="1" applyFill="1" applyBorder="1" applyAlignment="1">
      <alignment shrinkToFit="1"/>
    </xf>
    <xf numFmtId="0" fontId="17" fillId="37" borderId="1" xfId="0" applyFont="1" applyFill="1" applyBorder="1" applyAlignment="1">
      <alignment vertical="center" shrinkToFit="1"/>
    </xf>
    <xf numFmtId="0" fontId="17" fillId="38" borderId="0" xfId="0" applyFont="1" applyFill="1" applyAlignment="1">
      <alignment shrinkToFit="1"/>
    </xf>
    <xf numFmtId="43" fontId="19" fillId="39" borderId="2" xfId="0" applyNumberFormat="1" applyFont="1" applyFill="1" applyBorder="1" applyAlignment="1">
      <alignment shrinkToFit="1"/>
    </xf>
    <xf numFmtId="43" fontId="19" fillId="39" borderId="49" xfId="0" applyNumberFormat="1" applyFont="1" applyFill="1" applyBorder="1" applyAlignment="1">
      <alignment shrinkToFit="1"/>
    </xf>
    <xf numFmtId="0" fontId="17" fillId="37" borderId="2" xfId="0" applyFont="1" applyFill="1" applyBorder="1" applyAlignment="1">
      <alignment vertical="center" shrinkToFit="1"/>
    </xf>
    <xf numFmtId="4" fontId="17" fillId="40" borderId="2" xfId="0" applyNumberFormat="1" applyFont="1" applyFill="1" applyBorder="1" applyAlignment="1">
      <alignment horizontal="center" shrinkToFit="1"/>
    </xf>
    <xf numFmtId="4" fontId="17" fillId="40" borderId="49" xfId="0" applyNumberFormat="1" applyFont="1" applyFill="1" applyBorder="1" applyAlignment="1">
      <alignment horizontal="center" shrinkToFit="1"/>
    </xf>
    <xf numFmtId="43" fontId="22" fillId="33" borderId="0" xfId="0" applyNumberFormat="1" applyFont="1" applyFill="1" applyAlignment="1">
      <alignment shrinkToFit="1"/>
    </xf>
    <xf numFmtId="0" fontId="17" fillId="0" borderId="2" xfId="0" applyFont="1" applyBorder="1" applyAlignment="1">
      <alignment shrinkToFit="1"/>
    </xf>
    <xf numFmtId="43" fontId="22" fillId="33" borderId="36" xfId="0" applyNumberFormat="1" applyFont="1" applyFill="1" applyBorder="1" applyAlignment="1">
      <alignment shrinkToFit="1"/>
    </xf>
    <xf numFmtId="4" fontId="17" fillId="39" borderId="2" xfId="0" applyNumberFormat="1" applyFont="1" applyFill="1" applyBorder="1" applyAlignment="1">
      <alignment horizontal="center" shrinkToFit="1"/>
    </xf>
    <xf numFmtId="4" fontId="17" fillId="39" borderId="49" xfId="0" applyNumberFormat="1" applyFont="1" applyFill="1" applyBorder="1" applyAlignment="1">
      <alignment horizontal="center" shrinkToFit="1"/>
    </xf>
    <xf numFmtId="0" fontId="30" fillId="41" borderId="4" xfId="0" applyFont="1" applyFill="1" applyBorder="1" applyAlignment="1">
      <alignment shrinkToFit="1"/>
    </xf>
    <xf numFmtId="43" fontId="19" fillId="40" borderId="50" xfId="0" applyNumberFormat="1" applyFont="1" applyFill="1" applyBorder="1" applyAlignment="1">
      <alignment shrinkToFit="1"/>
    </xf>
    <xf numFmtId="43" fontId="19" fillId="40" borderId="51" xfId="0" applyNumberFormat="1" applyFont="1" applyFill="1" applyBorder="1" applyAlignment="1">
      <alignment shrinkToFit="1"/>
    </xf>
    <xf numFmtId="43" fontId="22" fillId="33" borderId="52" xfId="0" applyNumberFormat="1" applyFont="1" applyFill="1" applyBorder="1" applyAlignment="1">
      <alignment shrinkToFit="1"/>
    </xf>
    <xf numFmtId="0" fontId="22" fillId="33" borderId="16" xfId="0" applyFont="1" applyFill="1" applyBorder="1" applyAlignment="1">
      <alignment shrinkToFit="1"/>
    </xf>
    <xf numFmtId="43" fontId="31" fillId="33" borderId="48" xfId="0" applyNumberFormat="1" applyFont="1" applyFill="1" applyBorder="1" applyAlignment="1">
      <alignment shrinkToFit="1"/>
    </xf>
    <xf numFmtId="43" fontId="22" fillId="33" borderId="48" xfId="0" applyNumberFormat="1" applyFont="1" applyFill="1" applyBorder="1" applyAlignment="1">
      <alignment shrinkToFit="1"/>
    </xf>
    <xf numFmtId="10" fontId="22" fillId="40" borderId="54" xfId="0" applyNumberFormat="1" applyFont="1" applyFill="1" applyBorder="1" applyAlignment="1">
      <alignment horizontal="center" shrinkToFit="1"/>
    </xf>
    <xf numFmtId="10" fontId="22" fillId="40" borderId="57" xfId="0" applyNumberFormat="1" applyFont="1" applyFill="1" applyBorder="1" applyAlignment="1">
      <alignment horizontal="center" shrinkToFit="1"/>
    </xf>
    <xf numFmtId="164" fontId="31" fillId="40" borderId="60" xfId="0" applyNumberFormat="1" applyFont="1" applyFill="1" applyBorder="1" applyAlignment="1">
      <alignment horizontal="center" shrinkToFit="1"/>
    </xf>
    <xf numFmtId="0" fontId="17" fillId="35" borderId="17" xfId="0" applyFont="1" applyFill="1" applyBorder="1" applyAlignment="1">
      <alignment shrinkToFit="1"/>
    </xf>
    <xf numFmtId="43" fontId="22" fillId="33" borderId="49" xfId="0" applyNumberFormat="1" applyFont="1" applyFill="1" applyBorder="1" applyAlignment="1">
      <alignment shrinkToFit="1"/>
    </xf>
    <xf numFmtId="0" fontId="17" fillId="33" borderId="17" xfId="0" applyFont="1" applyFill="1" applyBorder="1" applyAlignment="1">
      <alignment shrinkToFit="1"/>
    </xf>
    <xf numFmtId="43" fontId="20" fillId="39" borderId="2" xfId="0" applyNumberFormat="1" applyFont="1" applyFill="1" applyBorder="1" applyAlignment="1">
      <alignment shrinkToFit="1"/>
    </xf>
    <xf numFmtId="43" fontId="20" fillId="39" borderId="49" xfId="0" applyNumberFormat="1" applyFont="1" applyFill="1" applyBorder="1" applyAlignment="1">
      <alignment shrinkToFit="1"/>
    </xf>
    <xf numFmtId="4" fontId="17" fillId="43" borderId="17" xfId="0" applyNumberFormat="1" applyFont="1" applyFill="1" applyBorder="1" applyAlignment="1">
      <alignment horizontal="center" shrinkToFit="1"/>
    </xf>
    <xf numFmtId="43" fontId="20" fillId="40" borderId="4" xfId="0" applyNumberFormat="1" applyFont="1" applyFill="1" applyBorder="1" applyAlignment="1">
      <alignment horizontal="center" shrinkToFit="1"/>
    </xf>
    <xf numFmtId="43" fontId="22" fillId="33" borderId="18" xfId="0" applyNumberFormat="1" applyFont="1" applyFill="1" applyBorder="1" applyAlignment="1">
      <alignment shrinkToFit="1"/>
    </xf>
    <xf numFmtId="0" fontId="22" fillId="33" borderId="40" xfId="0" applyFont="1" applyFill="1" applyBorder="1" applyAlignment="1">
      <alignment shrinkToFit="1"/>
    </xf>
    <xf numFmtId="43" fontId="31" fillId="33" borderId="49" xfId="0" applyNumberFormat="1" applyFont="1" applyFill="1" applyBorder="1" applyAlignment="1">
      <alignment shrinkToFit="1"/>
    </xf>
    <xf numFmtId="2" fontId="22" fillId="44" borderId="61" xfId="0" applyNumberFormat="1" applyFont="1" applyFill="1" applyBorder="1" applyAlignment="1">
      <alignment horizontal="center" shrinkToFit="1"/>
    </xf>
    <xf numFmtId="43" fontId="22" fillId="26" borderId="54" xfId="0" applyNumberFormat="1" applyFont="1" applyFill="1" applyBorder="1" applyAlignment="1">
      <alignment shrinkToFit="1"/>
    </xf>
    <xf numFmtId="2" fontId="22" fillId="44" borderId="56" xfId="0" applyNumberFormat="1" applyFont="1" applyFill="1" applyBorder="1" applyAlignment="1">
      <alignment horizontal="center" shrinkToFit="1"/>
    </xf>
    <xf numFmtId="43" fontId="22" fillId="26" borderId="57" xfId="0" applyNumberFormat="1" applyFont="1" applyFill="1" applyBorder="1" applyAlignment="1">
      <alignment shrinkToFit="1"/>
    </xf>
    <xf numFmtId="43" fontId="22" fillId="26" borderId="57" xfId="0" applyNumberFormat="1" applyFont="1" applyFill="1" applyBorder="1" applyAlignment="1">
      <alignment horizontal="right" shrinkToFit="1"/>
    </xf>
    <xf numFmtId="43" fontId="22" fillId="26" borderId="15" xfId="0" applyNumberFormat="1" applyFont="1" applyFill="1" applyBorder="1" applyAlignment="1">
      <alignment shrinkToFit="1"/>
    </xf>
    <xf numFmtId="4" fontId="17" fillId="39" borderId="0" xfId="0" applyNumberFormat="1" applyFont="1" applyFill="1" applyAlignment="1">
      <alignment shrinkToFit="1"/>
    </xf>
    <xf numFmtId="0" fontId="22" fillId="33" borderId="5" xfId="0" applyFont="1" applyFill="1" applyBorder="1" applyAlignment="1">
      <alignment shrinkToFit="1"/>
    </xf>
    <xf numFmtId="4" fontId="17" fillId="40" borderId="5" xfId="0" applyNumberFormat="1" applyFont="1" applyFill="1" applyBorder="1" applyAlignment="1">
      <alignment shrinkToFit="1"/>
    </xf>
    <xf numFmtId="43" fontId="19" fillId="39" borderId="2" xfId="0" applyNumberFormat="1" applyFont="1" applyFill="1" applyBorder="1" applyAlignment="1">
      <alignment horizontal="center" shrinkToFit="1"/>
    </xf>
    <xf numFmtId="43" fontId="19" fillId="39" borderId="49" xfId="0" applyNumberFormat="1" applyFont="1" applyFill="1" applyBorder="1" applyAlignment="1">
      <alignment horizontal="center" shrinkToFit="1"/>
    </xf>
    <xf numFmtId="43" fontId="22" fillId="33" borderId="49" xfId="0" applyNumberFormat="1" applyFont="1" applyFill="1" applyBorder="1" applyAlignment="1">
      <alignment horizontal="right" shrinkToFit="1"/>
    </xf>
    <xf numFmtId="0" fontId="17" fillId="42" borderId="0" xfId="0" applyFont="1" applyFill="1" applyAlignment="1">
      <alignment shrinkToFit="1"/>
    </xf>
    <xf numFmtId="43" fontId="20" fillId="39" borderId="2" xfId="0" applyNumberFormat="1" applyFont="1" applyFill="1" applyBorder="1" applyAlignment="1">
      <alignment horizontal="center" shrinkToFit="1"/>
    </xf>
    <xf numFmtId="43" fontId="20" fillId="39" borderId="49" xfId="0" applyNumberFormat="1" applyFont="1" applyFill="1" applyBorder="1" applyAlignment="1">
      <alignment horizontal="center" shrinkToFit="1"/>
    </xf>
    <xf numFmtId="43" fontId="20" fillId="25" borderId="2" xfId="0" applyNumberFormat="1" applyFont="1" applyFill="1" applyBorder="1" applyAlignment="1">
      <alignment horizontal="center" shrinkToFit="1"/>
    </xf>
    <xf numFmtId="43" fontId="20" fillId="25" borderId="49" xfId="0" applyNumberFormat="1" applyFont="1" applyFill="1" applyBorder="1" applyAlignment="1">
      <alignment horizontal="center" shrinkToFit="1"/>
    </xf>
    <xf numFmtId="0" fontId="22" fillId="33" borderId="0" xfId="0" applyFont="1" applyFill="1" applyAlignment="1">
      <alignment horizontal="right" shrinkToFit="1"/>
    </xf>
    <xf numFmtId="0" fontId="22" fillId="33" borderId="36" xfId="0" applyFont="1" applyFill="1" applyBorder="1" applyAlignment="1">
      <alignment horizontal="right" shrinkToFit="1"/>
    </xf>
    <xf numFmtId="43" fontId="22" fillId="33" borderId="36" xfId="0" applyNumberFormat="1" applyFont="1" applyFill="1" applyBorder="1" applyAlignment="1">
      <alignment horizontal="right" shrinkToFit="1"/>
    </xf>
    <xf numFmtId="43" fontId="31" fillId="39" borderId="2" xfId="0" applyNumberFormat="1" applyFont="1" applyFill="1" applyBorder="1" applyAlignment="1">
      <alignment horizontal="center" shrinkToFit="1"/>
    </xf>
    <xf numFmtId="43" fontId="31" fillId="39" borderId="49" xfId="0" applyNumberFormat="1" applyFont="1" applyFill="1" applyBorder="1" applyAlignment="1">
      <alignment horizontal="center" shrinkToFit="1"/>
    </xf>
    <xf numFmtId="0" fontId="17" fillId="47" borderId="4" xfId="0" applyFont="1" applyFill="1" applyBorder="1" applyAlignment="1">
      <alignment shrinkToFit="1"/>
    </xf>
    <xf numFmtId="43" fontId="20" fillId="47" borderId="2" xfId="0" applyNumberFormat="1" applyFont="1" applyFill="1" applyBorder="1" applyAlignment="1">
      <alignment horizontal="center" shrinkToFit="1"/>
    </xf>
    <xf numFmtId="43" fontId="20" fillId="47" borderId="49" xfId="0" applyNumberFormat="1" applyFont="1" applyFill="1" applyBorder="1" applyAlignment="1">
      <alignment horizontal="center" shrinkToFit="1"/>
    </xf>
    <xf numFmtId="43" fontId="17" fillId="0" borderId="0" xfId="0" applyNumberFormat="1" applyFont="1" applyAlignment="1">
      <alignment shrinkToFit="1"/>
    </xf>
    <xf numFmtId="0" fontId="22" fillId="33" borderId="1" xfId="0" applyFont="1" applyFill="1" applyBorder="1" applyAlignment="1">
      <alignment shrinkToFit="1"/>
    </xf>
    <xf numFmtId="0" fontId="22" fillId="33" borderId="39" xfId="0" applyFont="1" applyFill="1" applyBorder="1" applyAlignment="1">
      <alignment shrinkToFit="1"/>
    </xf>
    <xf numFmtId="0" fontId="27" fillId="33" borderId="0" xfId="0" applyFont="1" applyFill="1" applyAlignment="1">
      <alignment horizontal="center" shrinkToFit="1"/>
    </xf>
    <xf numFmtId="0" fontId="27" fillId="34" borderId="5" xfId="0" applyFont="1" applyFill="1" applyBorder="1" applyAlignment="1">
      <alignment horizontal="center" shrinkToFit="1"/>
    </xf>
    <xf numFmtId="0" fontId="27" fillId="42" borderId="63" xfId="0" applyFont="1" applyFill="1" applyBorder="1" applyAlignment="1">
      <alignment horizontal="center" shrinkToFit="1"/>
    </xf>
    <xf numFmtId="0" fontId="27" fillId="42" borderId="41" xfId="0" applyFont="1" applyFill="1" applyBorder="1" applyAlignment="1">
      <alignment horizontal="center" shrinkToFit="1"/>
    </xf>
    <xf numFmtId="0" fontId="27" fillId="42" borderId="64" xfId="0" applyFont="1" applyFill="1" applyBorder="1" applyAlignment="1">
      <alignment horizontal="center" shrinkToFit="1"/>
    </xf>
    <xf numFmtId="0" fontId="22" fillId="45" borderId="41" xfId="0" applyFont="1" applyFill="1" applyBorder="1" applyAlignment="1">
      <alignment horizontal="center" vertical="center" shrinkToFit="1"/>
    </xf>
    <xf numFmtId="0" fontId="27" fillId="46" borderId="5" xfId="0" applyFont="1" applyFill="1" applyBorder="1" applyAlignment="1">
      <alignment horizontal="center" shrinkToFit="1"/>
    </xf>
    <xf numFmtId="0" fontId="22" fillId="43" borderId="10" xfId="0" applyFont="1" applyFill="1" applyBorder="1" applyAlignment="1">
      <alignment vertical="center" shrinkToFit="1"/>
    </xf>
    <xf numFmtId="0" fontId="22" fillId="43" borderId="11" xfId="0" applyFont="1" applyFill="1" applyBorder="1" applyAlignment="1">
      <alignment vertical="center" shrinkToFit="1"/>
    </xf>
    <xf numFmtId="0" fontId="24" fillId="43" borderId="0" xfId="0" applyFont="1" applyFill="1" applyAlignment="1">
      <alignment shrinkToFit="1"/>
    </xf>
    <xf numFmtId="0" fontId="17" fillId="25" borderId="12" xfId="0" applyFont="1" applyFill="1" applyBorder="1" applyAlignment="1">
      <alignment shrinkToFit="1"/>
    </xf>
    <xf numFmtId="164" fontId="22" fillId="25" borderId="13" xfId="0" applyNumberFormat="1" applyFont="1" applyFill="1" applyBorder="1" applyAlignment="1">
      <alignment shrinkToFit="1"/>
    </xf>
    <xf numFmtId="43" fontId="22" fillId="25" borderId="13" xfId="0" applyNumberFormat="1" applyFont="1" applyFill="1" applyBorder="1" applyAlignment="1">
      <alignment shrinkToFit="1"/>
    </xf>
    <xf numFmtId="0" fontId="17" fillId="25" borderId="14" xfId="0" applyFont="1" applyFill="1" applyBorder="1" applyAlignment="1">
      <alignment shrinkToFit="1"/>
    </xf>
    <xf numFmtId="165" fontId="22" fillId="25" borderId="15" xfId="0" applyNumberFormat="1" applyFont="1" applyFill="1" applyBorder="1" applyAlignment="1">
      <alignment shrinkToFit="1"/>
    </xf>
    <xf numFmtId="0" fontId="22" fillId="48" borderId="10" xfId="0" applyFont="1" applyFill="1" applyBorder="1" applyAlignment="1">
      <alignment shrinkToFit="1"/>
    </xf>
    <xf numFmtId="0" fontId="22" fillId="48" borderId="11" xfId="0" applyFont="1" applyFill="1" applyBorder="1" applyAlignment="1">
      <alignment shrinkToFit="1"/>
    </xf>
    <xf numFmtId="0" fontId="22" fillId="48" borderId="19" xfId="0" applyFont="1" applyFill="1" applyBorder="1" applyAlignment="1">
      <alignment shrinkToFit="1"/>
    </xf>
    <xf numFmtId="0" fontId="22" fillId="48" borderId="20" xfId="0" applyFont="1" applyFill="1" applyBorder="1" applyAlignment="1">
      <alignment shrinkToFit="1"/>
    </xf>
    <xf numFmtId="0" fontId="17" fillId="42" borderId="12" xfId="0" applyFont="1" applyFill="1" applyBorder="1" applyAlignment="1">
      <alignment shrinkToFit="1"/>
    </xf>
    <xf numFmtId="164" fontId="22" fillId="42" borderId="13" xfId="0" applyNumberFormat="1" applyFont="1" applyFill="1" applyBorder="1" applyAlignment="1">
      <alignment shrinkToFit="1"/>
    </xf>
    <xf numFmtId="2" fontId="17" fillId="0" borderId="0" xfId="0" applyNumberFormat="1" applyFont="1" applyAlignment="1">
      <alignment shrinkToFit="1"/>
    </xf>
    <xf numFmtId="164" fontId="17" fillId="42" borderId="21" xfId="0" applyNumberFormat="1" applyFont="1" applyFill="1" applyBorder="1" applyAlignment="1">
      <alignment shrinkToFit="1"/>
    </xf>
    <xf numFmtId="2" fontId="17" fillId="42" borderId="31" xfId="0" applyNumberFormat="1" applyFont="1" applyFill="1" applyBorder="1" applyAlignment="1">
      <alignment horizontal="right" shrinkToFit="1"/>
    </xf>
    <xf numFmtId="0" fontId="17" fillId="42" borderId="14" xfId="0" applyFont="1" applyFill="1" applyBorder="1" applyAlignment="1">
      <alignment shrinkToFit="1"/>
    </xf>
    <xf numFmtId="164" fontId="22" fillId="42" borderId="15" xfId="0" applyNumberFormat="1" applyFont="1" applyFill="1" applyBorder="1" applyAlignment="1">
      <alignment shrinkToFit="1"/>
    </xf>
    <xf numFmtId="164" fontId="17" fillId="42" borderId="22" xfId="0" applyNumberFormat="1" applyFont="1" applyFill="1" applyBorder="1" applyAlignment="1">
      <alignment shrinkToFit="1"/>
    </xf>
    <xf numFmtId="2" fontId="17" fillId="42" borderId="23" xfId="0" applyNumberFormat="1" applyFont="1" applyFill="1" applyBorder="1" applyAlignment="1">
      <alignment horizontal="right" shrinkToFit="1"/>
    </xf>
    <xf numFmtId="164" fontId="29" fillId="0" borderId="0" xfId="0" applyNumberFormat="1" applyFont="1" applyAlignment="1">
      <alignment shrinkToFit="1"/>
    </xf>
    <xf numFmtId="0" fontId="22" fillId="46" borderId="10" xfId="0" applyFont="1" applyFill="1" applyBorder="1" applyAlignment="1">
      <alignment shrinkToFit="1"/>
    </xf>
    <xf numFmtId="0" fontId="22" fillId="46" borderId="11" xfId="0" applyFont="1" applyFill="1" applyBorder="1" applyAlignment="1">
      <alignment shrinkToFit="1"/>
    </xf>
    <xf numFmtId="0" fontId="17" fillId="34" borderId="12" xfId="0" applyFont="1" applyFill="1" applyBorder="1" applyAlignment="1">
      <alignment shrinkToFit="1"/>
    </xf>
    <xf numFmtId="10" fontId="17" fillId="34" borderId="13" xfId="0" applyNumberFormat="1" applyFont="1" applyFill="1" applyBorder="1" applyAlignment="1">
      <alignment shrinkToFit="1"/>
    </xf>
    <xf numFmtId="10" fontId="17" fillId="0" borderId="0" xfId="0" applyNumberFormat="1" applyFont="1" applyAlignment="1">
      <alignment shrinkToFit="1"/>
    </xf>
    <xf numFmtId="0" fontId="17" fillId="34" borderId="14" xfId="0" applyFont="1" applyFill="1" applyBorder="1" applyAlignment="1">
      <alignment shrinkToFit="1"/>
    </xf>
    <xf numFmtId="10" fontId="17" fillId="34" borderId="15" xfId="0" applyNumberFormat="1" applyFont="1" applyFill="1" applyBorder="1" applyAlignment="1">
      <alignment shrinkToFit="1"/>
    </xf>
    <xf numFmtId="0" fontId="17" fillId="36" borderId="35" xfId="0" applyFont="1" applyFill="1" applyBorder="1" applyAlignment="1">
      <alignment shrinkToFit="1"/>
    </xf>
    <xf numFmtId="0" fontId="17" fillId="36" borderId="36" xfId="0" applyFont="1" applyFill="1" applyBorder="1" applyAlignment="1">
      <alignment shrinkToFit="1"/>
    </xf>
    <xf numFmtId="0" fontId="17" fillId="36" borderId="0" xfId="0" applyFont="1" applyFill="1" applyAlignment="1">
      <alignment shrinkToFit="1"/>
    </xf>
    <xf numFmtId="0" fontId="17" fillId="44" borderId="17" xfId="0" applyFont="1" applyFill="1" applyBorder="1" applyAlignment="1">
      <alignment shrinkToFit="1"/>
    </xf>
    <xf numFmtId="2" fontId="17" fillId="44" borderId="0" xfId="0" applyNumberFormat="1" applyFont="1" applyFill="1" applyAlignment="1">
      <alignment shrinkToFit="1"/>
    </xf>
    <xf numFmtId="0" fontId="17" fillId="44" borderId="0" xfId="0" applyFont="1" applyFill="1" applyAlignment="1">
      <alignment shrinkToFit="1"/>
    </xf>
    <xf numFmtId="0" fontId="17" fillId="44" borderId="3" xfId="0" applyFont="1" applyFill="1" applyBorder="1" applyAlignment="1">
      <alignment shrinkToFit="1"/>
    </xf>
    <xf numFmtId="2" fontId="17" fillId="44" borderId="5" xfId="0" applyNumberFormat="1" applyFont="1" applyFill="1" applyBorder="1" applyAlignment="1">
      <alignment shrinkToFit="1"/>
    </xf>
    <xf numFmtId="0" fontId="17" fillId="26" borderId="0" xfId="0" applyFont="1" applyFill="1" applyAlignment="1">
      <alignment shrinkToFit="1"/>
    </xf>
    <xf numFmtId="0" fontId="17" fillId="45" borderId="37" xfId="0" applyFont="1" applyFill="1" applyBorder="1" applyAlignment="1">
      <alignment shrinkToFit="1"/>
    </xf>
    <xf numFmtId="0" fontId="17" fillId="45" borderId="43" xfId="0" applyFont="1" applyFill="1" applyBorder="1" applyAlignment="1">
      <alignment horizontal="center" shrinkToFit="1"/>
    </xf>
    <xf numFmtId="0" fontId="17" fillId="45" borderId="35" xfId="0" applyFont="1" applyFill="1" applyBorder="1" applyAlignment="1">
      <alignment shrinkToFit="1"/>
    </xf>
    <xf numFmtId="0" fontId="17" fillId="45" borderId="42" xfId="0" applyFont="1" applyFill="1" applyBorder="1" applyAlignment="1">
      <alignment shrinkToFit="1"/>
    </xf>
    <xf numFmtId="0" fontId="17" fillId="45" borderId="36" xfId="0" applyFont="1" applyFill="1" applyBorder="1" applyAlignment="1">
      <alignment shrinkToFit="1"/>
    </xf>
    <xf numFmtId="0" fontId="17" fillId="49" borderId="12" xfId="0" applyFont="1" applyFill="1" applyBorder="1" applyAlignment="1">
      <alignment shrinkToFit="1"/>
    </xf>
    <xf numFmtId="43" fontId="17" fillId="49" borderId="0" xfId="0" applyNumberFormat="1" applyFont="1" applyFill="1" applyAlignment="1">
      <alignment shrinkToFit="1"/>
    </xf>
    <xf numFmtId="43" fontId="22" fillId="49" borderId="37" xfId="0" applyNumberFormat="1" applyFont="1" applyFill="1" applyBorder="1" applyAlignment="1">
      <alignment vertical="center" shrinkToFit="1"/>
    </xf>
    <xf numFmtId="168" fontId="17" fillId="49" borderId="1" xfId="0" applyNumberFormat="1" applyFont="1" applyFill="1" applyBorder="1" applyAlignment="1">
      <alignment shrinkToFit="1"/>
    </xf>
    <xf numFmtId="44" fontId="33" fillId="50" borderId="39" xfId="0" applyNumberFormat="1" applyFont="1" applyFill="1" applyBorder="1" applyAlignment="1">
      <alignment shrinkToFit="1"/>
    </xf>
    <xf numFmtId="9" fontId="26" fillId="50" borderId="39" xfId="0" applyNumberFormat="1" applyFont="1" applyFill="1" applyBorder="1" applyAlignment="1">
      <alignment shrinkToFit="1"/>
    </xf>
    <xf numFmtId="43" fontId="22" fillId="49" borderId="3" xfId="0" applyNumberFormat="1" applyFont="1" applyFill="1" applyBorder="1" applyAlignment="1">
      <alignment vertical="center" shrinkToFit="1"/>
    </xf>
    <xf numFmtId="168" fontId="17" fillId="49" borderId="2" xfId="0" applyNumberFormat="1" applyFont="1" applyFill="1" applyBorder="1" applyAlignment="1">
      <alignment shrinkToFit="1"/>
    </xf>
    <xf numFmtId="44" fontId="33" fillId="50" borderId="49" xfId="0" applyNumberFormat="1" applyFont="1" applyFill="1" applyBorder="1" applyAlignment="1">
      <alignment shrinkToFit="1"/>
    </xf>
    <xf numFmtId="9" fontId="26" fillId="50" borderId="49" xfId="0" applyNumberFormat="1" applyFont="1" applyFill="1" applyBorder="1" applyAlignment="1">
      <alignment shrinkToFit="1"/>
    </xf>
    <xf numFmtId="0" fontId="17" fillId="49" borderId="2" xfId="0" applyFont="1" applyFill="1" applyBorder="1" applyAlignment="1">
      <alignment shrinkToFit="1"/>
    </xf>
    <xf numFmtId="44" fontId="12" fillId="50" borderId="49" xfId="0" applyNumberFormat="1" applyFont="1" applyFill="1" applyBorder="1" applyAlignment="1">
      <alignment shrinkToFit="1"/>
    </xf>
    <xf numFmtId="0" fontId="26" fillId="50" borderId="49" xfId="0" applyFont="1" applyFill="1" applyBorder="1" applyAlignment="1">
      <alignment shrinkToFit="1"/>
    </xf>
    <xf numFmtId="0" fontId="26" fillId="50" borderId="0" xfId="0" applyFont="1" applyFill="1" applyAlignment="1">
      <alignment shrinkToFit="1"/>
    </xf>
    <xf numFmtId="0" fontId="25" fillId="50" borderId="0" xfId="0" applyFont="1" applyFill="1" applyAlignment="1">
      <alignment shrinkToFit="1"/>
    </xf>
    <xf numFmtId="0" fontId="24" fillId="49" borderId="0" xfId="0" applyFont="1" applyFill="1" applyAlignment="1">
      <alignment shrinkToFit="1"/>
    </xf>
    <xf numFmtId="0" fontId="24" fillId="49" borderId="12" xfId="0" applyFont="1" applyFill="1" applyBorder="1" applyAlignment="1">
      <alignment shrinkToFit="1"/>
    </xf>
    <xf numFmtId="43" fontId="34" fillId="51" borderId="2" xfId="0" applyNumberFormat="1" applyFont="1" applyFill="1" applyBorder="1" applyAlignment="1">
      <alignment vertical="center" shrinkToFit="1"/>
    </xf>
    <xf numFmtId="10" fontId="34" fillId="51" borderId="49" xfId="0" applyNumberFormat="1" applyFont="1" applyFill="1" applyBorder="1" applyAlignment="1">
      <alignment horizontal="center" vertical="center" shrinkToFit="1"/>
    </xf>
    <xf numFmtId="44" fontId="34" fillId="51" borderId="49" xfId="0" applyNumberFormat="1" applyFont="1" applyFill="1" applyBorder="1" applyAlignment="1">
      <alignment shrinkToFit="1"/>
    </xf>
    <xf numFmtId="0" fontId="26" fillId="51" borderId="49" xfId="0" applyFont="1" applyFill="1" applyBorder="1" applyAlignment="1">
      <alignment shrinkToFit="1"/>
    </xf>
    <xf numFmtId="43" fontId="22" fillId="49" borderId="2" xfId="0" applyNumberFormat="1" applyFont="1" applyFill="1" applyBorder="1" applyAlignment="1">
      <alignment vertical="center" shrinkToFit="1"/>
    </xf>
    <xf numFmtId="10" fontId="22" fillId="49" borderId="49" xfId="0" applyNumberFormat="1" applyFont="1" applyFill="1" applyBorder="1" applyAlignment="1">
      <alignment horizontal="center" vertical="center" shrinkToFit="1"/>
    </xf>
    <xf numFmtId="44" fontId="26" fillId="50" borderId="49" xfId="0" applyNumberFormat="1" applyFont="1" applyFill="1" applyBorder="1" applyAlignment="1">
      <alignment shrinkToFit="1"/>
    </xf>
    <xf numFmtId="164" fontId="22" fillId="49" borderId="2" xfId="0" applyNumberFormat="1" applyFont="1" applyFill="1" applyBorder="1" applyAlignment="1">
      <alignment vertical="center" shrinkToFit="1"/>
    </xf>
    <xf numFmtId="10" fontId="17" fillId="49" borderId="49" xfId="0" applyNumberFormat="1" applyFont="1" applyFill="1" applyBorder="1" applyAlignment="1">
      <alignment vertical="center" shrinkToFit="1"/>
    </xf>
    <xf numFmtId="0" fontId="12" fillId="50" borderId="49" xfId="0" applyFont="1" applyFill="1" applyBorder="1" applyAlignment="1">
      <alignment shrinkToFit="1"/>
    </xf>
    <xf numFmtId="0" fontId="17" fillId="49" borderId="14" xfId="0" applyFont="1" applyFill="1" applyBorder="1" applyAlignment="1">
      <alignment shrinkToFit="1"/>
    </xf>
    <xf numFmtId="43" fontId="17" fillId="49" borderId="44" xfId="0" applyNumberFormat="1" applyFont="1" applyFill="1" applyBorder="1" applyAlignment="1">
      <alignment shrinkToFit="1"/>
    </xf>
    <xf numFmtId="44" fontId="26" fillId="50" borderId="0" xfId="0" applyNumberFormat="1" applyFont="1" applyFill="1" applyAlignment="1">
      <alignment shrinkToFit="1"/>
    </xf>
    <xf numFmtId="44" fontId="25" fillId="50" borderId="0" xfId="0" applyNumberFormat="1" applyFont="1" applyFill="1" applyAlignment="1">
      <alignment shrinkToFit="1"/>
    </xf>
    <xf numFmtId="44" fontId="17" fillId="0" borderId="0" xfId="0" applyNumberFormat="1" applyFont="1" applyAlignment="1">
      <alignment shrinkToFit="1"/>
    </xf>
    <xf numFmtId="0" fontId="17" fillId="52" borderId="10" xfId="0" applyFont="1" applyFill="1" applyBorder="1" applyAlignment="1">
      <alignment shrinkToFit="1"/>
    </xf>
    <xf numFmtId="0" fontId="17" fillId="52" borderId="11" xfId="0" applyFont="1" applyFill="1" applyBorder="1" applyAlignment="1">
      <alignment shrinkToFit="1"/>
    </xf>
    <xf numFmtId="0" fontId="17" fillId="53" borderId="14" xfId="0" applyFont="1" applyFill="1" applyBorder="1" applyAlignment="1">
      <alignment shrinkToFit="1"/>
    </xf>
    <xf numFmtId="164" fontId="17" fillId="53" borderId="15" xfId="0" applyNumberFormat="1" applyFont="1" applyFill="1" applyBorder="1" applyAlignment="1">
      <alignment shrinkToFit="1"/>
    </xf>
    <xf numFmtId="0" fontId="22" fillId="31" borderId="0" xfId="0" applyFont="1" applyFill="1" applyAlignment="1">
      <alignment shrinkToFit="1"/>
    </xf>
    <xf numFmtId="0" fontId="17" fillId="31" borderId="0" xfId="0" applyFont="1" applyFill="1" applyAlignment="1">
      <alignment shrinkToFit="1"/>
    </xf>
    <xf numFmtId="0" fontId="17" fillId="31" borderId="36" xfId="0" applyFont="1" applyFill="1" applyBorder="1" applyAlignment="1">
      <alignment shrinkToFit="1"/>
    </xf>
    <xf numFmtId="9" fontId="17" fillId="31" borderId="36" xfId="0" applyNumberFormat="1" applyFont="1" applyFill="1" applyBorder="1" applyAlignment="1">
      <alignment shrinkToFit="1"/>
    </xf>
    <xf numFmtId="43" fontId="17" fillId="31" borderId="36" xfId="0" applyNumberFormat="1" applyFont="1" applyFill="1" applyBorder="1" applyAlignment="1">
      <alignment shrinkToFit="1"/>
    </xf>
    <xf numFmtId="9" fontId="17" fillId="31" borderId="0" xfId="0" applyNumberFormat="1" applyFont="1" applyFill="1" applyAlignment="1">
      <alignment shrinkToFit="1"/>
    </xf>
    <xf numFmtId="43" fontId="17" fillId="31" borderId="0" xfId="0" applyNumberFormat="1" applyFont="1" applyFill="1" applyAlignment="1">
      <alignment shrinkToFit="1"/>
    </xf>
    <xf numFmtId="0" fontId="12" fillId="45" borderId="66" xfId="0" applyFont="1" applyFill="1" applyBorder="1" applyAlignment="1">
      <alignment horizontal="center" shrinkToFit="1"/>
    </xf>
    <xf numFmtId="0" fontId="12" fillId="45" borderId="65" xfId="0" applyFont="1" applyFill="1" applyBorder="1" applyAlignment="1">
      <alignment horizontal="center" shrinkToFit="1"/>
    </xf>
    <xf numFmtId="0" fontId="17" fillId="45" borderId="0" xfId="0" applyFont="1" applyFill="1" applyAlignment="1">
      <alignment horizontal="center" shrinkToFit="1"/>
    </xf>
    <xf numFmtId="0" fontId="17" fillId="45" borderId="47" xfId="0" applyFont="1" applyFill="1" applyBorder="1" applyAlignment="1">
      <alignment horizontal="center" shrinkToFit="1"/>
    </xf>
    <xf numFmtId="44" fontId="26" fillId="50" borderId="46" xfId="0" applyNumberFormat="1" applyFont="1" applyFill="1" applyBorder="1" applyAlignment="1">
      <alignment horizontal="center" shrinkToFit="1"/>
    </xf>
    <xf numFmtId="44" fontId="26" fillId="50" borderId="66" xfId="0" applyNumberFormat="1" applyFont="1" applyFill="1" applyBorder="1" applyAlignment="1">
      <alignment horizontal="center" shrinkToFit="1"/>
    </xf>
    <xf numFmtId="44" fontId="26" fillId="50" borderId="67" xfId="0" applyNumberFormat="1" applyFont="1" applyFill="1" applyBorder="1" applyAlignment="1">
      <alignment horizontal="center" shrinkToFit="1"/>
    </xf>
    <xf numFmtId="44" fontId="25" fillId="50" borderId="0" xfId="0" applyNumberFormat="1" applyFont="1" applyFill="1" applyAlignment="1">
      <alignment horizontal="center" shrinkToFit="1"/>
    </xf>
    <xf numFmtId="44" fontId="26" fillId="50" borderId="45" xfId="0" applyNumberFormat="1" applyFont="1" applyFill="1" applyBorder="1" applyAlignment="1">
      <alignment horizontal="center" shrinkToFit="1"/>
    </xf>
    <xf numFmtId="43" fontId="17" fillId="34" borderId="13" xfId="0" applyNumberFormat="1" applyFont="1" applyFill="1" applyBorder="1" applyAlignment="1">
      <alignment shrinkToFit="1"/>
    </xf>
    <xf numFmtId="43" fontId="17" fillId="34" borderId="15" xfId="13" applyFont="1" applyFill="1" applyBorder="1" applyAlignment="1">
      <alignment shrinkToFit="1"/>
    </xf>
    <xf numFmtId="10" fontId="34" fillId="54" borderId="49" xfId="0" applyNumberFormat="1" applyFont="1" applyFill="1" applyBorder="1" applyAlignment="1">
      <alignment horizontal="center" vertical="center" shrinkToFit="1"/>
    </xf>
    <xf numFmtId="44" fontId="34" fillId="54" borderId="49" xfId="0" applyNumberFormat="1" applyFont="1" applyFill="1" applyBorder="1" applyAlignment="1">
      <alignment shrinkToFit="1"/>
    </xf>
    <xf numFmtId="0" fontId="26" fillId="54" borderId="49" xfId="0" applyFont="1" applyFill="1" applyBorder="1" applyAlignment="1">
      <alignment shrinkToFit="1"/>
    </xf>
    <xf numFmtId="43" fontId="35" fillId="54" borderId="2" xfId="0" applyNumberFormat="1" applyFont="1" applyFill="1" applyBorder="1" applyAlignment="1">
      <alignment vertical="center" shrinkToFit="1"/>
    </xf>
    <xf numFmtId="0" fontId="37" fillId="49" borderId="12" xfId="0" applyFont="1" applyFill="1" applyBorder="1" applyAlignment="1">
      <alignment shrinkToFit="1"/>
    </xf>
    <xf numFmtId="0" fontId="38" fillId="49" borderId="12" xfId="0" applyFont="1" applyFill="1" applyBorder="1" applyAlignment="1">
      <alignment shrinkToFit="1"/>
    </xf>
    <xf numFmtId="0" fontId="37" fillId="49" borderId="14" xfId="0" applyFont="1" applyFill="1" applyBorder="1" applyAlignment="1">
      <alignment shrinkToFit="1"/>
    </xf>
    <xf numFmtId="0" fontId="20" fillId="0" borderId="0" xfId="0" applyFont="1" applyAlignment="1">
      <alignment shrinkToFit="1"/>
    </xf>
    <xf numFmtId="44" fontId="39" fillId="50" borderId="0" xfId="0" applyNumberFormat="1" applyFont="1" applyFill="1" applyAlignment="1">
      <alignment shrinkToFit="1"/>
    </xf>
    <xf numFmtId="43" fontId="22" fillId="55" borderId="52" xfId="0" applyNumberFormat="1" applyFont="1" applyFill="1" applyBorder="1" applyAlignment="1">
      <alignment horizontal="right" shrinkToFit="1"/>
    </xf>
    <xf numFmtId="44" fontId="40" fillId="50" borderId="66" xfId="0" applyNumberFormat="1" applyFont="1" applyFill="1" applyBorder="1" applyAlignment="1">
      <alignment horizontal="center" shrinkToFit="1"/>
    </xf>
    <xf numFmtId="44" fontId="40" fillId="50" borderId="67" xfId="0" applyNumberFormat="1" applyFont="1" applyFill="1" applyBorder="1" applyAlignment="1">
      <alignment horizontal="center" shrinkToFit="1"/>
    </xf>
    <xf numFmtId="44" fontId="40" fillId="50" borderId="0" xfId="0" applyNumberFormat="1" applyFont="1" applyFill="1" applyAlignment="1">
      <alignment horizontal="center" shrinkToFit="1"/>
    </xf>
    <xf numFmtId="44" fontId="40" fillId="50" borderId="45" xfId="0" applyNumberFormat="1" applyFont="1" applyFill="1" applyBorder="1" applyAlignment="1">
      <alignment horizontal="center" shrinkToFit="1"/>
    </xf>
    <xf numFmtId="44" fontId="40" fillId="50" borderId="46" xfId="0" applyNumberFormat="1" applyFont="1" applyFill="1" applyBorder="1" applyAlignment="1">
      <alignment horizontal="center" shrinkToFit="1"/>
    </xf>
    <xf numFmtId="44" fontId="39" fillId="50" borderId="49" xfId="0" applyNumberFormat="1" applyFont="1" applyFill="1" applyBorder="1" applyAlignment="1">
      <alignment shrinkToFit="1"/>
    </xf>
    <xf numFmtId="44" fontId="40" fillId="50" borderId="39" xfId="0" applyNumberFormat="1" applyFont="1" applyFill="1" applyBorder="1" applyAlignment="1">
      <alignment shrinkToFit="1"/>
    </xf>
    <xf numFmtId="44" fontId="40" fillId="50" borderId="49" xfId="0" applyNumberFormat="1" applyFont="1" applyFill="1" applyBorder="1" applyAlignment="1">
      <alignment shrinkToFit="1"/>
    </xf>
    <xf numFmtId="44" fontId="40" fillId="50" borderId="0" xfId="0" applyNumberFormat="1" applyFont="1" applyFill="1" applyAlignment="1">
      <alignment shrinkToFit="1"/>
    </xf>
    <xf numFmtId="43" fontId="36" fillId="49" borderId="37" xfId="0" applyNumberFormat="1" applyFont="1" applyFill="1" applyBorder="1" applyAlignment="1">
      <alignment vertical="center" shrinkToFit="1"/>
    </xf>
    <xf numFmtId="43" fontId="36" fillId="49" borderId="3" xfId="0" applyNumberFormat="1" applyFont="1" applyFill="1" applyBorder="1" applyAlignment="1">
      <alignment vertical="center" shrinkToFit="1"/>
    </xf>
    <xf numFmtId="168" fontId="42" fillId="49" borderId="1" xfId="0" applyNumberFormat="1" applyFont="1" applyFill="1" applyBorder="1" applyAlignment="1">
      <alignment shrinkToFit="1"/>
    </xf>
    <xf numFmtId="168" fontId="42" fillId="49" borderId="2" xfId="0" applyNumberFormat="1" applyFont="1" applyFill="1" applyBorder="1" applyAlignment="1">
      <alignment shrinkToFit="1"/>
    </xf>
    <xf numFmtId="44" fontId="41" fillId="50" borderId="49" xfId="0" applyNumberFormat="1" applyFont="1" applyFill="1" applyBorder="1" applyAlignment="1">
      <alignment shrinkToFit="1"/>
    </xf>
    <xf numFmtId="0" fontId="37" fillId="31" borderId="0" xfId="0" applyFont="1" applyFill="1" applyAlignment="1">
      <alignment shrinkToFit="1"/>
    </xf>
    <xf numFmtId="43" fontId="37" fillId="31" borderId="36" xfId="0" applyNumberFormat="1" applyFont="1" applyFill="1" applyBorder="1" applyAlignment="1">
      <alignment shrinkToFit="1"/>
    </xf>
    <xf numFmtId="43" fontId="37" fillId="31" borderId="0" xfId="0" applyNumberFormat="1" applyFont="1" applyFill="1" applyAlignment="1">
      <alignment shrinkToFit="1"/>
    </xf>
    <xf numFmtId="44" fontId="39" fillId="21" borderId="1" xfId="14" applyFont="1" applyFill="1" applyBorder="1" applyAlignment="1">
      <alignment shrinkToFit="1"/>
    </xf>
    <xf numFmtId="44" fontId="39" fillId="21" borderId="1" xfId="17" applyNumberFormat="1" applyFont="1" applyBorder="1" applyAlignment="1">
      <alignment shrinkToFit="1"/>
    </xf>
    <xf numFmtId="10" fontId="14" fillId="14" borderId="1" xfId="20" applyNumberFormat="1" applyFill="1" applyBorder="1" applyAlignment="1">
      <alignment horizontal="center" vertical="center" shrinkToFit="1"/>
    </xf>
    <xf numFmtId="0" fontId="0" fillId="28" borderId="0" xfId="0" applyFill="1" applyAlignment="1">
      <alignment shrinkToFit="1"/>
    </xf>
    <xf numFmtId="10" fontId="0" fillId="17" borderId="5" xfId="15" applyNumberFormat="1" applyFont="1" applyFill="1" applyBorder="1" applyAlignment="1">
      <alignment shrinkToFit="1"/>
    </xf>
    <xf numFmtId="43" fontId="0" fillId="17" borderId="0" xfId="13" applyFont="1" applyFill="1" applyBorder="1" applyAlignment="1">
      <alignment shrinkToFit="1"/>
    </xf>
    <xf numFmtId="9" fontId="0" fillId="17" borderId="0" xfId="15" applyFont="1" applyFill="1" applyBorder="1" applyAlignment="1">
      <alignment shrinkToFit="1"/>
    </xf>
    <xf numFmtId="0" fontId="0" fillId="28" borderId="0" xfId="0" applyFill="1" applyBorder="1" applyAlignment="1">
      <alignment shrinkToFit="1"/>
    </xf>
    <xf numFmtId="43" fontId="0" fillId="28" borderId="0" xfId="13" applyFont="1" applyFill="1" applyBorder="1" applyAlignment="1">
      <alignment shrinkToFit="1"/>
    </xf>
    <xf numFmtId="164" fontId="2" fillId="28" borderId="0" xfId="0" applyNumberFormat="1" applyFont="1" applyFill="1" applyBorder="1" applyAlignment="1">
      <alignment vertical="center" shrinkToFit="1"/>
    </xf>
    <xf numFmtId="10" fontId="0" fillId="28" borderId="0" xfId="0" applyNumberFormat="1" applyFill="1" applyBorder="1" applyAlignment="1">
      <alignment vertical="center" shrinkToFit="1"/>
    </xf>
    <xf numFmtId="0" fontId="8" fillId="0" borderId="0" xfId="10"/>
    <xf numFmtId="0" fontId="8" fillId="28" borderId="0" xfId="10" applyFill="1"/>
    <xf numFmtId="0" fontId="0" fillId="56" borderId="0" xfId="0" applyFill="1" applyAlignment="1">
      <alignment shrinkToFit="1"/>
    </xf>
    <xf numFmtId="0" fontId="7" fillId="15" borderId="0" xfId="0" applyFont="1" applyFill="1" applyAlignment="1">
      <alignment shrinkToFit="1"/>
    </xf>
    <xf numFmtId="0" fontId="7" fillId="14" borderId="12" xfId="0" applyFont="1" applyFill="1" applyBorder="1" applyAlignment="1">
      <alignment shrinkToFit="1"/>
    </xf>
    <xf numFmtId="165" fontId="2" fillId="14" borderId="1" xfId="0" applyNumberFormat="1" applyFont="1" applyFill="1" applyBorder="1" applyAlignment="1">
      <alignment vertical="center" shrinkToFit="1"/>
    </xf>
    <xf numFmtId="0" fontId="44" fillId="56" borderId="0" xfId="10" applyFont="1" applyFill="1"/>
    <xf numFmtId="0" fontId="45" fillId="56" borderId="0" xfId="0" applyFont="1" applyFill="1" applyAlignment="1">
      <alignment shrinkToFit="1"/>
    </xf>
    <xf numFmtId="10" fontId="0" fillId="8" borderId="15" xfId="0" applyNumberFormat="1" applyFill="1" applyBorder="1" applyAlignment="1">
      <alignment horizontal="right" shrinkToFit="1"/>
    </xf>
    <xf numFmtId="43" fontId="0" fillId="8" borderId="13" xfId="13" applyFont="1" applyFill="1" applyBorder="1" applyAlignment="1">
      <alignment horizontal="right" shrinkToFit="1"/>
    </xf>
    <xf numFmtId="44" fontId="25" fillId="14" borderId="1" xfId="20" applyNumberFormat="1" applyFont="1" applyFill="1" applyBorder="1" applyAlignment="1">
      <alignment shrinkToFit="1"/>
    </xf>
    <xf numFmtId="0" fontId="40" fillId="21" borderId="1" xfId="17" applyFont="1" applyBorder="1" applyAlignment="1">
      <alignment shrinkToFit="1"/>
    </xf>
    <xf numFmtId="44" fontId="40" fillId="21" borderId="1" xfId="17" applyNumberFormat="1" applyFont="1" applyBorder="1" applyAlignment="1">
      <alignment shrinkToFit="1"/>
    </xf>
    <xf numFmtId="9" fontId="26" fillId="21" borderId="1" xfId="17" applyNumberFormat="1" applyFont="1" applyBorder="1" applyAlignment="1">
      <alignment horizontal="center" shrinkToFit="1"/>
    </xf>
    <xf numFmtId="0" fontId="26" fillId="21" borderId="1" xfId="17" applyFont="1" applyBorder="1" applyAlignment="1">
      <alignment horizontal="center" shrinkToFit="1"/>
    </xf>
    <xf numFmtId="0" fontId="26" fillId="14" borderId="1" xfId="20" applyFont="1" applyFill="1" applyBorder="1" applyAlignment="1">
      <alignment horizontal="center" shrinkToFit="1"/>
    </xf>
    <xf numFmtId="0" fontId="8" fillId="14" borderId="1" xfId="10" applyFill="1" applyBorder="1"/>
    <xf numFmtId="0" fontId="0" fillId="6" borderId="38" xfId="0" applyFill="1" applyBorder="1" applyAlignment="1">
      <alignment horizontal="center" shrinkToFit="1"/>
    </xf>
    <xf numFmtId="0" fontId="0" fillId="6" borderId="1" xfId="0" applyFill="1" applyBorder="1" applyAlignment="1">
      <alignment shrinkToFit="1"/>
    </xf>
    <xf numFmtId="0" fontId="0" fillId="6" borderId="1" xfId="0" applyFill="1" applyBorder="1" applyAlignment="1">
      <alignment horizontal="center" shrinkToFit="1"/>
    </xf>
    <xf numFmtId="0" fontId="1" fillId="6" borderId="1" xfId="0" applyFont="1" applyFill="1" applyBorder="1" applyAlignment="1">
      <alignment horizontal="center" shrinkToFit="1"/>
    </xf>
    <xf numFmtId="0" fontId="0" fillId="6" borderId="1" xfId="0" applyFill="1" applyBorder="1" applyAlignment="1">
      <alignment horizontal="right" shrinkToFit="1"/>
    </xf>
    <xf numFmtId="0" fontId="25" fillId="6" borderId="1" xfId="17" applyFont="1" applyFill="1" applyBorder="1" applyAlignment="1">
      <alignment horizontal="right" shrinkToFit="1"/>
    </xf>
    <xf numFmtId="0" fontId="0" fillId="30" borderId="0" xfId="0" applyFill="1" applyAlignment="1">
      <alignment horizontal="right" shrinkToFit="1"/>
    </xf>
    <xf numFmtId="0" fontId="7" fillId="6" borderId="37" xfId="0" applyFont="1" applyFill="1" applyBorder="1" applyAlignment="1">
      <alignment shrinkToFit="1"/>
    </xf>
    <xf numFmtId="0" fontId="46" fillId="0" borderId="0" xfId="10" applyFont="1"/>
    <xf numFmtId="165" fontId="2" fillId="27" borderId="13" xfId="0" applyNumberFormat="1" applyFont="1" applyFill="1" applyBorder="1" applyAlignment="1">
      <alignment shrinkToFit="1"/>
    </xf>
    <xf numFmtId="43" fontId="2" fillId="27" borderId="13" xfId="13" applyFont="1" applyFill="1" applyBorder="1" applyAlignment="1">
      <alignment shrinkToFit="1"/>
    </xf>
    <xf numFmtId="164" fontId="2" fillId="27" borderId="13" xfId="0" applyNumberFormat="1" applyFont="1" applyFill="1" applyBorder="1" applyAlignment="1">
      <alignment shrinkToFit="1"/>
    </xf>
    <xf numFmtId="44" fontId="0" fillId="30" borderId="0" xfId="14" applyFont="1" applyFill="1" applyAlignment="1">
      <alignment shrinkToFit="1"/>
    </xf>
    <xf numFmtId="0" fontId="11" fillId="0" borderId="0" xfId="16" applyAlignment="1">
      <alignment shrinkToFit="1"/>
    </xf>
    <xf numFmtId="0" fontId="0" fillId="28" borderId="1" xfId="0" applyFill="1" applyBorder="1" applyAlignment="1">
      <alignment shrinkToFit="1"/>
    </xf>
    <xf numFmtId="2" fontId="0" fillId="28" borderId="1" xfId="0" applyNumberFormat="1" applyFill="1" applyBorder="1" applyAlignment="1">
      <alignment shrinkToFit="1"/>
    </xf>
    <xf numFmtId="0" fontId="2" fillId="3" borderId="11" xfId="0" applyFont="1" applyFill="1" applyBorder="1" applyAlignment="1">
      <alignment horizontal="center" shrinkToFit="1"/>
    </xf>
    <xf numFmtId="0" fontId="13" fillId="23" borderId="33" xfId="19" applyFont="1"/>
    <xf numFmtId="0" fontId="0" fillId="23" borderId="69" xfId="19" applyFont="1" applyBorder="1" applyAlignment="1">
      <alignment horizontal="center"/>
    </xf>
    <xf numFmtId="0" fontId="0" fillId="23" borderId="69" xfId="19" applyFont="1" applyBorder="1"/>
    <xf numFmtId="0" fontId="0" fillId="23" borderId="69" xfId="19" applyFont="1" applyBorder="1" applyAlignment="1">
      <alignment horizontal="right"/>
    </xf>
    <xf numFmtId="0" fontId="0" fillId="23" borderId="71" xfId="19" applyFont="1" applyBorder="1" applyAlignment="1">
      <alignment horizontal="right"/>
    </xf>
    <xf numFmtId="43" fontId="0" fillId="23" borderId="33" xfId="13" applyFont="1" applyFill="1" applyBorder="1"/>
    <xf numFmtId="0" fontId="0" fillId="23" borderId="33" xfId="19" applyFont="1" applyBorder="1" applyAlignment="1">
      <alignment horizontal="right"/>
    </xf>
    <xf numFmtId="0" fontId="0" fillId="23" borderId="33" xfId="19" applyFont="1" applyBorder="1"/>
    <xf numFmtId="9" fontId="0" fillId="23" borderId="33" xfId="19" applyNumberFormat="1" applyFont="1" applyBorder="1"/>
    <xf numFmtId="43" fontId="0" fillId="23" borderId="71" xfId="13" applyFont="1" applyFill="1" applyBorder="1"/>
    <xf numFmtId="0" fontId="0" fillId="23" borderId="71" xfId="19" applyFont="1" applyBorder="1"/>
    <xf numFmtId="0" fontId="0" fillId="23" borderId="69" xfId="19" applyFont="1" applyBorder="1" applyAlignment="1">
      <alignment horizontal="right"/>
    </xf>
    <xf numFmtId="0" fontId="0" fillId="23" borderId="72" xfId="19" applyFont="1" applyBorder="1"/>
    <xf numFmtId="0" fontId="0" fillId="23" borderId="73" xfId="19" applyFont="1" applyBorder="1"/>
    <xf numFmtId="0" fontId="0" fillId="23" borderId="70" xfId="19" applyFont="1" applyBorder="1"/>
    <xf numFmtId="0" fontId="0" fillId="23" borderId="74" xfId="19" applyFont="1" applyBorder="1" applyAlignment="1">
      <alignment horizontal="center"/>
    </xf>
    <xf numFmtId="0" fontId="0" fillId="23" borderId="75" xfId="19" applyFont="1" applyBorder="1" applyAlignment="1">
      <alignment horizontal="center"/>
    </xf>
    <xf numFmtId="0" fontId="0" fillId="23" borderId="76" xfId="19" applyFont="1" applyBorder="1" applyAlignment="1">
      <alignment horizontal="right"/>
    </xf>
    <xf numFmtId="0" fontId="0" fillId="23" borderId="77" xfId="19" applyFont="1" applyBorder="1" applyAlignment="1">
      <alignment horizontal="right"/>
    </xf>
    <xf numFmtId="0" fontId="0" fillId="23" borderId="78" xfId="19" applyFont="1" applyBorder="1" applyAlignment="1">
      <alignment horizontal="right"/>
    </xf>
    <xf numFmtId="0" fontId="0" fillId="23" borderId="79" xfId="19" applyFont="1" applyBorder="1" applyAlignment="1">
      <alignment horizontal="right"/>
    </xf>
    <xf numFmtId="0" fontId="0" fillId="23" borderId="78" xfId="19" applyFont="1" applyBorder="1"/>
    <xf numFmtId="0" fontId="0" fillId="23" borderId="79" xfId="19" applyFont="1" applyBorder="1"/>
    <xf numFmtId="0" fontId="0" fillId="23" borderId="80" xfId="19" applyFont="1" applyBorder="1"/>
    <xf numFmtId="0" fontId="0" fillId="23" borderId="81" xfId="19" applyFont="1" applyBorder="1"/>
    <xf numFmtId="0" fontId="0" fillId="23" borderId="82" xfId="19" applyFont="1" applyBorder="1" applyAlignment="1">
      <alignment horizontal="right"/>
    </xf>
    <xf numFmtId="0" fontId="0" fillId="23" borderId="83" xfId="19" applyFont="1" applyBorder="1" applyAlignment="1">
      <alignment horizontal="right"/>
    </xf>
    <xf numFmtId="0" fontId="0" fillId="23" borderId="83" xfId="19" applyFont="1" applyBorder="1"/>
    <xf numFmtId="0" fontId="0" fillId="23" borderId="84" xfId="19" applyFont="1" applyBorder="1"/>
    <xf numFmtId="0" fontId="0" fillId="23" borderId="80" xfId="19" applyFont="1" applyBorder="1" applyAlignment="1">
      <alignment horizontal="right"/>
    </xf>
    <xf numFmtId="0" fontId="0" fillId="23" borderId="85" xfId="19" applyFont="1" applyBorder="1" applyAlignment="1">
      <alignment horizontal="right"/>
    </xf>
    <xf numFmtId="0" fontId="0" fillId="23" borderId="86" xfId="19" applyFont="1" applyBorder="1" applyAlignment="1">
      <alignment horizontal="right"/>
    </xf>
    <xf numFmtId="0" fontId="0" fillId="23" borderId="87" xfId="19" applyFont="1" applyBorder="1" applyAlignment="1">
      <alignment horizontal="right"/>
    </xf>
    <xf numFmtId="0" fontId="0" fillId="9" borderId="85" xfId="0" applyFill="1" applyBorder="1" applyAlignment="1">
      <alignment horizontal="center"/>
    </xf>
    <xf numFmtId="0" fontId="0" fillId="9" borderId="86" xfId="0" applyFill="1" applyBorder="1" applyAlignment="1">
      <alignment horizontal="center"/>
    </xf>
    <xf numFmtId="43" fontId="0" fillId="23" borderId="33" xfId="19" applyNumberFormat="1" applyFont="1" applyBorder="1"/>
    <xf numFmtId="43" fontId="0" fillId="23" borderId="83" xfId="13" applyFont="1" applyFill="1" applyBorder="1"/>
    <xf numFmtId="0" fontId="0" fillId="9" borderId="0" xfId="0" applyFill="1" applyAlignment="1">
      <alignment horizontal="right"/>
    </xf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17" xfId="0" applyBorder="1"/>
    <xf numFmtId="0" fontId="0" fillId="0" borderId="88" xfId="0" applyBorder="1"/>
    <xf numFmtId="43" fontId="2" fillId="23" borderId="69" xfId="19" applyNumberFormat="1" applyFont="1" applyBorder="1"/>
    <xf numFmtId="0" fontId="13" fillId="22" borderId="32" xfId="18" applyAlignment="1">
      <alignment horizontal="center" shrinkToFit="1"/>
    </xf>
    <xf numFmtId="0" fontId="13" fillId="22" borderId="32" xfId="18" applyAlignment="1">
      <alignment shrinkToFit="1"/>
    </xf>
    <xf numFmtId="0" fontId="17" fillId="45" borderId="0" xfId="0" applyFont="1" applyFill="1" applyBorder="1" applyAlignment="1">
      <alignment horizontal="center" shrinkToFit="1"/>
    </xf>
    <xf numFmtId="0" fontId="0" fillId="28" borderId="0" xfId="0" applyFill="1" applyAlignment="1">
      <alignment horizontal="center"/>
    </xf>
    <xf numFmtId="164" fontId="2" fillId="14" borderId="0" xfId="0" applyNumberFormat="1" applyFont="1" applyFill="1" applyBorder="1" applyAlignment="1">
      <alignment horizontal="center" vertical="center"/>
    </xf>
    <xf numFmtId="0" fontId="22" fillId="58" borderId="55" xfId="0" applyFont="1" applyFill="1" applyBorder="1" applyAlignment="1">
      <alignment shrinkToFit="1"/>
    </xf>
    <xf numFmtId="0" fontId="22" fillId="58" borderId="62" xfId="0" applyFont="1" applyFill="1" applyBorder="1" applyAlignment="1">
      <alignment shrinkToFit="1"/>
    </xf>
    <xf numFmtId="0" fontId="22" fillId="58" borderId="25" xfId="0" applyFont="1" applyFill="1" applyBorder="1" applyAlignment="1">
      <alignment shrinkToFit="1"/>
    </xf>
    <xf numFmtId="0" fontId="8" fillId="32" borderId="48" xfId="10" applyFill="1" applyBorder="1"/>
    <xf numFmtId="0" fontId="8" fillId="32" borderId="89" xfId="10" applyFill="1" applyBorder="1"/>
    <xf numFmtId="0" fontId="17" fillId="33" borderId="50" xfId="0" applyFont="1" applyFill="1" applyBorder="1" applyAlignment="1">
      <alignment shrinkToFit="1"/>
    </xf>
    <xf numFmtId="0" fontId="22" fillId="58" borderId="90" xfId="0" applyFont="1" applyFill="1" applyBorder="1" applyAlignment="1">
      <alignment shrinkToFit="1"/>
    </xf>
    <xf numFmtId="0" fontId="22" fillId="58" borderId="91" xfId="0" applyFont="1" applyFill="1" applyBorder="1" applyAlignment="1">
      <alignment shrinkToFit="1"/>
    </xf>
    <xf numFmtId="0" fontId="22" fillId="58" borderId="92" xfId="0" applyFont="1" applyFill="1" applyBorder="1" applyAlignment="1">
      <alignment shrinkToFit="1"/>
    </xf>
    <xf numFmtId="0" fontId="22" fillId="33" borderId="48" xfId="0" applyFont="1" applyFill="1" applyBorder="1" applyAlignment="1">
      <alignment shrinkToFit="1"/>
    </xf>
    <xf numFmtId="43" fontId="47" fillId="29" borderId="1" xfId="13" applyFont="1" applyFill="1" applyBorder="1"/>
    <xf numFmtId="0" fontId="17" fillId="0" borderId="0" xfId="0" applyFont="1" applyAlignment="1">
      <alignment horizontal="center" shrinkToFit="1"/>
    </xf>
    <xf numFmtId="0" fontId="17" fillId="0" borderId="0" xfId="0" applyFont="1" applyAlignment="1">
      <alignment horizontal="center" shrinkToFit="1"/>
    </xf>
    <xf numFmtId="0" fontId="17" fillId="59" borderId="0" xfId="0" applyFont="1" applyFill="1" applyAlignment="1">
      <alignment horizontal="center" shrinkToFit="1"/>
    </xf>
    <xf numFmtId="0" fontId="5" fillId="59" borderId="0" xfId="0" applyFont="1" applyFill="1" applyAlignment="1">
      <alignment horizontal="center" shrinkToFit="1"/>
    </xf>
    <xf numFmtId="0" fontId="17" fillId="7" borderId="0" xfId="0" applyFont="1" applyFill="1" applyAlignment="1">
      <alignment shrinkToFit="1"/>
    </xf>
    <xf numFmtId="43" fontId="17" fillId="7" borderId="0" xfId="0" applyNumberFormat="1" applyFont="1" applyFill="1" applyAlignment="1">
      <alignment shrinkToFit="1"/>
    </xf>
    <xf numFmtId="0" fontId="0" fillId="7" borderId="0" xfId="0" applyFill="1"/>
    <xf numFmtId="0" fontId="22" fillId="0" borderId="0" xfId="0" applyFont="1" applyAlignment="1">
      <alignment horizontal="center" shrinkToFit="1"/>
    </xf>
    <xf numFmtId="0" fontId="0" fillId="62" borderId="0" xfId="0" applyFill="1"/>
    <xf numFmtId="0" fontId="48" fillId="7" borderId="1" xfId="0" applyFont="1" applyFill="1" applyBorder="1" applyAlignment="1">
      <alignment shrinkToFit="1"/>
    </xf>
    <xf numFmtId="0" fontId="49" fillId="7" borderId="1" xfId="0" applyFont="1" applyFill="1" applyBorder="1" applyAlignment="1">
      <alignment shrinkToFit="1"/>
    </xf>
    <xf numFmtId="0" fontId="50" fillId="7" borderId="1" xfId="0" applyFont="1" applyFill="1" applyBorder="1"/>
    <xf numFmtId="0" fontId="0" fillId="7" borderId="1" xfId="0" applyFont="1" applyFill="1" applyBorder="1"/>
    <xf numFmtId="0" fontId="0" fillId="60" borderId="1" xfId="0" applyFill="1" applyBorder="1"/>
    <xf numFmtId="0" fontId="51" fillId="61" borderId="1" xfId="0" applyFont="1" applyFill="1" applyBorder="1" applyAlignment="1">
      <alignment shrinkToFit="1"/>
    </xf>
    <xf numFmtId="0" fontId="52" fillId="58" borderId="1" xfId="0" applyFont="1" applyFill="1" applyBorder="1" applyAlignment="1">
      <alignment shrinkToFit="1"/>
    </xf>
    <xf numFmtId="0" fontId="48" fillId="58" borderId="1" xfId="0" applyFont="1" applyFill="1" applyBorder="1" applyAlignment="1">
      <alignment shrinkToFit="1"/>
    </xf>
    <xf numFmtId="0" fontId="53" fillId="58" borderId="1" xfId="0" applyFont="1" applyFill="1" applyBorder="1" applyAlignment="1">
      <alignment shrinkToFit="1"/>
    </xf>
    <xf numFmtId="0" fontId="0" fillId="28" borderId="1" xfId="0" applyFill="1" applyBorder="1"/>
    <xf numFmtId="0" fontId="17" fillId="0" borderId="0" xfId="0" applyFont="1" applyAlignment="1">
      <alignment horizontal="left" shrinkToFit="1"/>
    </xf>
    <xf numFmtId="43" fontId="19" fillId="40" borderId="2" xfId="0" applyNumberFormat="1" applyFont="1" applyFill="1" applyBorder="1"/>
    <xf numFmtId="43" fontId="19" fillId="40" borderId="49" xfId="0" applyNumberFormat="1" applyFont="1" applyFill="1" applyBorder="1"/>
    <xf numFmtId="43" fontId="17" fillId="33" borderId="0" xfId="0" applyNumberFormat="1" applyFont="1" applyFill="1"/>
    <xf numFmtId="0" fontId="17" fillId="39" borderId="48" xfId="0" applyFont="1" applyFill="1" applyBorder="1"/>
    <xf numFmtId="0" fontId="17" fillId="39" borderId="89" xfId="0" applyFont="1" applyFill="1" applyBorder="1"/>
    <xf numFmtId="0" fontId="22" fillId="39" borderId="91" xfId="0" applyFont="1" applyFill="1" applyBorder="1" applyAlignment="1">
      <alignment shrinkToFit="1"/>
    </xf>
    <xf numFmtId="0" fontId="22" fillId="39" borderId="92" xfId="0" applyFont="1" applyFill="1" applyBorder="1" applyAlignment="1">
      <alignment shrinkToFit="1"/>
    </xf>
    <xf numFmtId="43" fontId="22" fillId="47" borderId="52" xfId="0" applyNumberFormat="1" applyFont="1" applyFill="1" applyBorder="1" applyAlignment="1">
      <alignment horizontal="right" shrinkToFit="1"/>
    </xf>
    <xf numFmtId="0" fontId="22" fillId="39" borderId="25" xfId="0" applyFont="1" applyFill="1" applyBorder="1" applyAlignment="1">
      <alignment shrinkToFit="1"/>
    </xf>
    <xf numFmtId="0" fontId="22" fillId="39" borderId="55" xfId="0" applyFont="1" applyFill="1" applyBorder="1" applyAlignment="1">
      <alignment shrinkToFit="1"/>
    </xf>
    <xf numFmtId="0" fontId="22" fillId="39" borderId="62" xfId="0" applyFont="1" applyFill="1" applyBorder="1" applyAlignment="1">
      <alignment shrinkToFit="1"/>
    </xf>
    <xf numFmtId="0" fontId="48" fillId="25" borderId="1" xfId="0" applyFont="1" applyFill="1" applyBorder="1" applyAlignment="1">
      <alignment shrinkToFit="1"/>
    </xf>
    <xf numFmtId="0" fontId="17" fillId="25" borderId="0" xfId="0" applyFont="1" applyFill="1" applyAlignment="1">
      <alignment shrinkToFit="1"/>
    </xf>
    <xf numFmtId="43" fontId="17" fillId="25" borderId="0" xfId="0" applyNumberFormat="1" applyFont="1" applyFill="1" applyAlignment="1">
      <alignment shrinkToFit="1"/>
    </xf>
    <xf numFmtId="0" fontId="49" fillId="25" borderId="2" xfId="0" applyFont="1" applyFill="1" applyBorder="1" applyAlignment="1">
      <alignment shrinkToFit="1"/>
    </xf>
    <xf numFmtId="0" fontId="50" fillId="25" borderId="2" xfId="0" applyFont="1" applyFill="1" applyBorder="1"/>
    <xf numFmtId="0" fontId="17" fillId="25" borderId="0" xfId="0" applyFont="1" applyFill="1"/>
    <xf numFmtId="0" fontId="17" fillId="25" borderId="2" xfId="0" applyFont="1" applyFill="1" applyBorder="1"/>
    <xf numFmtId="0" fontId="17" fillId="64" borderId="2" xfId="0" applyFont="1" applyFill="1" applyBorder="1"/>
    <xf numFmtId="0" fontId="51" fillId="65" borderId="2" xfId="0" applyFont="1" applyFill="1" applyBorder="1" applyAlignment="1">
      <alignment shrinkToFit="1"/>
    </xf>
    <xf numFmtId="0" fontId="52" fillId="39" borderId="2" xfId="0" applyFont="1" applyFill="1" applyBorder="1" applyAlignment="1">
      <alignment shrinkToFit="1"/>
    </xf>
    <xf numFmtId="0" fontId="48" fillId="39" borderId="2" xfId="0" applyFont="1" applyFill="1" applyBorder="1" applyAlignment="1">
      <alignment shrinkToFit="1"/>
    </xf>
    <xf numFmtId="0" fontId="53" fillId="39" borderId="2" xfId="0" applyFont="1" applyFill="1" applyBorder="1" applyAlignment="1">
      <alignment shrinkToFit="1"/>
    </xf>
    <xf numFmtId="0" fontId="17" fillId="37" borderId="2" xfId="0" applyFont="1" applyFill="1" applyBorder="1"/>
    <xf numFmtId="0" fontId="17" fillId="37" borderId="0" xfId="0" applyFont="1" applyFill="1"/>
    <xf numFmtId="0" fontId="48" fillId="25" borderId="2" xfId="0" applyFont="1" applyFill="1" applyBorder="1" applyAlignment="1">
      <alignment shrinkToFit="1"/>
    </xf>
    <xf numFmtId="0" fontId="17" fillId="65" borderId="0" xfId="0" applyFont="1" applyFill="1"/>
    <xf numFmtId="0" fontId="29" fillId="63" borderId="0" xfId="0" applyFont="1" applyFill="1" applyAlignment="1">
      <alignment horizontal="center" shrinkToFit="1"/>
    </xf>
    <xf numFmtId="0" fontId="17" fillId="37" borderId="0" xfId="0" applyFont="1" applyFill="1" applyAlignment="1">
      <alignment horizontal="center"/>
    </xf>
    <xf numFmtId="43" fontId="0" fillId="8" borderId="15" xfId="13" applyFont="1" applyFill="1" applyBorder="1" applyAlignment="1">
      <alignment horizontal="right" shrinkToFit="1"/>
    </xf>
    <xf numFmtId="9" fontId="0" fillId="8" borderId="15" xfId="15" applyFont="1" applyFill="1" applyBorder="1" applyAlignment="1">
      <alignment horizontal="right" shrinkToFit="1"/>
    </xf>
    <xf numFmtId="0" fontId="54" fillId="0" borderId="0" xfId="0" applyFont="1" applyAlignment="1">
      <alignment shrinkToFit="1"/>
    </xf>
    <xf numFmtId="0" fontId="22" fillId="33" borderId="0" xfId="0" applyFont="1" applyFill="1" applyBorder="1" applyAlignment="1">
      <alignment shrinkToFit="1"/>
    </xf>
    <xf numFmtId="43" fontId="22" fillId="66" borderId="0" xfId="0" applyNumberFormat="1" applyFont="1" applyFill="1" applyBorder="1" applyAlignment="1">
      <alignment shrinkToFit="1"/>
    </xf>
    <xf numFmtId="4" fontId="17" fillId="66" borderId="0" xfId="0" applyNumberFormat="1" applyFont="1" applyFill="1" applyAlignment="1">
      <alignment shrinkToFit="1"/>
    </xf>
    <xf numFmtId="43" fontId="23" fillId="33" borderId="27" xfId="0" applyNumberFormat="1" applyFont="1" applyFill="1" applyBorder="1" applyAlignment="1">
      <alignment shrinkToFit="1"/>
    </xf>
    <xf numFmtId="43" fontId="23" fillId="33" borderId="5" xfId="0" applyNumberFormat="1" applyFont="1" applyFill="1" applyBorder="1" applyAlignment="1">
      <alignment shrinkToFit="1"/>
    </xf>
    <xf numFmtId="43" fontId="22" fillId="33" borderId="0" xfId="0" applyNumberFormat="1" applyFont="1" applyFill="1" applyBorder="1" applyAlignment="1">
      <alignment shrinkToFit="1"/>
    </xf>
    <xf numFmtId="4" fontId="17" fillId="66" borderId="93" xfId="0" applyNumberFormat="1" applyFont="1" applyFill="1" applyBorder="1" applyAlignment="1">
      <alignment shrinkToFit="1"/>
    </xf>
    <xf numFmtId="4" fontId="17" fillId="66" borderId="44" xfId="0" applyNumberFormat="1" applyFont="1" applyFill="1" applyBorder="1" applyAlignment="1">
      <alignment shrinkToFit="1"/>
    </xf>
    <xf numFmtId="4" fontId="17" fillId="66" borderId="94" xfId="0" applyNumberFormat="1" applyFont="1" applyFill="1" applyBorder="1" applyAlignment="1">
      <alignment shrinkToFit="1"/>
    </xf>
    <xf numFmtId="43" fontId="23" fillId="33" borderId="0" xfId="0" applyNumberFormat="1" applyFont="1" applyFill="1" applyBorder="1" applyAlignment="1">
      <alignment shrinkToFit="1"/>
    </xf>
    <xf numFmtId="43" fontId="43" fillId="2" borderId="0" xfId="13" applyFont="1" applyFill="1"/>
    <xf numFmtId="43" fontId="17" fillId="40" borderId="53" xfId="13" applyFont="1" applyFill="1" applyBorder="1" applyAlignment="1">
      <alignment horizontal="center" shrinkToFit="1"/>
    </xf>
    <xf numFmtId="43" fontId="17" fillId="40" borderId="58" xfId="13" applyFont="1" applyFill="1" applyBorder="1" applyAlignment="1">
      <alignment horizontal="center" shrinkToFit="1"/>
    </xf>
    <xf numFmtId="43" fontId="22" fillId="40" borderId="13" xfId="13" applyFont="1" applyFill="1" applyBorder="1" applyAlignment="1">
      <alignment horizontal="center" shrinkToFit="1"/>
    </xf>
    <xf numFmtId="43" fontId="17" fillId="40" borderId="56" xfId="13" applyNumberFormat="1" applyFont="1" applyFill="1" applyBorder="1" applyAlignment="1">
      <alignment horizontal="center" shrinkToFit="1"/>
    </xf>
    <xf numFmtId="43" fontId="20" fillId="40" borderId="59" xfId="13" applyFont="1" applyFill="1" applyBorder="1" applyAlignment="1">
      <alignment horizontal="center" shrinkToFit="1"/>
    </xf>
    <xf numFmtId="43" fontId="17" fillId="40" borderId="53" xfId="0" applyNumberFormat="1" applyFont="1" applyFill="1" applyBorder="1" applyAlignment="1">
      <alignment horizontal="center" shrinkToFit="1"/>
    </xf>
    <xf numFmtId="43" fontId="17" fillId="40" borderId="56" xfId="0" applyNumberFormat="1" applyFont="1" applyFill="1" applyBorder="1" applyAlignment="1">
      <alignment horizontal="center" shrinkToFit="1"/>
    </xf>
    <xf numFmtId="43" fontId="17" fillId="40" borderId="58" xfId="0" applyNumberFormat="1" applyFont="1" applyFill="1" applyBorder="1" applyAlignment="1">
      <alignment horizontal="center" shrinkToFit="1"/>
    </xf>
    <xf numFmtId="43" fontId="22" fillId="40" borderId="13" xfId="0" applyNumberFormat="1" applyFont="1" applyFill="1" applyBorder="1" applyAlignment="1">
      <alignment horizontal="center" shrinkToFit="1"/>
    </xf>
    <xf numFmtId="43" fontId="20" fillId="40" borderId="59" xfId="0" applyNumberFormat="1" applyFont="1" applyFill="1" applyBorder="1" applyAlignment="1">
      <alignment horizontal="center" shrinkToFit="1"/>
    </xf>
    <xf numFmtId="43" fontId="23" fillId="33" borderId="95" xfId="0" applyNumberFormat="1" applyFont="1" applyFill="1" applyBorder="1" applyAlignment="1">
      <alignment shrinkToFit="1"/>
    </xf>
    <xf numFmtId="0" fontId="22" fillId="33" borderId="1" xfId="0" applyFont="1" applyFill="1" applyBorder="1" applyAlignment="1">
      <alignment horizontal="center" shrinkToFit="1"/>
    </xf>
    <xf numFmtId="0" fontId="22" fillId="67" borderId="48" xfId="0" applyFont="1" applyFill="1" applyBorder="1" applyAlignment="1">
      <alignment shrinkToFit="1"/>
    </xf>
    <xf numFmtId="4" fontId="17" fillId="67" borderId="0" xfId="0" applyNumberFormat="1" applyFont="1" applyFill="1" applyAlignment="1">
      <alignment shrinkToFit="1"/>
    </xf>
    <xf numFmtId="43" fontId="23" fillId="67" borderId="0" xfId="0" applyNumberFormat="1" applyFont="1" applyFill="1" applyBorder="1" applyAlignment="1">
      <alignment shrinkToFit="1"/>
    </xf>
    <xf numFmtId="0" fontId="17" fillId="66" borderId="2" xfId="0" applyFont="1" applyFill="1" applyBorder="1"/>
    <xf numFmtId="0" fontId="17" fillId="66" borderId="0" xfId="0" applyFont="1" applyFill="1"/>
    <xf numFmtId="0" fontId="17" fillId="66" borderId="0" xfId="0" applyFont="1" applyFill="1" applyAlignment="1">
      <alignment horizontal="center"/>
    </xf>
    <xf numFmtId="0" fontId="17" fillId="68" borderId="0" xfId="0" applyFont="1" applyFill="1"/>
    <xf numFmtId="0" fontId="17" fillId="0" borderId="44" xfId="0" applyFont="1" applyBorder="1" applyAlignment="1">
      <alignment shrinkToFit="1"/>
    </xf>
    <xf numFmtId="0" fontId="4" fillId="2" borderId="44" xfId="0" applyFont="1" applyFill="1" applyBorder="1" applyAlignment="1">
      <alignment horizontal="center" shrinkToFit="1"/>
    </xf>
    <xf numFmtId="0" fontId="17" fillId="39" borderId="48" xfId="0" applyFont="1" applyFill="1" applyBorder="1" applyAlignment="1">
      <alignment horizontal="left"/>
    </xf>
    <xf numFmtId="43" fontId="17" fillId="40" borderId="53" xfId="0" applyNumberFormat="1" applyFont="1" applyFill="1" applyBorder="1" applyAlignment="1">
      <alignment horizontal="left" shrinkToFit="1"/>
    </xf>
    <xf numFmtId="10" fontId="22" fillId="40" borderId="54" xfId="0" applyNumberFormat="1" applyFont="1" applyFill="1" applyBorder="1" applyAlignment="1">
      <alignment horizontal="left" shrinkToFit="1"/>
    </xf>
    <xf numFmtId="43" fontId="17" fillId="40" borderId="56" xfId="0" applyNumberFormat="1" applyFont="1" applyFill="1" applyBorder="1" applyAlignment="1">
      <alignment horizontal="left" shrinkToFit="1"/>
    </xf>
    <xf numFmtId="10" fontId="22" fillId="40" borderId="57" xfId="0" applyNumberFormat="1" applyFont="1" applyFill="1" applyBorder="1" applyAlignment="1">
      <alignment horizontal="left" shrinkToFit="1"/>
    </xf>
    <xf numFmtId="43" fontId="17" fillId="40" borderId="58" xfId="0" applyNumberFormat="1" applyFont="1" applyFill="1" applyBorder="1" applyAlignment="1">
      <alignment horizontal="left" shrinkToFit="1"/>
    </xf>
    <xf numFmtId="43" fontId="22" fillId="40" borderId="13" xfId="0" applyNumberFormat="1" applyFont="1" applyFill="1" applyBorder="1" applyAlignment="1">
      <alignment horizontal="left" shrinkToFit="1"/>
    </xf>
    <xf numFmtId="0" fontId="17" fillId="39" borderId="89" xfId="0" applyFont="1" applyFill="1" applyBorder="1" applyAlignment="1">
      <alignment horizontal="left"/>
    </xf>
    <xf numFmtId="43" fontId="20" fillId="40" borderId="59" xfId="0" applyNumberFormat="1" applyFont="1" applyFill="1" applyBorder="1" applyAlignment="1">
      <alignment horizontal="left" shrinkToFit="1"/>
    </xf>
    <xf numFmtId="164" fontId="31" fillId="40" borderId="60" xfId="0" applyNumberFormat="1" applyFont="1" applyFill="1" applyBorder="1" applyAlignment="1">
      <alignment horizontal="left" shrinkToFit="1"/>
    </xf>
    <xf numFmtId="43" fontId="43" fillId="2" borderId="0" xfId="13" applyFont="1" applyFill="1" applyAlignment="1"/>
    <xf numFmtId="0" fontId="12" fillId="21" borderId="0" xfId="17" applyAlignment="1"/>
    <xf numFmtId="43" fontId="22" fillId="33" borderId="54" xfId="0" applyNumberFormat="1" applyFont="1" applyFill="1" applyBorder="1" applyAlignment="1">
      <alignment shrinkToFit="1"/>
    </xf>
    <xf numFmtId="43" fontId="22" fillId="33" borderId="57" xfId="0" applyNumberFormat="1" applyFont="1" applyFill="1" applyBorder="1" applyAlignment="1">
      <alignment shrinkToFit="1"/>
    </xf>
    <xf numFmtId="43" fontId="22" fillId="33" borderId="57" xfId="0" applyNumberFormat="1" applyFont="1" applyFill="1" applyBorder="1" applyAlignment="1">
      <alignment horizontal="right" shrinkToFit="1"/>
    </xf>
    <xf numFmtId="43" fontId="22" fillId="33" borderId="15" xfId="0" applyNumberFormat="1" applyFont="1" applyFill="1" applyBorder="1" applyAlignment="1">
      <alignment shrinkToFit="1"/>
    </xf>
    <xf numFmtId="4" fontId="17" fillId="69" borderId="3" xfId="0" applyNumberFormat="1" applyFont="1" applyFill="1" applyBorder="1" applyAlignment="1">
      <alignment horizontal="center" shrinkToFit="1"/>
    </xf>
    <xf numFmtId="4" fontId="17" fillId="69" borderId="5" xfId="0" applyNumberFormat="1" applyFont="1" applyFill="1" applyBorder="1" applyAlignment="1">
      <alignment horizontal="center" shrinkToFit="1"/>
    </xf>
    <xf numFmtId="0" fontId="17" fillId="70" borderId="0" xfId="0" applyFont="1" applyFill="1" applyAlignment="1">
      <alignment shrinkToFit="1"/>
    </xf>
    <xf numFmtId="0" fontId="22" fillId="71" borderId="48" xfId="0" applyFont="1" applyFill="1" applyBorder="1" applyAlignment="1">
      <alignment shrinkToFit="1"/>
    </xf>
    <xf numFmtId="0" fontId="22" fillId="39" borderId="90" xfId="0" applyFont="1" applyFill="1" applyBorder="1" applyAlignment="1">
      <alignment shrinkToFit="1"/>
    </xf>
    <xf numFmtId="43" fontId="22" fillId="40" borderId="54" xfId="13" applyFont="1" applyFill="1" applyBorder="1" applyAlignment="1">
      <alignment horizontal="center" shrinkToFit="1"/>
    </xf>
    <xf numFmtId="43" fontId="22" fillId="40" borderId="57" xfId="13" applyFont="1" applyFill="1" applyBorder="1" applyAlignment="1">
      <alignment horizontal="center" shrinkToFit="1"/>
    </xf>
    <xf numFmtId="43" fontId="31" fillId="40" borderId="60" xfId="13" applyFont="1" applyFill="1" applyBorder="1" applyAlignment="1">
      <alignment horizontal="center" shrinkToFit="1"/>
    </xf>
    <xf numFmtId="0" fontId="0" fillId="8" borderId="0" xfId="0" applyFill="1"/>
    <xf numFmtId="43" fontId="2" fillId="2" borderId="17" xfId="13" applyFont="1" applyFill="1" applyBorder="1"/>
    <xf numFmtId="43" fontId="22" fillId="33" borderId="96" xfId="0" applyNumberFormat="1" applyFont="1" applyFill="1" applyBorder="1" applyAlignment="1">
      <alignment shrinkToFit="1"/>
    </xf>
    <xf numFmtId="43" fontId="2" fillId="2" borderId="3" xfId="13" applyFont="1" applyFill="1" applyBorder="1"/>
    <xf numFmtId="0" fontId="0" fillId="7" borderId="44" xfId="0" applyFill="1" applyBorder="1"/>
    <xf numFmtId="0" fontId="2" fillId="3" borderId="34" xfId="0" applyFont="1" applyFill="1" applyBorder="1" applyAlignment="1">
      <alignment horizontal="center"/>
    </xf>
    <xf numFmtId="0" fontId="0" fillId="4" borderId="0" xfId="0" applyFill="1" applyBorder="1"/>
    <xf numFmtId="0" fontId="0" fillId="4" borderId="44" xfId="0" applyFill="1" applyBorder="1"/>
    <xf numFmtId="0" fontId="2" fillId="9" borderId="34" xfId="0" applyFont="1" applyFill="1" applyBorder="1" applyAlignment="1">
      <alignment horizontal="center"/>
    </xf>
    <xf numFmtId="0" fontId="0" fillId="8" borderId="0" xfId="0" applyFill="1" applyBorder="1"/>
    <xf numFmtId="0" fontId="0" fillId="8" borderId="44" xfId="0" applyFill="1" applyBorder="1"/>
    <xf numFmtId="0" fontId="0" fillId="16" borderId="34" xfId="0" applyFill="1" applyBorder="1" applyAlignment="1">
      <alignment horizontal="center"/>
    </xf>
    <xf numFmtId="0" fontId="0" fillId="17" borderId="44" xfId="0" applyFill="1" applyBorder="1"/>
    <xf numFmtId="0" fontId="0" fillId="2" borderId="1" xfId="0" applyFill="1" applyBorder="1"/>
    <xf numFmtId="43" fontId="0" fillId="2" borderId="1" xfId="0" applyNumberFormat="1" applyFill="1" applyBorder="1"/>
    <xf numFmtId="0" fontId="0" fillId="6" borderId="34" xfId="0" applyFill="1" applyBorder="1" applyAlignment="1">
      <alignment horizontal="center"/>
    </xf>
    <xf numFmtId="0" fontId="0" fillId="2" borderId="9" xfId="0" applyFill="1" applyBorder="1"/>
    <xf numFmtId="2" fontId="0" fillId="28" borderId="1" xfId="0" applyNumberFormat="1" applyFill="1" applyBorder="1"/>
    <xf numFmtId="43" fontId="0" fillId="17" borderId="13" xfId="13" applyFont="1" applyFill="1" applyBorder="1"/>
    <xf numFmtId="0" fontId="0" fillId="28" borderId="37" xfId="0" applyFill="1" applyBorder="1" applyAlignment="1">
      <alignment horizontal="center"/>
    </xf>
    <xf numFmtId="0" fontId="0" fillId="28" borderId="38" xfId="0" applyFill="1" applyBorder="1" applyAlignment="1">
      <alignment horizontal="center"/>
    </xf>
    <xf numFmtId="0" fontId="0" fillId="28" borderId="39" xfId="0" applyFill="1" applyBorder="1" applyAlignment="1">
      <alignment horizontal="center"/>
    </xf>
    <xf numFmtId="0" fontId="0" fillId="29" borderId="1" xfId="0" applyFill="1" applyBorder="1" applyAlignment="1">
      <alignment horizontal="left"/>
    </xf>
    <xf numFmtId="43" fontId="0" fillId="29" borderId="1" xfId="13" applyFont="1" applyFill="1" applyBorder="1"/>
    <xf numFmtId="2" fontId="0" fillId="20" borderId="99" xfId="0" applyNumberFormat="1" applyFill="1" applyBorder="1"/>
    <xf numFmtId="2" fontId="0" fillId="20" borderId="97" xfId="0" applyNumberFormat="1" applyFill="1" applyBorder="1"/>
    <xf numFmtId="10" fontId="0" fillId="20" borderId="97" xfId="0" applyNumberFormat="1" applyFill="1" applyBorder="1"/>
    <xf numFmtId="4" fontId="0" fillId="20" borderId="98" xfId="0" applyNumberFormat="1" applyFill="1" applyBorder="1"/>
    <xf numFmtId="2" fontId="2" fillId="2" borderId="1" xfId="0" applyNumberFormat="1" applyFont="1" applyFill="1" applyBorder="1"/>
    <xf numFmtId="10" fontId="2" fillId="2" borderId="1" xfId="0" applyNumberFormat="1" applyFont="1" applyFill="1" applyBorder="1"/>
    <xf numFmtId="4" fontId="2" fillId="2" borderId="1" xfId="0" applyNumberFormat="1" applyFont="1" applyFill="1" applyBorder="1"/>
    <xf numFmtId="43" fontId="8" fillId="29" borderId="0" xfId="13" applyFont="1" applyFill="1" applyAlignment="1">
      <alignment horizontal="left"/>
    </xf>
    <xf numFmtId="43" fontId="0" fillId="29" borderId="37" xfId="13" applyFont="1" applyFill="1" applyBorder="1" applyAlignment="1">
      <alignment horizontal="left"/>
    </xf>
    <xf numFmtId="10" fontId="0" fillId="29" borderId="37" xfId="15" applyNumberFormat="1" applyFont="1" applyFill="1" applyBorder="1" applyAlignment="1">
      <alignment horizontal="right"/>
    </xf>
    <xf numFmtId="43" fontId="0" fillId="29" borderId="37" xfId="13" applyFont="1" applyFill="1" applyBorder="1"/>
    <xf numFmtId="0" fontId="0" fillId="57" borderId="1" xfId="0" applyFill="1" applyBorder="1" applyAlignment="1">
      <alignment horizontal="center"/>
    </xf>
    <xf numFmtId="0" fontId="0" fillId="57" borderId="1" xfId="0" applyFill="1" applyBorder="1"/>
    <xf numFmtId="0" fontId="0" fillId="0" borderId="1" xfId="0" applyFill="1" applyBorder="1"/>
    <xf numFmtId="43" fontId="0" fillId="29" borderId="1" xfId="0" applyNumberFormat="1" applyFill="1" applyBorder="1"/>
    <xf numFmtId="0" fontId="0" fillId="0" borderId="68" xfId="0" applyFill="1" applyBorder="1"/>
    <xf numFmtId="43" fontId="0" fillId="29" borderId="68" xfId="13" applyFont="1" applyFill="1" applyBorder="1"/>
    <xf numFmtId="0" fontId="0" fillId="29" borderId="68" xfId="0" applyFill="1" applyBorder="1" applyAlignment="1">
      <alignment horizontal="left"/>
    </xf>
    <xf numFmtId="0" fontId="0" fillId="57" borderId="68" xfId="0" applyFill="1" applyBorder="1"/>
    <xf numFmtId="0" fontId="0" fillId="0" borderId="1" xfId="0" applyBorder="1" applyAlignment="1">
      <alignment horizontal="left"/>
    </xf>
    <xf numFmtId="0" fontId="0" fillId="0" borderId="17" xfId="0" applyBorder="1" applyAlignment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</cellXfs>
  <cellStyles count="565">
    <cellStyle name="Akzent5" xfId="20" builtinId="45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Dezimal" xfId="13" builtinId="3"/>
    <cellStyle name="Eingabe" xfId="18" builtinId="20"/>
    <cellStyle name="Hinweis" xfId="19" builtinId="10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Neutral" xfId="17" builtinId="28"/>
    <cellStyle name="Prozent" xfId="15" builtinId="5"/>
    <cellStyle name="Standard" xfId="0" builtinId="0"/>
    <cellStyle name="Standard 10" xfId="10"/>
    <cellStyle name="Standard 11" xfId="11"/>
    <cellStyle name="Standard 12" xfId="12"/>
    <cellStyle name="Standard 13" xfId="1"/>
    <cellStyle name="Standard 2" xfId="2"/>
    <cellStyle name="Standard 3" xfId="3"/>
    <cellStyle name="Standard 4" xfId="4"/>
    <cellStyle name="Standard 5" xfId="5"/>
    <cellStyle name="Standard 6" xfId="6"/>
    <cellStyle name="Standard 7" xfId="7"/>
    <cellStyle name="Standard 8" xfId="8"/>
    <cellStyle name="Standard 9" xfId="9"/>
    <cellStyle name="Titel" xfId="16" builtinId="15"/>
    <cellStyle name="Währung" xfId="14" builtinId="4"/>
  </cellStyles>
  <dxfs count="0"/>
  <tableStyles count="0" defaultTableStyle="TableStyleMedium2" defaultPivotStyle="PivotStyleLight16"/>
  <colors>
    <mruColors>
      <color rgb="FF6BF3F3"/>
      <color rgb="FFFF7C80"/>
      <color rgb="FF8882DC"/>
      <color rgb="FFF06E6E"/>
      <color rgb="FFFF99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33338</xdr:colOff>
      <xdr:row>2</xdr:row>
      <xdr:rowOff>164307</xdr:rowOff>
    </xdr:from>
    <xdr:to>
      <xdr:col>22</xdr:col>
      <xdr:colOff>628651</xdr:colOff>
      <xdr:row>2</xdr:row>
      <xdr:rowOff>235744</xdr:rowOff>
    </xdr:to>
    <xdr:sp macro="" textlink="">
      <xdr:nvSpPr>
        <xdr:cNvPr id="5" name="Pfeil nach rechts 4"/>
        <xdr:cNvSpPr/>
      </xdr:nvSpPr>
      <xdr:spPr>
        <a:xfrm rot="10800000">
          <a:off x="17130713" y="688182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19050</xdr:colOff>
      <xdr:row>3</xdr:row>
      <xdr:rowOff>78583</xdr:rowOff>
    </xdr:from>
    <xdr:to>
      <xdr:col>22</xdr:col>
      <xdr:colOff>614363</xdr:colOff>
      <xdr:row>3</xdr:row>
      <xdr:rowOff>150020</xdr:rowOff>
    </xdr:to>
    <xdr:sp macro="" textlink="">
      <xdr:nvSpPr>
        <xdr:cNvPr id="6" name="Pfeil nach rechts 5"/>
        <xdr:cNvSpPr/>
      </xdr:nvSpPr>
      <xdr:spPr>
        <a:xfrm rot="10800000">
          <a:off x="17116425" y="935833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28576</xdr:colOff>
      <xdr:row>6</xdr:row>
      <xdr:rowOff>52389</xdr:rowOff>
    </xdr:from>
    <xdr:to>
      <xdr:col>22</xdr:col>
      <xdr:colOff>623889</xdr:colOff>
      <xdr:row>6</xdr:row>
      <xdr:rowOff>123826</xdr:rowOff>
    </xdr:to>
    <xdr:sp macro="" textlink="">
      <xdr:nvSpPr>
        <xdr:cNvPr id="7" name="Pfeil nach rechts 6"/>
        <xdr:cNvSpPr/>
      </xdr:nvSpPr>
      <xdr:spPr>
        <a:xfrm rot="10800000">
          <a:off x="17125951" y="1516858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38100</xdr:colOff>
      <xdr:row>7</xdr:row>
      <xdr:rowOff>85726</xdr:rowOff>
    </xdr:from>
    <xdr:to>
      <xdr:col>22</xdr:col>
      <xdr:colOff>633413</xdr:colOff>
      <xdr:row>7</xdr:row>
      <xdr:rowOff>157163</xdr:rowOff>
    </xdr:to>
    <xdr:sp macro="" textlink="">
      <xdr:nvSpPr>
        <xdr:cNvPr id="8" name="Pfeil nach rechts 7"/>
        <xdr:cNvSpPr/>
      </xdr:nvSpPr>
      <xdr:spPr>
        <a:xfrm rot="10800000">
          <a:off x="17135475" y="1752601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50" zoomScaleNormal="150" zoomScalePageLayoutView="150" workbookViewId="0">
      <selection activeCell="C16" sqref="C16"/>
    </sheetView>
  </sheetViews>
  <sheetFormatPr baseColWidth="10" defaultRowHeight="14" x14ac:dyDescent="0"/>
  <cols>
    <col min="2" max="3" width="13.1640625" customWidth="1"/>
    <col min="8" max="8" width="0.83203125" customWidth="1"/>
  </cols>
  <sheetData>
    <row r="1" spans="1:9" ht="15">
      <c r="A1" s="413" t="s">
        <v>203</v>
      </c>
      <c r="B1" s="413"/>
      <c r="C1" s="413"/>
      <c r="D1" s="413"/>
      <c r="E1" s="413"/>
    </row>
    <row r="2" spans="1:9" ht="15" thickBot="1"/>
    <row r="3" spans="1:9" ht="15" thickBot="1">
      <c r="A3" s="414" t="s">
        <v>208</v>
      </c>
      <c r="B3" s="414"/>
      <c r="C3" s="416" t="s">
        <v>204</v>
      </c>
      <c r="D3" s="415"/>
      <c r="E3" s="425" t="s">
        <v>214</v>
      </c>
      <c r="F3" s="428" t="s">
        <v>209</v>
      </c>
      <c r="G3" s="429"/>
      <c r="H3" s="454"/>
    </row>
    <row r="4" spans="1:9">
      <c r="A4" s="417" t="s">
        <v>205</v>
      </c>
      <c r="B4" s="417"/>
      <c r="C4" s="422">
        <v>10000</v>
      </c>
      <c r="D4" s="423"/>
      <c r="E4" s="426"/>
      <c r="F4" s="430" t="s">
        <v>211</v>
      </c>
      <c r="G4" s="431"/>
      <c r="H4" s="64"/>
      <c r="I4" s="453"/>
    </row>
    <row r="5" spans="1:9">
      <c r="A5" s="419" t="s">
        <v>206</v>
      </c>
      <c r="B5" s="419"/>
      <c r="C5" s="418">
        <v>10</v>
      </c>
      <c r="D5" s="420"/>
      <c r="E5" s="427"/>
      <c r="F5" s="432" t="s">
        <v>210</v>
      </c>
      <c r="G5" s="433"/>
      <c r="H5" s="64"/>
      <c r="I5" s="453"/>
    </row>
    <row r="6" spans="1:9">
      <c r="A6" s="419" t="s">
        <v>44</v>
      </c>
      <c r="B6" s="419"/>
      <c r="C6" s="421" t="s">
        <v>44</v>
      </c>
      <c r="D6" s="420" t="s">
        <v>44</v>
      </c>
      <c r="E6" s="427"/>
      <c r="F6" s="432" t="s">
        <v>44</v>
      </c>
      <c r="G6" s="433"/>
      <c r="H6" s="64"/>
      <c r="I6" s="453"/>
    </row>
    <row r="7" spans="1:9">
      <c r="A7" s="419" t="s">
        <v>207</v>
      </c>
      <c r="B7" s="419"/>
      <c r="C7" s="421">
        <v>0.21</v>
      </c>
      <c r="D7" s="420"/>
      <c r="E7" s="427"/>
      <c r="F7" s="432" t="s">
        <v>215</v>
      </c>
      <c r="G7" s="433"/>
      <c r="H7" s="64"/>
      <c r="I7" s="453"/>
    </row>
    <row r="8" spans="1:9">
      <c r="A8" s="419" t="s">
        <v>212</v>
      </c>
      <c r="B8" s="419"/>
      <c r="C8" s="418">
        <f>C4*C7</f>
        <v>2100</v>
      </c>
      <c r="D8" s="420"/>
      <c r="E8" s="427"/>
      <c r="F8" s="434"/>
      <c r="G8" s="435"/>
      <c r="H8" s="64"/>
      <c r="I8" s="453"/>
    </row>
    <row r="9" spans="1:9">
      <c r="A9" s="419" t="s">
        <v>213</v>
      </c>
      <c r="B9" s="419"/>
      <c r="C9" s="418" t="s">
        <v>44</v>
      </c>
      <c r="D9" s="420"/>
      <c r="E9" s="427"/>
      <c r="F9" s="434"/>
      <c r="G9" s="435"/>
      <c r="H9" s="64"/>
      <c r="I9" s="453"/>
    </row>
    <row r="10" spans="1:9" ht="15" thickBot="1">
      <c r="A10" s="424"/>
      <c r="B10" s="424"/>
      <c r="C10" s="415"/>
      <c r="D10" s="415"/>
      <c r="E10" s="425"/>
      <c r="F10" s="436"/>
      <c r="G10" s="437"/>
      <c r="H10" s="64"/>
      <c r="I10" s="453"/>
    </row>
    <row r="11" spans="1:9" ht="15" thickBot="1">
      <c r="A11" s="443" t="s">
        <v>216</v>
      </c>
      <c r="B11" s="444"/>
      <c r="C11" s="445"/>
      <c r="D11" s="446" t="s">
        <v>217</v>
      </c>
      <c r="E11" s="447"/>
      <c r="F11" s="447"/>
      <c r="G11" s="447"/>
      <c r="H11" s="64"/>
      <c r="I11" s="453"/>
    </row>
    <row r="12" spans="1:9">
      <c r="A12" s="438" t="s">
        <v>119</v>
      </c>
      <c r="B12" s="439"/>
      <c r="C12" s="449">
        <v>365</v>
      </c>
      <c r="D12" s="440"/>
      <c r="E12" s="440"/>
      <c r="F12" s="440"/>
      <c r="G12" s="441"/>
      <c r="H12" s="64"/>
      <c r="I12" s="453"/>
    </row>
    <row r="13" spans="1:9">
      <c r="A13" s="432" t="s">
        <v>118</v>
      </c>
      <c r="B13" s="419"/>
      <c r="C13" s="418">
        <v>24</v>
      </c>
      <c r="D13" s="420"/>
      <c r="E13" s="420"/>
      <c r="F13" s="420"/>
      <c r="G13" s="435"/>
      <c r="H13" s="64"/>
      <c r="I13" s="453"/>
    </row>
    <row r="14" spans="1:9">
      <c r="A14" s="432" t="s">
        <v>218</v>
      </c>
      <c r="B14" s="419"/>
      <c r="C14" s="448">
        <f>C8</f>
        <v>2100</v>
      </c>
      <c r="D14" s="420"/>
      <c r="E14" s="420"/>
      <c r="F14" s="420"/>
      <c r="G14" s="435"/>
      <c r="H14" s="64"/>
      <c r="I14" s="453"/>
    </row>
    <row r="15" spans="1:9">
      <c r="A15" s="432" t="s">
        <v>219</v>
      </c>
      <c r="B15" s="419"/>
      <c r="C15" s="448">
        <f>C12*C13*C14/1000</f>
        <v>18396</v>
      </c>
      <c r="D15" s="420"/>
      <c r="E15" s="420"/>
      <c r="F15" s="420"/>
      <c r="G15" s="435"/>
      <c r="H15" s="64"/>
      <c r="I15" s="453"/>
    </row>
    <row r="16" spans="1:9">
      <c r="A16" s="432" t="s">
        <v>220</v>
      </c>
      <c r="B16" s="419"/>
      <c r="C16" s="448">
        <f>'2025'!O9</f>
        <v>40000</v>
      </c>
      <c r="D16" s="420"/>
      <c r="E16" s="420"/>
      <c r="F16" s="420"/>
      <c r="G16" s="435"/>
      <c r="H16" s="64"/>
      <c r="I16" s="453"/>
    </row>
    <row r="17" spans="1:9">
      <c r="A17" s="432" t="s">
        <v>221</v>
      </c>
      <c r="B17" s="419"/>
      <c r="C17" s="448">
        <f>'2025'!O27</f>
        <v>8415600</v>
      </c>
      <c r="D17" s="420"/>
      <c r="E17" s="420"/>
      <c r="F17" s="420"/>
      <c r="G17" s="435"/>
      <c r="H17" s="64"/>
      <c r="I17" s="453"/>
    </row>
    <row r="18" spans="1:9" ht="15" thickBot="1">
      <c r="A18" s="442" t="s">
        <v>222</v>
      </c>
      <c r="B18" s="424"/>
      <c r="C18" s="455">
        <f>C16+C17</f>
        <v>8455600</v>
      </c>
      <c r="D18" s="415"/>
      <c r="E18" s="415"/>
      <c r="F18" s="415"/>
      <c r="G18" s="437"/>
      <c r="H18" s="64"/>
      <c r="I18" s="453"/>
    </row>
    <row r="19" spans="1:9">
      <c r="A19" s="450"/>
      <c r="B19" s="450"/>
      <c r="C19" s="64"/>
      <c r="D19" s="64"/>
      <c r="E19" s="64"/>
      <c r="F19" s="64"/>
      <c r="G19" s="64"/>
      <c r="H19" s="64"/>
      <c r="I19" s="453"/>
    </row>
    <row r="20" spans="1:9">
      <c r="A20" s="451"/>
      <c r="B20" s="451"/>
      <c r="C20" s="452"/>
      <c r="D20" s="452"/>
      <c r="E20" s="452"/>
      <c r="F20" s="452"/>
      <c r="G20" s="452"/>
      <c r="H20" s="452"/>
    </row>
  </sheetData>
  <mergeCells count="24">
    <mergeCell ref="F3:G3"/>
    <mergeCell ref="F4:G4"/>
    <mergeCell ref="F5:G5"/>
    <mergeCell ref="F6:G6"/>
    <mergeCell ref="F7:G7"/>
    <mergeCell ref="A11:C11"/>
    <mergeCell ref="D11:G11"/>
    <mergeCell ref="A15:B15"/>
    <mergeCell ref="A16:B16"/>
    <mergeCell ref="A17:B17"/>
    <mergeCell ref="A18:B18"/>
    <mergeCell ref="A19:B19"/>
    <mergeCell ref="A20:B20"/>
    <mergeCell ref="A9:B9"/>
    <mergeCell ref="A10:B10"/>
    <mergeCell ref="A12:B12"/>
    <mergeCell ref="A13:B13"/>
    <mergeCell ref="A14:B14"/>
    <mergeCell ref="A3:B3"/>
    <mergeCell ref="A4:B4"/>
    <mergeCell ref="A5:B5"/>
    <mergeCell ref="A6:B6"/>
    <mergeCell ref="A7:B7"/>
    <mergeCell ref="A8:B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42" sqref="A42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34" sqref="A34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37" sqref="A37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8" customHeight="1">
      <c r="A1" s="237">
        <v>2036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6" sqref="A6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379" t="s">
        <v>69</v>
      </c>
      <c r="U19" s="379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 t="s">
        <v>66</v>
      </c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256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7" sqref="A7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1"/>
  <sheetViews>
    <sheetView zoomScale="150" zoomScaleNormal="150" zoomScalePageLayoutView="150" workbookViewId="0">
      <selection activeCell="A2" sqref="A2:P2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0.33203125" style="19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19" t="s">
        <v>243</v>
      </c>
      <c r="C60" s="519"/>
      <c r="D60" s="519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55"/>
    </row>
    <row r="61" spans="1:16">
      <c r="A61" s="55"/>
      <c r="B61" s="479" t="s">
        <v>244</v>
      </c>
      <c r="C61" s="491" t="s">
        <v>249</v>
      </c>
      <c r="D61" s="491"/>
      <c r="E61" s="170" t="s">
        <v>251</v>
      </c>
      <c r="F61" s="170"/>
      <c r="G61" s="170"/>
      <c r="H61" s="170"/>
      <c r="I61" s="170"/>
      <c r="J61" s="170"/>
      <c r="K61" s="170"/>
      <c r="L61" s="170"/>
      <c r="M61" s="473" t="s">
        <v>252</v>
      </c>
      <c r="N61" s="473"/>
      <c r="O61" s="170"/>
      <c r="P61" s="55"/>
    </row>
    <row r="62" spans="1:16">
      <c r="A62" s="55"/>
      <c r="B62" s="503" t="s">
        <v>245</v>
      </c>
      <c r="C62" s="504" t="s">
        <v>44</v>
      </c>
      <c r="D62" s="505" t="s">
        <v>255</v>
      </c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5"/>
      <c r="P62" s="55"/>
    </row>
    <row r="63" spans="1:16">
      <c r="A63" s="55"/>
      <c r="B63" s="506" t="s">
        <v>246</v>
      </c>
      <c r="C63" s="504" t="s">
        <v>44</v>
      </c>
      <c r="D63" s="505" t="s">
        <v>255</v>
      </c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170"/>
      <c r="P63" s="55"/>
    </row>
    <row r="64" spans="1:16">
      <c r="A64" s="55"/>
      <c r="B64" s="507" t="s">
        <v>247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09" t="s">
        <v>248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0"/>
      <c r="C66" s="508"/>
      <c r="D66" s="508"/>
      <c r="E66" s="508"/>
      <c r="F66" s="508"/>
      <c r="G66" s="508"/>
      <c r="H66" s="508"/>
      <c r="I66" s="508"/>
      <c r="J66" s="508"/>
      <c r="K66" s="508"/>
      <c r="L66" s="508"/>
      <c r="M66" s="508"/>
      <c r="N66" s="508"/>
      <c r="O66" s="55"/>
      <c r="P66" s="55"/>
    </row>
    <row r="67" spans="1:16">
      <c r="A67" s="55"/>
      <c r="B67" s="511" t="s">
        <v>33</v>
      </c>
      <c r="C67" s="508"/>
      <c r="D67" s="508"/>
      <c r="E67" s="508"/>
      <c r="F67" s="508"/>
      <c r="G67" s="508"/>
      <c r="H67" s="508"/>
      <c r="I67" s="508"/>
      <c r="J67" s="508"/>
      <c r="K67" s="508"/>
      <c r="L67" s="508"/>
      <c r="M67" s="508"/>
      <c r="N67" s="508"/>
      <c r="O67" s="55"/>
      <c r="P67" s="55"/>
    </row>
    <row r="68" spans="1:16">
      <c r="A68" s="55"/>
      <c r="B68" s="512" t="s">
        <v>136</v>
      </c>
      <c r="C68" s="508"/>
      <c r="D68" s="508"/>
      <c r="E68" s="508"/>
      <c r="F68" s="508"/>
      <c r="G68" s="508"/>
      <c r="H68" s="508"/>
      <c r="I68" s="508"/>
      <c r="J68" s="508"/>
      <c r="K68" s="508"/>
      <c r="L68" s="508"/>
      <c r="M68" s="508"/>
      <c r="N68" s="508"/>
      <c r="O68" s="55"/>
      <c r="P68" s="55"/>
    </row>
    <row r="69" spans="1:16">
      <c r="A69" s="55"/>
      <c r="B69" s="513" t="s">
        <v>114</v>
      </c>
      <c r="C69" s="508"/>
      <c r="D69" s="508"/>
      <c r="E69" s="508"/>
      <c r="F69" s="508"/>
      <c r="G69" s="508"/>
      <c r="H69" s="508"/>
      <c r="I69" s="508"/>
      <c r="J69" s="508"/>
      <c r="K69" s="508"/>
      <c r="L69" s="508"/>
      <c r="M69" s="508"/>
      <c r="N69" s="508"/>
      <c r="O69" s="55"/>
      <c r="P69" s="55"/>
    </row>
    <row r="70" spans="1:16">
      <c r="A70" s="55"/>
      <c r="B70" s="514" t="s">
        <v>137</v>
      </c>
      <c r="C70" s="508"/>
      <c r="D70" s="508"/>
      <c r="E70" s="508"/>
      <c r="F70" s="508"/>
      <c r="G70" s="508"/>
      <c r="H70" s="508"/>
      <c r="I70" s="508"/>
      <c r="J70" s="508"/>
      <c r="K70" s="508"/>
      <c r="L70" s="508"/>
      <c r="M70" s="508"/>
      <c r="N70" s="508"/>
      <c r="O70" s="55"/>
      <c r="P70" s="55"/>
    </row>
    <row r="71" spans="1:16">
      <c r="A71" s="55"/>
      <c r="B71" s="515"/>
      <c r="C71" s="516" t="s">
        <v>249</v>
      </c>
      <c r="D71" s="516"/>
      <c r="E71" s="516" t="s">
        <v>250</v>
      </c>
      <c r="F71" s="516"/>
      <c r="G71" s="516"/>
      <c r="H71" s="516"/>
      <c r="I71" s="516"/>
      <c r="J71" s="516"/>
      <c r="K71" s="516"/>
      <c r="L71" s="516"/>
      <c r="M71" s="520" t="s">
        <v>253</v>
      </c>
      <c r="N71" s="520"/>
      <c r="O71" s="55"/>
      <c r="P71" s="55"/>
    </row>
    <row r="72" spans="1:16">
      <c r="A72" s="55"/>
      <c r="B72" s="517" t="s">
        <v>245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06" t="s">
        <v>246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07" t="s">
        <v>247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09" t="s">
        <v>248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10"/>
      <c r="C76" s="518"/>
      <c r="D76" s="518"/>
      <c r="E76" s="518"/>
      <c r="F76" s="518"/>
      <c r="G76" s="518"/>
      <c r="H76" s="518"/>
      <c r="I76" s="518"/>
      <c r="J76" s="518"/>
      <c r="K76" s="518"/>
      <c r="L76" s="518"/>
      <c r="M76" s="518"/>
      <c r="N76" s="518"/>
      <c r="O76" s="55"/>
      <c r="P76" s="55"/>
    </row>
    <row r="77" spans="1:16">
      <c r="A77" s="55"/>
      <c r="B77" s="511" t="s">
        <v>33</v>
      </c>
      <c r="C77" s="518"/>
      <c r="D77" s="518"/>
      <c r="E77" s="518"/>
      <c r="F77" s="518"/>
      <c r="G77" s="518"/>
      <c r="H77" s="518"/>
      <c r="I77" s="518"/>
      <c r="J77" s="518"/>
      <c r="K77" s="518"/>
      <c r="L77" s="518"/>
      <c r="M77" s="518"/>
      <c r="N77" s="518"/>
      <c r="O77" s="55"/>
    </row>
    <row r="78" spans="1:16">
      <c r="B78" s="512" t="s">
        <v>136</v>
      </c>
      <c r="C78" s="518"/>
      <c r="D78" s="518"/>
      <c r="E78" s="518"/>
      <c r="F78" s="518"/>
      <c r="G78" s="518"/>
      <c r="H78" s="518"/>
      <c r="I78" s="518"/>
      <c r="J78" s="518"/>
      <c r="K78" s="518"/>
      <c r="L78" s="518"/>
      <c r="M78" s="518"/>
      <c r="N78" s="518"/>
      <c r="O78" s="55"/>
    </row>
    <row r="79" spans="1:16">
      <c r="B79" s="513" t="s">
        <v>114</v>
      </c>
      <c r="C79" s="518"/>
      <c r="D79" s="518"/>
      <c r="E79" s="518"/>
      <c r="F79" s="518"/>
      <c r="G79" s="518"/>
      <c r="H79" s="518"/>
      <c r="I79" s="518"/>
      <c r="J79" s="518"/>
      <c r="K79" s="518"/>
      <c r="L79" s="518"/>
      <c r="M79" s="518"/>
      <c r="N79" s="518"/>
      <c r="O79" s="55"/>
    </row>
    <row r="80" spans="1:16">
      <c r="B80" s="514" t="s">
        <v>137</v>
      </c>
      <c r="C80" s="518"/>
      <c r="D80" s="518"/>
      <c r="E80" s="518"/>
      <c r="F80" s="518"/>
      <c r="G80" s="518"/>
      <c r="H80" s="518"/>
      <c r="I80" s="518"/>
      <c r="J80" s="518"/>
      <c r="K80" s="518"/>
      <c r="L80" s="518"/>
      <c r="M80" s="518"/>
      <c r="N80" s="518"/>
      <c r="O80" s="55"/>
    </row>
    <row r="81" spans="2:15"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</row>
  </sheetData>
  <mergeCells count="16">
    <mergeCell ref="B60:D60"/>
    <mergeCell ref="C61:D61"/>
    <mergeCell ref="M61:N61"/>
    <mergeCell ref="M71:N71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3"/>
  <sheetViews>
    <sheetView zoomScale="150" zoomScaleNormal="150" zoomScalePageLayoutView="150" workbookViewId="0">
      <selection activeCell="P18" sqref="P18"/>
    </sheetView>
  </sheetViews>
  <sheetFormatPr baseColWidth="10" defaultRowHeight="14" x14ac:dyDescent="0"/>
  <cols>
    <col min="1" max="1" width="10.83203125" style="19"/>
    <col min="2" max="2" width="20.1640625" style="19" customWidth="1"/>
    <col min="3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7.5" style="19" customWidth="1"/>
    <col min="20" max="20" width="21.1640625" style="19" customWidth="1"/>
    <col min="21" max="21" width="14.1640625" style="19" customWidth="1"/>
    <col min="22" max="22" width="19" style="19" customWidth="1"/>
    <col min="23" max="23" width="10.83203125" style="19"/>
    <col min="24" max="24" width="4.83203125" style="19" customWidth="1"/>
    <col min="25" max="25" width="10.83203125" style="19"/>
    <col min="26" max="26" width="3.6640625" style="19" customWidth="1"/>
    <col min="27" max="27" width="12.33203125" style="19" customWidth="1"/>
    <col min="28" max="16384" width="10.83203125" style="19"/>
  </cols>
  <sheetData>
    <row r="1" spans="1:27" ht="25">
      <c r="A1" s="237">
        <v>2040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71">
        <f>C10*C5</f>
        <v>23250000</v>
      </c>
      <c r="D11" s="471">
        <f t="shared" ref="D11:N11" si="0">D10*D5</f>
        <v>21000000</v>
      </c>
      <c r="E11" s="471">
        <f t="shared" si="0"/>
        <v>21700000</v>
      </c>
      <c r="F11" s="471">
        <f t="shared" si="0"/>
        <v>21000000</v>
      </c>
      <c r="G11" s="471">
        <f t="shared" si="0"/>
        <v>15500000</v>
      </c>
      <c r="H11" s="471">
        <f t="shared" si="0"/>
        <v>12000000</v>
      </c>
      <c r="I11" s="471">
        <f t="shared" si="0"/>
        <v>12400000</v>
      </c>
      <c r="J11" s="471">
        <f t="shared" si="0"/>
        <v>12400000</v>
      </c>
      <c r="K11" s="471">
        <f t="shared" si="0"/>
        <v>21000000</v>
      </c>
      <c r="L11" s="471">
        <f t="shared" si="0"/>
        <v>21700000</v>
      </c>
      <c r="M11" s="471">
        <f t="shared" si="0"/>
        <v>21000000</v>
      </c>
      <c r="N11" s="471">
        <f t="shared" si="0"/>
        <v>23250000</v>
      </c>
      <c r="O11" s="534">
        <f>SUM(C11:N11)</f>
        <v>226200000</v>
      </c>
      <c r="P11" s="170" t="s">
        <v>138</v>
      </c>
      <c r="Q11" s="2"/>
      <c r="R11" s="268" t="s">
        <v>156</v>
      </c>
      <c r="S11" s="339">
        <f>O47</f>
        <v>825300</v>
      </c>
      <c r="T11" s="270" t="s">
        <v>157</v>
      </c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340">
        <v>210</v>
      </c>
      <c r="T12" s="170" t="s">
        <v>157</v>
      </c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/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64" t="s">
        <v>234</v>
      </c>
      <c r="C14" s="535">
        <f>10000/C22</f>
        <v>1111.1111111111111</v>
      </c>
      <c r="D14" s="535">
        <f t="shared" ref="D14:N14" si="1">10000/D22</f>
        <v>1111.1111111111111</v>
      </c>
      <c r="E14" s="535">
        <f t="shared" si="1"/>
        <v>1000</v>
      </c>
      <c r="F14" s="535">
        <f t="shared" si="1"/>
        <v>1000</v>
      </c>
      <c r="G14" s="535">
        <f t="shared" si="1"/>
        <v>714.28571428571433</v>
      </c>
      <c r="H14" s="535">
        <f t="shared" si="1"/>
        <v>625</v>
      </c>
      <c r="I14" s="535">
        <f t="shared" si="1"/>
        <v>625</v>
      </c>
      <c r="J14" s="535">
        <f t="shared" si="1"/>
        <v>625</v>
      </c>
      <c r="K14" s="535">
        <f t="shared" si="1"/>
        <v>1000</v>
      </c>
      <c r="L14" s="535">
        <f t="shared" si="1"/>
        <v>1000</v>
      </c>
      <c r="M14" s="535">
        <f t="shared" si="1"/>
        <v>1000</v>
      </c>
      <c r="N14" s="535">
        <f t="shared" si="1"/>
        <v>1111.1111111111111</v>
      </c>
      <c r="O14" s="577">
        <v>1</v>
      </c>
      <c r="P14" s="170"/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64" t="s">
        <v>85</v>
      </c>
      <c r="C15" s="538">
        <f>C16</f>
        <v>4444.4444444444443</v>
      </c>
      <c r="D15" s="538">
        <f t="shared" ref="D15:N15" si="2">D16</f>
        <v>4444.4444444444443</v>
      </c>
      <c r="E15" s="538">
        <f t="shared" si="2"/>
        <v>4000</v>
      </c>
      <c r="F15" s="538">
        <f t="shared" si="2"/>
        <v>4000</v>
      </c>
      <c r="G15" s="538">
        <f t="shared" si="2"/>
        <v>2857.1428571428573</v>
      </c>
      <c r="H15" s="538">
        <f t="shared" si="2"/>
        <v>2500</v>
      </c>
      <c r="I15" s="538">
        <f t="shared" si="2"/>
        <v>2500</v>
      </c>
      <c r="J15" s="538">
        <f t="shared" si="2"/>
        <v>2500</v>
      </c>
      <c r="K15" s="538">
        <f t="shared" si="2"/>
        <v>4000</v>
      </c>
      <c r="L15" s="538">
        <f t="shared" si="2"/>
        <v>4000</v>
      </c>
      <c r="M15" s="538">
        <f t="shared" si="2"/>
        <v>4000</v>
      </c>
      <c r="N15" s="538">
        <f t="shared" si="2"/>
        <v>4444.4444444444443</v>
      </c>
      <c r="O15" s="578">
        <v>1</v>
      </c>
      <c r="P15" s="170"/>
      <c r="Q15" s="2"/>
      <c r="R15" s="276" t="s">
        <v>14</v>
      </c>
      <c r="S15" s="277">
        <v>50000</v>
      </c>
      <c r="T15" s="278" t="s">
        <v>157</v>
      </c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64" t="s">
        <v>233</v>
      </c>
      <c r="C16" s="536">
        <f>C9/C22</f>
        <v>4444.4444444444443</v>
      </c>
      <c r="D16" s="536">
        <f t="shared" ref="D16:N16" si="3">D9/D22</f>
        <v>4444.4444444444443</v>
      </c>
      <c r="E16" s="536">
        <f t="shared" si="3"/>
        <v>4000</v>
      </c>
      <c r="F16" s="536">
        <f t="shared" si="3"/>
        <v>4000</v>
      </c>
      <c r="G16" s="536">
        <f t="shared" si="3"/>
        <v>2857.1428571428573</v>
      </c>
      <c r="H16" s="536">
        <f t="shared" si="3"/>
        <v>2500</v>
      </c>
      <c r="I16" s="536">
        <f t="shared" si="3"/>
        <v>2500</v>
      </c>
      <c r="J16" s="536">
        <f t="shared" si="3"/>
        <v>2500</v>
      </c>
      <c r="K16" s="536">
        <f t="shared" si="3"/>
        <v>4000</v>
      </c>
      <c r="L16" s="536">
        <f t="shared" si="3"/>
        <v>4000</v>
      </c>
      <c r="M16" s="536">
        <f t="shared" si="3"/>
        <v>4000</v>
      </c>
      <c r="N16" s="536">
        <f t="shared" si="3"/>
        <v>4444.4444444444443</v>
      </c>
      <c r="O16" s="537">
        <v>1</v>
      </c>
      <c r="P16" s="170"/>
      <c r="Q16" s="2"/>
      <c r="R16" s="276" t="s">
        <v>13</v>
      </c>
      <c r="S16" s="277">
        <v>40000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65" t="s">
        <v>283</v>
      </c>
      <c r="C17" s="539">
        <f>C14+C16</f>
        <v>5555.5555555555557</v>
      </c>
      <c r="D17" s="539">
        <f t="shared" ref="D17:N17" si="4">D14+D16</f>
        <v>5555.5555555555557</v>
      </c>
      <c r="E17" s="539">
        <f t="shared" si="4"/>
        <v>5000</v>
      </c>
      <c r="F17" s="539">
        <f t="shared" si="4"/>
        <v>5000</v>
      </c>
      <c r="G17" s="539">
        <f t="shared" si="4"/>
        <v>3571.4285714285716</v>
      </c>
      <c r="H17" s="539">
        <f t="shared" si="4"/>
        <v>3125</v>
      </c>
      <c r="I17" s="539">
        <f t="shared" si="4"/>
        <v>3125</v>
      </c>
      <c r="J17" s="539">
        <f t="shared" si="4"/>
        <v>3125</v>
      </c>
      <c r="K17" s="539">
        <f t="shared" si="4"/>
        <v>5000</v>
      </c>
      <c r="L17" s="539">
        <f t="shared" si="4"/>
        <v>5000</v>
      </c>
      <c r="M17" s="539">
        <f t="shared" si="4"/>
        <v>5000</v>
      </c>
      <c r="N17" s="539">
        <f t="shared" si="4"/>
        <v>5555.5555555555557</v>
      </c>
      <c r="O17" s="579">
        <v>1</v>
      </c>
      <c r="P17" s="170"/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158</v>
      </c>
      <c r="S18" s="280">
        <v>10000</v>
      </c>
      <c r="T18" s="278" t="s">
        <v>159</v>
      </c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 t="s">
        <v>265</v>
      </c>
      <c r="Q21" s="2"/>
      <c r="R21" s="345" t="s">
        <v>98</v>
      </c>
      <c r="S21" s="288" t="s">
        <v>146</v>
      </c>
      <c r="T21" s="360">
        <v>8415600</v>
      </c>
      <c r="U21" s="362">
        <v>9.0999999999999998E-2</v>
      </c>
      <c r="V21" s="357">
        <v>765819.6</v>
      </c>
      <c r="W21" s="292">
        <v>0.19</v>
      </c>
      <c r="X21" s="351">
        <v>145505.72</v>
      </c>
      <c r="Y21" s="352"/>
      <c r="Z21" s="353">
        <v>911325.32</v>
      </c>
      <c r="AA21" s="353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 t="s">
        <v>266</v>
      </c>
      <c r="Q22" s="2"/>
      <c r="R22" s="345" t="s">
        <v>54</v>
      </c>
      <c r="S22" s="288" t="s">
        <v>147</v>
      </c>
      <c r="T22" s="361">
        <v>14600000</v>
      </c>
      <c r="U22" s="363">
        <v>9.0999999999999998E-2</v>
      </c>
      <c r="V22" s="358">
        <v>1328600</v>
      </c>
      <c r="W22" s="296">
        <v>0.19</v>
      </c>
      <c r="X22" s="351">
        <v>252434</v>
      </c>
      <c r="Y22" s="352"/>
      <c r="Z22" s="353">
        <v>1581034</v>
      </c>
      <c r="AA22" s="353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345" t="s">
        <v>161</v>
      </c>
      <c r="S23" s="288" t="s">
        <v>107</v>
      </c>
      <c r="T23" s="361">
        <v>825300</v>
      </c>
      <c r="U23" s="363">
        <v>9.0999999999999998E-2</v>
      </c>
      <c r="V23" s="358">
        <v>75102.3</v>
      </c>
      <c r="W23" s="296">
        <v>0.19</v>
      </c>
      <c r="X23" s="354">
        <v>14269.44</v>
      </c>
      <c r="Y23" s="355"/>
      <c r="Z23" s="353">
        <v>89371.74</v>
      </c>
      <c r="AA23" s="353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345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46" t="s">
        <v>75</v>
      </c>
      <c r="S25" s="302"/>
      <c r="T25" s="344" t="s">
        <v>149</v>
      </c>
      <c r="U25" s="341"/>
      <c r="V25" s="342"/>
      <c r="W25" s="343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345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345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6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345" t="s">
        <v>162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68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345" t="s">
        <v>76</v>
      </c>
      <c r="S29" s="288"/>
      <c r="T29" s="308" t="s">
        <v>153</v>
      </c>
      <c r="U29" s="309" t="s">
        <v>93</v>
      </c>
      <c r="V29" s="364" t="s">
        <v>154</v>
      </c>
      <c r="W29" s="299"/>
      <c r="X29" s="300"/>
      <c r="Y29" s="300"/>
      <c r="Z29" s="301"/>
      <c r="AA29" s="301"/>
    </row>
    <row r="30" spans="1:27" ht="15">
      <c r="A30" s="170"/>
      <c r="B30" s="468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345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69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345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276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47" t="s">
        <v>97</v>
      </c>
      <c r="S32" s="315"/>
      <c r="T32" s="311"/>
      <c r="U32" s="312"/>
      <c r="V32" s="356">
        <v>2169521.9</v>
      </c>
      <c r="W32" s="296">
        <v>0.19</v>
      </c>
      <c r="X32" s="300"/>
      <c r="Y32" s="349">
        <v>412209.16</v>
      </c>
      <c r="Z32" s="301"/>
      <c r="AA32" s="359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5">D20</f>
        <v>529200</v>
      </c>
      <c r="E34" s="525">
        <f t="shared" si="5"/>
        <v>651000</v>
      </c>
      <c r="F34" s="525">
        <f t="shared" si="5"/>
        <v>630000</v>
      </c>
      <c r="G34" s="525">
        <f t="shared" si="5"/>
        <v>911400</v>
      </c>
      <c r="H34" s="525">
        <f t="shared" si="5"/>
        <v>1008000</v>
      </c>
      <c r="I34" s="525">
        <f t="shared" si="5"/>
        <v>1041600</v>
      </c>
      <c r="J34" s="525">
        <f t="shared" si="5"/>
        <v>1041600</v>
      </c>
      <c r="K34" s="525">
        <f t="shared" si="5"/>
        <v>630000</v>
      </c>
      <c r="L34" s="525">
        <f t="shared" si="5"/>
        <v>651000</v>
      </c>
      <c r="M34" s="525">
        <f t="shared" si="5"/>
        <v>630000</v>
      </c>
      <c r="N34" s="525">
        <f t="shared" si="5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58590</v>
      </c>
      <c r="D35" s="525">
        <f t="shared" ref="D35:N35" si="6">D47</f>
        <v>52920</v>
      </c>
      <c r="E35" s="525">
        <f t="shared" si="6"/>
        <v>58590</v>
      </c>
      <c r="F35" s="525">
        <f t="shared" si="6"/>
        <v>69300</v>
      </c>
      <c r="G35" s="525">
        <f t="shared" si="6"/>
        <v>71610</v>
      </c>
      <c r="H35" s="525">
        <f t="shared" si="6"/>
        <v>69300</v>
      </c>
      <c r="I35" s="525">
        <f t="shared" si="6"/>
        <v>97650</v>
      </c>
      <c r="J35" s="525">
        <f t="shared" si="6"/>
        <v>97650</v>
      </c>
      <c r="K35" s="525">
        <f t="shared" si="6"/>
        <v>63000</v>
      </c>
      <c r="L35" s="525">
        <f t="shared" si="6"/>
        <v>65100</v>
      </c>
      <c r="M35" s="525">
        <f t="shared" si="6"/>
        <v>63000</v>
      </c>
      <c r="N35" s="525">
        <f t="shared" si="6"/>
        <v>58590</v>
      </c>
      <c r="O35" s="529">
        <f>SUM(C35:N35)</f>
        <v>825300</v>
      </c>
      <c r="P35" s="170" t="s">
        <v>134</v>
      </c>
      <c r="Q35" s="2"/>
      <c r="R35" s="321" t="s">
        <v>47</v>
      </c>
      <c r="S35" s="322">
        <v>183360</v>
      </c>
      <c r="T35" s="170"/>
      <c r="U35" s="348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7">D24</f>
        <v>252</v>
      </c>
      <c r="E37" s="531">
        <f t="shared" si="7"/>
        <v>310</v>
      </c>
      <c r="F37" s="531">
        <f t="shared" si="7"/>
        <v>300</v>
      </c>
      <c r="G37" s="531">
        <f t="shared" si="7"/>
        <v>434</v>
      </c>
      <c r="H37" s="531">
        <f t="shared" si="7"/>
        <v>480</v>
      </c>
      <c r="I37" s="531">
        <f t="shared" si="7"/>
        <v>496</v>
      </c>
      <c r="J37" s="531">
        <f t="shared" si="7"/>
        <v>496</v>
      </c>
      <c r="K37" s="531">
        <f t="shared" si="7"/>
        <v>300</v>
      </c>
      <c r="L37" s="531">
        <f t="shared" si="7"/>
        <v>310</v>
      </c>
      <c r="M37" s="531">
        <f t="shared" si="7"/>
        <v>300</v>
      </c>
      <c r="N37" s="532">
        <f t="shared" si="7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8">D36+D37</f>
        <v>672</v>
      </c>
      <c r="E38" s="526">
        <f t="shared" si="8"/>
        <v>744</v>
      </c>
      <c r="F38" s="526">
        <f t="shared" si="8"/>
        <v>720</v>
      </c>
      <c r="G38" s="526">
        <f t="shared" si="8"/>
        <v>744</v>
      </c>
      <c r="H38" s="526">
        <f t="shared" si="8"/>
        <v>720</v>
      </c>
      <c r="I38" s="526">
        <f t="shared" si="8"/>
        <v>744</v>
      </c>
      <c r="J38" s="526">
        <f t="shared" si="8"/>
        <v>744</v>
      </c>
      <c r="K38" s="526">
        <f t="shared" si="8"/>
        <v>720</v>
      </c>
      <c r="L38" s="526">
        <f t="shared" si="8"/>
        <v>744</v>
      </c>
      <c r="M38" s="526">
        <f t="shared" si="8"/>
        <v>720</v>
      </c>
      <c r="N38" s="526">
        <f t="shared" si="8"/>
        <v>744</v>
      </c>
      <c r="O38" s="527">
        <f>SUM(C38:N38)</f>
        <v>8760</v>
      </c>
      <c r="P38" s="170" t="s">
        <v>278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866.25</v>
      </c>
      <c r="D40" s="215">
        <f>D42/D38</f>
        <v>866.25</v>
      </c>
      <c r="E40" s="215">
        <f>E42/E38</f>
        <v>953.75</v>
      </c>
      <c r="F40" s="215">
        <f>F42/F38</f>
        <v>971.25</v>
      </c>
      <c r="G40" s="215">
        <f>G42/G38</f>
        <v>1321.25</v>
      </c>
      <c r="H40" s="215">
        <f>H42/H38</f>
        <v>1496.25</v>
      </c>
      <c r="I40" s="215">
        <f>I42/I38</f>
        <v>1531.25</v>
      </c>
      <c r="J40" s="215">
        <f>J42/J38</f>
        <v>1531.25</v>
      </c>
      <c r="K40" s="215">
        <f>K42/K38</f>
        <v>962.5</v>
      </c>
      <c r="L40" s="215">
        <f>L42/L38</f>
        <v>962.5</v>
      </c>
      <c r="M40" s="215">
        <f>M42/M38</f>
        <v>962.5</v>
      </c>
      <c r="N40" s="215">
        <f>N42/N38</f>
        <v>866.25</v>
      </c>
      <c r="O40" s="533">
        <f>AVERAGE(C40:N40)</f>
        <v>1107.6041666666667</v>
      </c>
      <c r="P40" s="170" t="s">
        <v>267</v>
      </c>
      <c r="Q40" s="2"/>
      <c r="R40" s="323" t="s">
        <v>57</v>
      </c>
      <c r="S40" s="324" t="s">
        <v>62</v>
      </c>
      <c r="T40" s="324" t="s">
        <v>58</v>
      </c>
      <c r="U40" s="365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268</v>
      </c>
      <c r="R41" s="325" t="s">
        <v>60</v>
      </c>
      <c r="S41" s="325">
        <v>10000</v>
      </c>
      <c r="T41" s="326">
        <v>0.21</v>
      </c>
      <c r="U41" s="366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644490</v>
      </c>
      <c r="D42" s="215">
        <f>D34+D35</f>
        <v>582120</v>
      </c>
      <c r="E42" s="215">
        <f>E34+E35</f>
        <v>709590</v>
      </c>
      <c r="F42" s="215">
        <f>F34+F35</f>
        <v>699300</v>
      </c>
      <c r="G42" s="215">
        <f>G34+G35</f>
        <v>983010</v>
      </c>
      <c r="H42" s="215">
        <f>H34+H35</f>
        <v>1077300</v>
      </c>
      <c r="I42" s="215">
        <f>I34+I35</f>
        <v>1139250</v>
      </c>
      <c r="J42" s="215">
        <f>J34+J35</f>
        <v>1139250</v>
      </c>
      <c r="K42" s="215">
        <f>K34+K35</f>
        <v>693000</v>
      </c>
      <c r="L42" s="215">
        <f>L34+L35</f>
        <v>716100</v>
      </c>
      <c r="M42" s="215">
        <f>M34+M35</f>
        <v>693000</v>
      </c>
      <c r="N42" s="215">
        <f>N34+N35</f>
        <v>644490</v>
      </c>
      <c r="O42" s="527">
        <f>SUM(C42:N42)</f>
        <v>9720900</v>
      </c>
      <c r="P42" s="170" t="s">
        <v>269</v>
      </c>
      <c r="R42" s="324" t="s">
        <v>61</v>
      </c>
      <c r="S42" s="324">
        <v>1000</v>
      </c>
      <c r="T42" s="328">
        <v>0.21</v>
      </c>
      <c r="U42" s="366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1339512.48</v>
      </c>
      <c r="D43" s="215">
        <f>D41-D42</f>
        <v>1209882.24</v>
      </c>
      <c r="E43" s="215">
        <f>E41-E42</f>
        <v>1274412.48</v>
      </c>
      <c r="F43" s="215">
        <f>F41-F42</f>
        <v>1516082.4</v>
      </c>
      <c r="G43" s="215">
        <f>G41-G42</f>
        <v>1306218.48</v>
      </c>
      <c r="H43" s="215">
        <f>H41-H42</f>
        <v>1138082.3999999999</v>
      </c>
      <c r="I43" s="215">
        <f>I41-I42</f>
        <v>2167413.36</v>
      </c>
      <c r="J43" s="215">
        <f>J41-J42</f>
        <v>2167413.36</v>
      </c>
      <c r="K43" s="215">
        <f>K41-K42</f>
        <v>1364140.7999999998</v>
      </c>
      <c r="L43" s="215">
        <f>L41-L42</f>
        <v>1409612.1599999997</v>
      </c>
      <c r="M43" s="215">
        <f>M41-M42</f>
        <v>1364140.7999999998</v>
      </c>
      <c r="N43" s="215">
        <f>N41-N42</f>
        <v>1339512.48</v>
      </c>
      <c r="O43" s="527">
        <f>SUM(C43:N43)</f>
        <v>17596423.440000001</v>
      </c>
      <c r="P43" s="170" t="s">
        <v>270</v>
      </c>
      <c r="R43" s="324" t="s">
        <v>63</v>
      </c>
      <c r="S43" s="324">
        <v>50000</v>
      </c>
      <c r="T43" s="328">
        <v>1</v>
      </c>
      <c r="U43" s="367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24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533"/>
      <c r="P44" s="170"/>
      <c r="R44" s="324" t="s">
        <v>64</v>
      </c>
      <c r="S44" s="324">
        <v>2000</v>
      </c>
      <c r="T44" s="328">
        <v>0.21</v>
      </c>
      <c r="U44" s="367">
        <v>420</v>
      </c>
      <c r="V44" s="170"/>
      <c r="W44" s="170"/>
      <c r="X44" s="170"/>
      <c r="Y44" s="170"/>
      <c r="Z44" s="170"/>
      <c r="AA44" s="170"/>
    </row>
    <row r="45" spans="1:27" ht="25">
      <c r="A45" s="170"/>
      <c r="B45" s="243" t="s">
        <v>144</v>
      </c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1" t="s">
        <v>135</v>
      </c>
      <c r="C46" s="172" t="s">
        <v>2</v>
      </c>
      <c r="D46" s="172" t="s">
        <v>3</v>
      </c>
      <c r="E46" s="172" t="s">
        <v>4</v>
      </c>
      <c r="F46" s="172" t="s">
        <v>5</v>
      </c>
      <c r="G46" s="172" t="s">
        <v>6</v>
      </c>
      <c r="H46" s="172" t="s">
        <v>7</v>
      </c>
      <c r="I46" s="172" t="s">
        <v>8</v>
      </c>
      <c r="J46" s="172" t="s">
        <v>9</v>
      </c>
      <c r="K46" s="172" t="s">
        <v>20</v>
      </c>
      <c r="L46" s="172" t="s">
        <v>10</v>
      </c>
      <c r="M46" s="172" t="s">
        <v>19</v>
      </c>
      <c r="N46" s="172" t="s">
        <v>18</v>
      </c>
      <c r="O46" s="172" t="s">
        <v>11</v>
      </c>
      <c r="P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173" t="s">
        <v>106</v>
      </c>
      <c r="C47" s="218">
        <f>C52*C49</f>
        <v>58590</v>
      </c>
      <c r="D47" s="218">
        <f t="shared" ref="D47:N47" si="9">D52*D49</f>
        <v>52920</v>
      </c>
      <c r="E47" s="218">
        <f t="shared" si="9"/>
        <v>58590</v>
      </c>
      <c r="F47" s="218">
        <f t="shared" si="9"/>
        <v>69300</v>
      </c>
      <c r="G47" s="218">
        <f t="shared" si="9"/>
        <v>71610</v>
      </c>
      <c r="H47" s="218">
        <f t="shared" si="9"/>
        <v>69300</v>
      </c>
      <c r="I47" s="218">
        <f t="shared" si="9"/>
        <v>97650</v>
      </c>
      <c r="J47" s="218">
        <f t="shared" si="9"/>
        <v>97650</v>
      </c>
      <c r="K47" s="218">
        <f t="shared" si="9"/>
        <v>63000</v>
      </c>
      <c r="L47" s="218">
        <f t="shared" si="9"/>
        <v>65100</v>
      </c>
      <c r="M47" s="218">
        <f t="shared" si="9"/>
        <v>63000</v>
      </c>
      <c r="N47" s="218">
        <f t="shared" si="9"/>
        <v>58590</v>
      </c>
      <c r="O47" s="220">
        <f>SUM(C47:N47)</f>
        <v>825300</v>
      </c>
      <c r="P47" s="234" t="s">
        <v>145</v>
      </c>
      <c r="R47" s="170">
        <f>24*31</f>
        <v>744</v>
      </c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114</v>
      </c>
      <c r="C48" s="222">
        <v>18590</v>
      </c>
      <c r="D48" s="223">
        <v>12920</v>
      </c>
      <c r="E48" s="223">
        <v>18590</v>
      </c>
      <c r="F48" s="223">
        <v>29300</v>
      </c>
      <c r="G48" s="223">
        <v>31610</v>
      </c>
      <c r="H48" s="223">
        <v>29300</v>
      </c>
      <c r="I48" s="223">
        <v>57650</v>
      </c>
      <c r="J48" s="223">
        <v>57650</v>
      </c>
      <c r="K48" s="223">
        <v>23000</v>
      </c>
      <c r="L48" s="223">
        <v>25100</v>
      </c>
      <c r="M48" s="223">
        <v>23000</v>
      </c>
      <c r="N48" s="223">
        <v>18590</v>
      </c>
      <c r="O48" s="220">
        <v>345300</v>
      </c>
      <c r="P48" s="234">
        <f>10000/9</f>
        <v>1111.1111111111111</v>
      </c>
    </row>
    <row r="49" spans="1:16">
      <c r="A49" s="170"/>
      <c r="B49" s="221" t="s">
        <v>51</v>
      </c>
      <c r="C49" s="224">
        <v>210</v>
      </c>
      <c r="D49" s="224">
        <v>210</v>
      </c>
      <c r="E49" s="224">
        <v>210</v>
      </c>
      <c r="F49" s="224">
        <v>210</v>
      </c>
      <c r="G49" s="224">
        <v>210</v>
      </c>
      <c r="H49" s="224">
        <v>210</v>
      </c>
      <c r="I49" s="224">
        <v>210</v>
      </c>
      <c r="J49" s="224">
        <v>210</v>
      </c>
      <c r="K49" s="224">
        <v>210</v>
      </c>
      <c r="L49" s="224">
        <v>210</v>
      </c>
      <c r="M49" s="224">
        <v>210</v>
      </c>
      <c r="N49" s="224">
        <v>210</v>
      </c>
      <c r="O49" s="226" t="s">
        <v>44</v>
      </c>
      <c r="P49" s="170"/>
    </row>
    <row r="50" spans="1:16">
      <c r="A50" s="170"/>
      <c r="B50" s="221" t="s">
        <v>113</v>
      </c>
      <c r="C50" s="182">
        <v>9</v>
      </c>
      <c r="D50" s="183">
        <v>9</v>
      </c>
      <c r="E50" s="183">
        <v>9</v>
      </c>
      <c r="F50" s="183">
        <v>11</v>
      </c>
      <c r="G50" s="183">
        <v>11</v>
      </c>
      <c r="H50" s="183">
        <v>11</v>
      </c>
      <c r="I50" s="183">
        <v>15</v>
      </c>
      <c r="J50" s="183">
        <v>15</v>
      </c>
      <c r="K50" s="183">
        <v>10</v>
      </c>
      <c r="L50" s="183">
        <v>10</v>
      </c>
      <c r="M50" s="183">
        <v>10</v>
      </c>
      <c r="N50" s="183">
        <v>9</v>
      </c>
      <c r="O50" s="227"/>
      <c r="P50" s="170"/>
    </row>
    <row r="51" spans="1:16">
      <c r="A51" s="170"/>
      <c r="B51" s="221" t="s">
        <v>112</v>
      </c>
      <c r="C51" s="182">
        <v>31</v>
      </c>
      <c r="D51" s="183">
        <v>28</v>
      </c>
      <c r="E51" s="183">
        <v>31</v>
      </c>
      <c r="F51" s="183">
        <v>30</v>
      </c>
      <c r="G51" s="183">
        <v>31</v>
      </c>
      <c r="H51" s="183">
        <v>30</v>
      </c>
      <c r="I51" s="183">
        <v>31</v>
      </c>
      <c r="J51" s="183">
        <v>31</v>
      </c>
      <c r="K51" s="183">
        <v>30</v>
      </c>
      <c r="L51" s="183">
        <v>31</v>
      </c>
      <c r="M51" s="183">
        <v>30</v>
      </c>
      <c r="N51" s="183">
        <v>31</v>
      </c>
      <c r="O51" s="228">
        <v>365</v>
      </c>
      <c r="P51" s="170"/>
    </row>
    <row r="52" spans="1:16">
      <c r="A52" s="170"/>
      <c r="B52" s="221" t="s">
        <v>111</v>
      </c>
      <c r="C52" s="229">
        <v>279</v>
      </c>
      <c r="D52" s="230">
        <v>252</v>
      </c>
      <c r="E52" s="230">
        <v>279</v>
      </c>
      <c r="F52" s="230">
        <v>330</v>
      </c>
      <c r="G52" s="230">
        <v>341</v>
      </c>
      <c r="H52" s="230">
        <v>330</v>
      </c>
      <c r="I52" s="230">
        <v>465</v>
      </c>
      <c r="J52" s="230">
        <v>465</v>
      </c>
      <c r="K52" s="230">
        <v>300</v>
      </c>
      <c r="L52" s="230">
        <v>310</v>
      </c>
      <c r="M52" s="230">
        <v>300</v>
      </c>
      <c r="N52" s="230">
        <v>279</v>
      </c>
      <c r="O52" s="228">
        <v>3930</v>
      </c>
      <c r="P52" s="170"/>
    </row>
    <row r="53" spans="1:16" ht="15" thickBot="1">
      <c r="A53" s="170"/>
      <c r="B53" s="231" t="s">
        <v>110</v>
      </c>
      <c r="C53" s="232">
        <v>40000</v>
      </c>
      <c r="D53" s="233">
        <v>40000</v>
      </c>
      <c r="E53" s="233">
        <v>40000</v>
      </c>
      <c r="F53" s="233">
        <v>40000</v>
      </c>
      <c r="G53" s="233">
        <v>40000</v>
      </c>
      <c r="H53" s="233">
        <v>40000</v>
      </c>
      <c r="I53" s="233">
        <v>40000</v>
      </c>
      <c r="J53" s="233">
        <v>40000</v>
      </c>
      <c r="K53" s="233">
        <v>40000</v>
      </c>
      <c r="L53" s="233">
        <v>40000</v>
      </c>
      <c r="M53" s="233">
        <v>40000</v>
      </c>
      <c r="N53" s="233">
        <v>40000</v>
      </c>
      <c r="O53" s="350">
        <v>480000</v>
      </c>
      <c r="P53" s="170"/>
    </row>
    <row r="54" spans="1:16" ht="16" thickTop="1" thickBot="1">
      <c r="A54" s="170"/>
      <c r="B54" s="171" t="s">
        <v>12</v>
      </c>
      <c r="C54" s="172">
        <v>117709</v>
      </c>
      <c r="D54" s="172">
        <v>106339</v>
      </c>
      <c r="E54" s="172">
        <v>117709</v>
      </c>
      <c r="F54" s="172">
        <v>139181</v>
      </c>
      <c r="G54" s="172">
        <v>143813</v>
      </c>
      <c r="H54" s="172">
        <v>139181</v>
      </c>
      <c r="I54" s="172">
        <v>196021</v>
      </c>
      <c r="J54" s="172">
        <v>196021</v>
      </c>
      <c r="K54" s="172">
        <v>126550</v>
      </c>
      <c r="L54" s="172">
        <v>130761</v>
      </c>
      <c r="M54" s="172">
        <v>126550</v>
      </c>
      <c r="N54" s="216">
        <v>117709</v>
      </c>
      <c r="O54" s="171">
        <v>1654895</v>
      </c>
      <c r="P54" s="170"/>
    </row>
    <row r="55" spans="1:16">
      <c r="A55" s="170"/>
      <c r="B55" s="463" t="s">
        <v>33</v>
      </c>
      <c r="C55" s="209" t="s">
        <v>117</v>
      </c>
      <c r="D55" s="209" t="s">
        <v>117</v>
      </c>
      <c r="E55" s="209" t="s">
        <v>117</v>
      </c>
      <c r="F55" s="209" t="s">
        <v>117</v>
      </c>
      <c r="G55" s="209" t="s">
        <v>117</v>
      </c>
      <c r="H55" s="209" t="s">
        <v>117</v>
      </c>
      <c r="I55" s="209" t="s">
        <v>117</v>
      </c>
      <c r="J55" s="209" t="s">
        <v>117</v>
      </c>
      <c r="K55" s="209" t="s">
        <v>117</v>
      </c>
      <c r="L55" s="209" t="s">
        <v>117</v>
      </c>
      <c r="M55" s="209" t="s">
        <v>117</v>
      </c>
      <c r="N55" s="209" t="s">
        <v>117</v>
      </c>
      <c r="O55" s="210">
        <v>1</v>
      </c>
      <c r="P55" s="170"/>
    </row>
    <row r="56" spans="1:16">
      <c r="A56" s="170"/>
      <c r="B56" s="461" t="s">
        <v>136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2">
        <v>1</v>
      </c>
      <c r="P56" s="170"/>
    </row>
    <row r="57" spans="1:16">
      <c r="A57" s="170"/>
      <c r="B57" s="461" t="s">
        <v>114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3">
        <v>1</v>
      </c>
      <c r="P57" s="170"/>
    </row>
    <row r="58" spans="1:16" ht="15" thickBot="1">
      <c r="A58" s="170"/>
      <c r="B58" s="462" t="s">
        <v>137</v>
      </c>
      <c r="C58" s="211" t="s">
        <v>117</v>
      </c>
      <c r="D58" s="211" t="s">
        <v>117</v>
      </c>
      <c r="E58" s="211" t="s">
        <v>117</v>
      </c>
      <c r="F58" s="211" t="s">
        <v>117</v>
      </c>
      <c r="G58" s="211" t="s">
        <v>117</v>
      </c>
      <c r="H58" s="211" t="s">
        <v>117</v>
      </c>
      <c r="I58" s="211" t="s">
        <v>117</v>
      </c>
      <c r="J58" s="211" t="s">
        <v>117</v>
      </c>
      <c r="K58" s="211" t="s">
        <v>117</v>
      </c>
      <c r="L58" s="211" t="s">
        <v>117</v>
      </c>
      <c r="M58" s="211" t="s">
        <v>117</v>
      </c>
      <c r="N58" s="211" t="s">
        <v>117</v>
      </c>
      <c r="O58" s="214">
        <v>1</v>
      </c>
      <c r="P58" s="170"/>
    </row>
    <row r="59" spans="1:16">
      <c r="B59" s="235" t="s">
        <v>43</v>
      </c>
      <c r="C59" s="236">
        <v>1200000</v>
      </c>
      <c r="D59" s="236">
        <v>1080000</v>
      </c>
      <c r="E59" s="236">
        <v>1200000</v>
      </c>
      <c r="F59" s="236">
        <v>1160000</v>
      </c>
      <c r="G59" s="236">
        <v>1200000</v>
      </c>
      <c r="H59" s="236">
        <v>1160000</v>
      </c>
      <c r="I59" s="236">
        <v>1200000</v>
      </c>
      <c r="J59" s="236">
        <v>1200000</v>
      </c>
      <c r="K59" s="236">
        <v>1160000</v>
      </c>
      <c r="L59" s="236">
        <v>1200000</v>
      </c>
      <c r="M59" s="236">
        <v>1160000</v>
      </c>
      <c r="N59" s="236">
        <v>1200000</v>
      </c>
      <c r="O59" s="236">
        <v>14120000</v>
      </c>
    </row>
    <row r="60" spans="1:16"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</row>
    <row r="61" spans="1:16">
      <c r="B61" s="475" t="s">
        <v>243</v>
      </c>
      <c r="C61" s="474"/>
      <c r="D61" s="474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</row>
    <row r="62" spans="1:16">
      <c r="B62" s="479" t="s">
        <v>244</v>
      </c>
      <c r="C62" s="491" t="s">
        <v>249</v>
      </c>
      <c r="D62" s="491"/>
      <c r="E62" s="170" t="s">
        <v>251</v>
      </c>
      <c r="F62" s="170"/>
      <c r="G62" s="170"/>
      <c r="H62" s="170"/>
      <c r="I62" s="170"/>
      <c r="J62" s="170"/>
      <c r="K62" s="170"/>
      <c r="L62" s="170"/>
      <c r="M62" s="473" t="s">
        <v>252</v>
      </c>
      <c r="N62" s="473"/>
      <c r="O62" s="170"/>
    </row>
    <row r="63" spans="1:16">
      <c r="B63" s="481" t="s">
        <v>245</v>
      </c>
      <c r="C63" s="476" t="s">
        <v>44</v>
      </c>
      <c r="D63" s="477" t="s">
        <v>145</v>
      </c>
      <c r="E63" s="476"/>
      <c r="F63" s="476"/>
      <c r="G63" s="476"/>
      <c r="H63" s="476"/>
      <c r="I63" s="476"/>
      <c r="J63" s="476"/>
      <c r="K63" s="476"/>
      <c r="L63" s="476"/>
      <c r="M63" s="476"/>
      <c r="N63" s="476"/>
    </row>
    <row r="64" spans="1:16">
      <c r="B64" s="482" t="s">
        <v>246</v>
      </c>
      <c r="C64" s="476" t="s">
        <v>44</v>
      </c>
      <c r="D64" s="477" t="s">
        <v>145</v>
      </c>
      <c r="E64" s="476"/>
      <c r="F64" s="476"/>
      <c r="G64" s="476"/>
      <c r="H64" s="476"/>
      <c r="I64" s="476"/>
      <c r="J64" s="476"/>
      <c r="K64" s="476"/>
      <c r="L64" s="476"/>
      <c r="M64" s="476"/>
      <c r="N64" s="476"/>
      <c r="O64" s="170"/>
    </row>
    <row r="65" spans="2:14">
      <c r="B65" s="483" t="s">
        <v>247</v>
      </c>
      <c r="C65" s="478"/>
      <c r="D65" s="478"/>
      <c r="E65" s="478"/>
      <c r="F65" s="478"/>
      <c r="G65" s="478"/>
      <c r="H65" s="478"/>
      <c r="I65" s="478"/>
      <c r="J65" s="478"/>
      <c r="K65" s="478"/>
      <c r="L65" s="478"/>
      <c r="M65" s="478"/>
      <c r="N65" s="478"/>
    </row>
    <row r="66" spans="2:14">
      <c r="B66" s="484" t="s">
        <v>248</v>
      </c>
      <c r="C66" s="478"/>
      <c r="D66" s="478"/>
      <c r="E66" s="478"/>
      <c r="F66" s="478"/>
      <c r="G66" s="478"/>
      <c r="H66" s="478"/>
      <c r="I66" s="478"/>
      <c r="J66" s="478"/>
      <c r="K66" s="478"/>
      <c r="L66" s="478"/>
      <c r="M66" s="478"/>
      <c r="N66" s="478"/>
    </row>
    <row r="67" spans="2:14">
      <c r="B67" s="485"/>
      <c r="C67" s="478"/>
      <c r="D67" s="478"/>
      <c r="E67" s="478"/>
      <c r="F67" s="478"/>
      <c r="G67" s="478"/>
      <c r="H67" s="478"/>
      <c r="I67" s="478"/>
      <c r="J67" s="478"/>
      <c r="K67" s="478"/>
      <c r="L67" s="478"/>
      <c r="M67" s="478"/>
      <c r="N67" s="478"/>
    </row>
    <row r="68" spans="2:14">
      <c r="B68" s="486" t="s">
        <v>33</v>
      </c>
      <c r="C68" s="478"/>
      <c r="D68" s="478"/>
      <c r="E68" s="478"/>
      <c r="F68" s="478"/>
      <c r="G68" s="478"/>
      <c r="H68" s="478"/>
      <c r="I68" s="478"/>
      <c r="J68" s="478"/>
      <c r="K68" s="478"/>
      <c r="L68" s="478"/>
      <c r="M68" s="478"/>
      <c r="N68" s="478"/>
    </row>
    <row r="69" spans="2:14">
      <c r="B69" s="487" t="s">
        <v>136</v>
      </c>
      <c r="C69" s="478"/>
      <c r="D69" s="478"/>
      <c r="E69" s="478"/>
      <c r="F69" s="478"/>
      <c r="G69" s="478"/>
      <c r="H69" s="478"/>
      <c r="I69" s="478"/>
      <c r="J69" s="478"/>
      <c r="K69" s="478"/>
      <c r="L69" s="478"/>
      <c r="M69" s="478"/>
      <c r="N69" s="478"/>
    </row>
    <row r="70" spans="2:14">
      <c r="B70" s="488" t="s">
        <v>114</v>
      </c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8"/>
    </row>
    <row r="71" spans="2:14">
      <c r="B71" s="489" t="s">
        <v>137</v>
      </c>
      <c r="C71" s="478"/>
      <c r="D71" s="478"/>
      <c r="E71" s="478"/>
      <c r="F71" s="478"/>
      <c r="G71" s="478"/>
      <c r="H71" s="478"/>
      <c r="I71" s="478"/>
      <c r="J71" s="478"/>
      <c r="K71" s="478"/>
      <c r="L71" s="478"/>
      <c r="M71" s="478"/>
      <c r="N71" s="478"/>
    </row>
    <row r="72" spans="2:14">
      <c r="B72" s="490"/>
      <c r="C72" s="380" t="s">
        <v>249</v>
      </c>
      <c r="D72" s="380"/>
      <c r="E72" s="380" t="s">
        <v>250</v>
      </c>
      <c r="F72" s="67"/>
      <c r="G72" s="67"/>
      <c r="H72" s="67"/>
      <c r="I72" s="67"/>
      <c r="J72" s="67"/>
      <c r="K72" s="67"/>
      <c r="L72" s="67"/>
      <c r="M72" s="459" t="s">
        <v>253</v>
      </c>
      <c r="N72" s="459"/>
    </row>
    <row r="73" spans="2:14">
      <c r="B73" s="481" t="s">
        <v>245</v>
      </c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</row>
    <row r="74" spans="2:14">
      <c r="B74" s="482" t="s">
        <v>246</v>
      </c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</row>
    <row r="75" spans="2:14">
      <c r="B75" s="483" t="s">
        <v>247</v>
      </c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</row>
    <row r="76" spans="2:14">
      <c r="B76" s="484" t="s">
        <v>248</v>
      </c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</row>
    <row r="77" spans="2:14">
      <c r="B77" s="485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</row>
    <row r="78" spans="2:14">
      <c r="B78" s="486" t="s">
        <v>33</v>
      </c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</row>
    <row r="79" spans="2:14">
      <c r="B79" s="487" t="s">
        <v>136</v>
      </c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</row>
    <row r="80" spans="2:14">
      <c r="B80" s="488" t="s">
        <v>114</v>
      </c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</row>
    <row r="81" spans="2:14">
      <c r="B81" s="489" t="s">
        <v>137</v>
      </c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</row>
    <row r="83" spans="2:14">
      <c r="B83" s="19">
        <v>25</v>
      </c>
      <c r="C83" s="19">
        <v>2100</v>
      </c>
      <c r="D83" s="57">
        <f>B83*C83</f>
        <v>52500</v>
      </c>
      <c r="E83" s="59">
        <f>D83/10000</f>
        <v>5.25</v>
      </c>
    </row>
  </sheetData>
  <mergeCells count="17">
    <mergeCell ref="M72:N72"/>
    <mergeCell ref="B32:O32"/>
    <mergeCell ref="B45:O45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  <mergeCell ref="B61:D61"/>
    <mergeCell ref="C62:D62"/>
    <mergeCell ref="M62:N62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0"/>
  <sheetViews>
    <sheetView tabSelected="1" topLeftCell="J1" zoomScale="125" zoomScaleNormal="125" zoomScalePageLayoutView="125" workbookViewId="0">
      <selection activeCell="T48" sqref="T48"/>
    </sheetView>
  </sheetViews>
  <sheetFormatPr baseColWidth="10" defaultRowHeight="14" x14ac:dyDescent="0"/>
  <cols>
    <col min="1" max="1" width="15.1640625" customWidth="1"/>
    <col min="2" max="2" width="18.83203125" customWidth="1"/>
    <col min="3" max="3" width="15.6640625" customWidth="1"/>
    <col min="4" max="4" width="14.83203125" customWidth="1"/>
    <col min="5" max="6" width="14" customWidth="1"/>
    <col min="7" max="7" width="15.5" customWidth="1"/>
    <col min="8" max="8" width="16.1640625" customWidth="1"/>
    <col min="9" max="9" width="15.33203125" customWidth="1"/>
    <col min="10" max="10" width="14.33203125" customWidth="1"/>
    <col min="11" max="11" width="14" customWidth="1"/>
    <col min="12" max="12" width="14.33203125" customWidth="1"/>
    <col min="13" max="13" width="14.83203125" customWidth="1"/>
    <col min="14" max="14" width="15.1640625" customWidth="1"/>
    <col min="15" max="15" width="15.6640625" style="19" customWidth="1"/>
    <col min="16" max="16" width="14.6640625" style="19" customWidth="1"/>
    <col min="17" max="18" width="15.1640625" style="19" customWidth="1"/>
    <col min="19" max="19" width="21.33203125" customWidth="1"/>
    <col min="20" max="20" width="23.33203125" customWidth="1"/>
    <col min="21" max="21" width="29.5" style="19" bestFit="1" customWidth="1"/>
    <col min="22" max="22" width="27.6640625" style="19" customWidth="1"/>
    <col min="23" max="23" width="13.33203125" style="19" bestFit="1" customWidth="1"/>
    <col min="24" max="24" width="26.5" bestFit="1" customWidth="1"/>
    <col min="25" max="25" width="20.83203125" style="19" bestFit="1" customWidth="1"/>
    <col min="31" max="31" width="12.5" bestFit="1" customWidth="1"/>
  </cols>
  <sheetData>
    <row r="1" spans="1:25" ht="25">
      <c r="A1" s="43" t="s">
        <v>228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2"/>
      <c r="U1" s="44" t="s">
        <v>21</v>
      </c>
      <c r="V1" s="45"/>
    </row>
    <row r="2" spans="1:25">
      <c r="T2" s="71"/>
      <c r="U2" s="11" t="s">
        <v>40</v>
      </c>
      <c r="V2" s="35">
        <v>0</v>
      </c>
    </row>
    <row r="3" spans="1:25" s="19" customFormat="1" ht="25">
      <c r="A3"/>
      <c r="B3" s="47" t="s">
        <v>224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580"/>
      <c r="U3" s="11" t="s">
        <v>223</v>
      </c>
      <c r="V3" s="54">
        <v>2100</v>
      </c>
    </row>
    <row r="4" spans="1:25" ht="15" thickBot="1">
      <c r="B4" s="5"/>
      <c r="C4" s="5">
        <v>2025</v>
      </c>
      <c r="D4" s="5">
        <v>2026</v>
      </c>
      <c r="E4" s="5">
        <v>2027</v>
      </c>
      <c r="F4" s="5">
        <v>2028</v>
      </c>
      <c r="G4" s="5">
        <v>2029</v>
      </c>
      <c r="H4" s="5">
        <v>2030</v>
      </c>
      <c r="I4" s="5">
        <v>2031</v>
      </c>
      <c r="J4" s="5">
        <v>2032</v>
      </c>
      <c r="K4" s="5">
        <v>2033</v>
      </c>
      <c r="L4" s="5">
        <v>2034</v>
      </c>
      <c r="M4" s="5">
        <v>2035</v>
      </c>
      <c r="N4" s="5">
        <v>2036</v>
      </c>
      <c r="O4" s="5">
        <v>2037</v>
      </c>
      <c r="P4" s="5">
        <v>2038</v>
      </c>
      <c r="Q4" s="5">
        <v>2039</v>
      </c>
      <c r="R4" s="5">
        <v>2040</v>
      </c>
      <c r="S4" s="65" t="s">
        <v>11</v>
      </c>
      <c r="T4" s="593" t="s">
        <v>294</v>
      </c>
      <c r="U4" s="584" t="s">
        <v>17</v>
      </c>
      <c r="V4" s="36">
        <v>9.1700000000000004E-2</v>
      </c>
    </row>
    <row r="5" spans="1:25" ht="15" thickBot="1">
      <c r="B5" s="3" t="s">
        <v>286</v>
      </c>
      <c r="C5" s="57">
        <v>50000</v>
      </c>
      <c r="D5" s="57">
        <v>50000</v>
      </c>
      <c r="E5" s="57">
        <v>50000</v>
      </c>
      <c r="F5" s="57">
        <v>50000</v>
      </c>
      <c r="G5" s="57">
        <v>50000</v>
      </c>
      <c r="H5" s="57">
        <v>50000</v>
      </c>
      <c r="I5" s="57">
        <v>50000</v>
      </c>
      <c r="J5" s="57">
        <v>50000</v>
      </c>
      <c r="K5" s="57">
        <v>50000</v>
      </c>
      <c r="L5" s="57">
        <v>50000</v>
      </c>
      <c r="M5" s="57">
        <v>50000</v>
      </c>
      <c r="N5" s="57">
        <v>50000</v>
      </c>
      <c r="O5" s="57">
        <v>50000</v>
      </c>
      <c r="P5" s="57">
        <v>50000</v>
      </c>
      <c r="Q5" s="57">
        <v>50000</v>
      </c>
      <c r="R5" s="57">
        <v>50000</v>
      </c>
      <c r="S5" s="69">
        <v>50000</v>
      </c>
      <c r="T5" s="594">
        <f>S5/1000</f>
        <v>50</v>
      </c>
    </row>
    <row r="6" spans="1:25" ht="15" thickTop="1">
      <c r="B6" s="4" t="s">
        <v>127</v>
      </c>
      <c r="C6" s="57">
        <v>10000</v>
      </c>
      <c r="D6" s="57">
        <v>10000</v>
      </c>
      <c r="E6" s="57">
        <v>10000</v>
      </c>
      <c r="F6" s="57">
        <v>10000</v>
      </c>
      <c r="G6" s="57">
        <v>10000</v>
      </c>
      <c r="H6" s="57">
        <v>10000</v>
      </c>
      <c r="I6" s="57">
        <v>10000</v>
      </c>
      <c r="J6" s="57">
        <v>10000</v>
      </c>
      <c r="K6" s="57">
        <v>10000</v>
      </c>
      <c r="L6" s="57">
        <v>10000</v>
      </c>
      <c r="M6" s="57">
        <v>10000</v>
      </c>
      <c r="N6" s="57">
        <v>10000</v>
      </c>
      <c r="O6" s="57">
        <v>10000</v>
      </c>
      <c r="P6" s="57">
        <v>10000</v>
      </c>
      <c r="Q6" s="57">
        <v>10000</v>
      </c>
      <c r="R6" s="57">
        <v>10000</v>
      </c>
      <c r="S6" s="69">
        <v>10000</v>
      </c>
      <c r="T6" s="594">
        <f t="shared" ref="T6:T8" si="0">S6/1000</f>
        <v>10</v>
      </c>
      <c r="U6" s="585" t="s">
        <v>22</v>
      </c>
      <c r="V6" s="51"/>
      <c r="X6" s="28" t="s">
        <v>31</v>
      </c>
      <c r="Y6" s="29" t="s">
        <v>37</v>
      </c>
    </row>
    <row r="7" spans="1:25" ht="15" thickBot="1">
      <c r="B7" s="7" t="s">
        <v>287</v>
      </c>
      <c r="C7" s="58">
        <f>C5-C6</f>
        <v>40000</v>
      </c>
      <c r="D7" s="58">
        <f t="shared" ref="D7:Q7" si="1">D5-D6</f>
        <v>40000</v>
      </c>
      <c r="E7" s="58">
        <f t="shared" si="1"/>
        <v>40000</v>
      </c>
      <c r="F7" s="58">
        <f t="shared" si="1"/>
        <v>40000</v>
      </c>
      <c r="G7" s="58">
        <f t="shared" si="1"/>
        <v>40000</v>
      </c>
      <c r="H7" s="58">
        <f t="shared" si="1"/>
        <v>40000</v>
      </c>
      <c r="I7" s="58">
        <f t="shared" si="1"/>
        <v>40000</v>
      </c>
      <c r="J7" s="58">
        <f t="shared" si="1"/>
        <v>40000</v>
      </c>
      <c r="K7" s="58">
        <f t="shared" si="1"/>
        <v>40000</v>
      </c>
      <c r="L7" s="58">
        <f t="shared" si="1"/>
        <v>40000</v>
      </c>
      <c r="M7" s="58">
        <f t="shared" si="1"/>
        <v>40000</v>
      </c>
      <c r="N7" s="58">
        <f t="shared" si="1"/>
        <v>40000</v>
      </c>
      <c r="O7" s="58">
        <f t="shared" si="1"/>
        <v>40000</v>
      </c>
      <c r="P7" s="58">
        <f t="shared" si="1"/>
        <v>40000</v>
      </c>
      <c r="Q7" s="58">
        <f t="shared" si="1"/>
        <v>40000</v>
      </c>
      <c r="R7" s="58">
        <f>'2040'!O11</f>
        <v>226200000</v>
      </c>
      <c r="S7" s="56">
        <f>SUM(C7:R7)</f>
        <v>226800000</v>
      </c>
      <c r="T7" s="594">
        <f t="shared" si="0"/>
        <v>226800</v>
      </c>
      <c r="U7" s="586" t="s">
        <v>28</v>
      </c>
      <c r="V7" s="37">
        <v>22000</v>
      </c>
      <c r="W7" s="9"/>
      <c r="X7" s="30">
        <f>V7-W21</f>
        <v>21998.532800000001</v>
      </c>
      <c r="Y7" s="32">
        <f>$V$7/$W$21*(((COUNT($C$21:$R$21))))</f>
        <v>239912.75899672846</v>
      </c>
    </row>
    <row r="8" spans="1:25" ht="16" thickTop="1" thickBot="1">
      <c r="B8" s="17" t="s">
        <v>12</v>
      </c>
      <c r="C8" s="17" t="s">
        <v>44</v>
      </c>
      <c r="D8" s="17"/>
      <c r="E8" s="17">
        <f t="shared" ref="E8:R8" si="2">SUM(E5:E7)</f>
        <v>100000</v>
      </c>
      <c r="F8" s="17">
        <f t="shared" si="2"/>
        <v>100000</v>
      </c>
      <c r="G8" s="17">
        <f t="shared" si="2"/>
        <v>100000</v>
      </c>
      <c r="H8" s="17">
        <f t="shared" si="2"/>
        <v>100000</v>
      </c>
      <c r="I8" s="17">
        <f t="shared" si="2"/>
        <v>100000</v>
      </c>
      <c r="J8" s="17">
        <f t="shared" si="2"/>
        <v>100000</v>
      </c>
      <c r="K8" s="17">
        <f t="shared" si="2"/>
        <v>100000</v>
      </c>
      <c r="L8" s="17">
        <f t="shared" si="2"/>
        <v>100000</v>
      </c>
      <c r="M8" s="17">
        <f t="shared" si="2"/>
        <v>100000</v>
      </c>
      <c r="N8" s="18">
        <f t="shared" si="2"/>
        <v>100000</v>
      </c>
      <c r="O8" s="18">
        <f t="shared" si="2"/>
        <v>100000</v>
      </c>
      <c r="P8" s="18">
        <f t="shared" si="2"/>
        <v>100000</v>
      </c>
      <c r="Q8" s="18">
        <f t="shared" si="2"/>
        <v>100000</v>
      </c>
      <c r="R8" s="18">
        <f t="shared" si="2"/>
        <v>226260000</v>
      </c>
      <c r="S8" s="581">
        <f>SUM(S5:S7)</f>
        <v>226860000</v>
      </c>
      <c r="T8" s="594">
        <f t="shared" si="0"/>
        <v>226860</v>
      </c>
      <c r="U8" s="587" t="s">
        <v>27</v>
      </c>
      <c r="V8" s="38">
        <v>6800</v>
      </c>
      <c r="W8" s="9"/>
      <c r="X8" s="31">
        <f>'2040'!U8</f>
        <v>4998685.8</v>
      </c>
      <c r="Y8" s="33">
        <f>V8/X9*(((COUNT(C21:R21))))</f>
        <v>-2.1795370398898149E-2</v>
      </c>
    </row>
    <row r="9" spans="1:25" ht="15" thickBot="1">
      <c r="B9" s="497" t="s">
        <v>115</v>
      </c>
      <c r="C9" s="210">
        <v>1</v>
      </c>
      <c r="D9" s="210">
        <v>1</v>
      </c>
      <c r="E9" s="210">
        <v>1</v>
      </c>
      <c r="F9" s="210">
        <v>1</v>
      </c>
      <c r="G9" s="210">
        <v>1</v>
      </c>
      <c r="H9" s="210">
        <v>1</v>
      </c>
      <c r="I9" s="210">
        <v>1</v>
      </c>
      <c r="J9" s="210">
        <v>1</v>
      </c>
      <c r="K9" s="210">
        <v>1</v>
      </c>
      <c r="L9" s="210">
        <v>1</v>
      </c>
      <c r="M9" s="210">
        <v>1</v>
      </c>
      <c r="N9" s="210">
        <v>1</v>
      </c>
      <c r="O9" s="210">
        <v>1</v>
      </c>
      <c r="P9" s="210">
        <v>1</v>
      </c>
      <c r="Q9" s="210">
        <v>1</v>
      </c>
      <c r="R9" s="210">
        <v>1</v>
      </c>
      <c r="S9" s="582">
        <f>SUM(C9:R9)</f>
        <v>16</v>
      </c>
      <c r="T9" s="593"/>
      <c r="X9" s="34">
        <f>V8-X8</f>
        <v>-4991885.8</v>
      </c>
    </row>
    <row r="10" spans="1:25" ht="15" thickBot="1">
      <c r="B10" s="497" t="s">
        <v>116</v>
      </c>
      <c r="C10" s="212">
        <v>1</v>
      </c>
      <c r="D10" s="212">
        <v>1</v>
      </c>
      <c r="E10" s="212">
        <v>1</v>
      </c>
      <c r="F10" s="212">
        <v>1</v>
      </c>
      <c r="G10" s="212">
        <v>1</v>
      </c>
      <c r="H10" s="212">
        <v>1</v>
      </c>
      <c r="I10" s="212">
        <v>1</v>
      </c>
      <c r="J10" s="212">
        <v>1</v>
      </c>
      <c r="K10" s="212">
        <v>1</v>
      </c>
      <c r="L10" s="212">
        <v>1</v>
      </c>
      <c r="M10" s="212">
        <v>1</v>
      </c>
      <c r="N10" s="212">
        <v>1</v>
      </c>
      <c r="O10" s="212">
        <v>1</v>
      </c>
      <c r="P10" s="212">
        <v>1</v>
      </c>
      <c r="Q10" s="212">
        <v>1</v>
      </c>
      <c r="R10" s="212">
        <v>1</v>
      </c>
      <c r="S10" s="582">
        <f>SUM(C10:R10)</f>
        <v>16</v>
      </c>
      <c r="T10" s="593"/>
      <c r="U10" s="588" t="s">
        <v>23</v>
      </c>
      <c r="V10" s="48"/>
    </row>
    <row r="11" spans="1:25" ht="15" thickBot="1">
      <c r="B11" s="497" t="s">
        <v>105</v>
      </c>
      <c r="C11" s="213">
        <v>1</v>
      </c>
      <c r="D11" s="213">
        <v>1</v>
      </c>
      <c r="E11" s="213">
        <v>1</v>
      </c>
      <c r="F11" s="213">
        <v>1</v>
      </c>
      <c r="G11" s="213">
        <v>1</v>
      </c>
      <c r="H11" s="213">
        <v>1</v>
      </c>
      <c r="I11" s="213">
        <v>1</v>
      </c>
      <c r="J11" s="213">
        <v>1</v>
      </c>
      <c r="K11" s="213">
        <v>1</v>
      </c>
      <c r="L11" s="213">
        <v>1</v>
      </c>
      <c r="M11" s="213">
        <v>1</v>
      </c>
      <c r="N11" s="213">
        <v>1</v>
      </c>
      <c r="O11" s="213">
        <v>1</v>
      </c>
      <c r="P11" s="213">
        <v>1</v>
      </c>
      <c r="Q11" s="213">
        <v>1</v>
      </c>
      <c r="R11" s="213">
        <v>1</v>
      </c>
      <c r="S11" s="582">
        <f>SUM(C11:R11)</f>
        <v>16</v>
      </c>
      <c r="T11" s="593"/>
      <c r="U11" s="589" t="s">
        <v>0</v>
      </c>
      <c r="V11" s="12" t="e">
        <f>#REF!/S8</f>
        <v>#REF!</v>
      </c>
    </row>
    <row r="12" spans="1:25" ht="15" customHeight="1" thickBot="1">
      <c r="A12" s="19"/>
      <c r="B12" s="498" t="s">
        <v>126</v>
      </c>
      <c r="C12" s="214">
        <v>1</v>
      </c>
      <c r="D12" s="214">
        <v>1</v>
      </c>
      <c r="E12" s="214">
        <v>1</v>
      </c>
      <c r="F12" s="214">
        <v>1</v>
      </c>
      <c r="G12" s="214">
        <v>1</v>
      </c>
      <c r="H12" s="214">
        <v>1</v>
      </c>
      <c r="I12" s="214">
        <v>1</v>
      </c>
      <c r="J12" s="214">
        <v>1</v>
      </c>
      <c r="K12" s="214">
        <v>1</v>
      </c>
      <c r="L12" s="214">
        <v>1</v>
      </c>
      <c r="M12" s="214">
        <v>1</v>
      </c>
      <c r="N12" s="214">
        <v>1</v>
      </c>
      <c r="O12" s="214">
        <v>1</v>
      </c>
      <c r="P12" s="214">
        <v>1</v>
      </c>
      <c r="Q12" s="214">
        <v>1</v>
      </c>
      <c r="R12" s="214">
        <v>1</v>
      </c>
      <c r="S12" s="582">
        <f>SUM(C12:R13)</f>
        <v>16</v>
      </c>
      <c r="T12" s="593"/>
      <c r="U12" s="590" t="s">
        <v>1</v>
      </c>
      <c r="V12" s="13" t="e">
        <f>#REF!/S20</f>
        <v>#REF!</v>
      </c>
    </row>
    <row r="13" spans="1:25" s="19" customFormat="1" ht="14" customHeight="1">
      <c r="A13"/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7"/>
      <c r="N13" s="567"/>
      <c r="O13" s="567"/>
      <c r="P13" s="567"/>
      <c r="Q13" s="567"/>
      <c r="R13" s="567"/>
      <c r="S13" s="567"/>
      <c r="T13" s="593"/>
    </row>
    <row r="14" spans="1:25" ht="15" thickBot="1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S14" s="19"/>
      <c r="T14" s="593"/>
      <c r="V14" s="9"/>
    </row>
    <row r="15" spans="1:25" ht="25">
      <c r="B15" s="46" t="s">
        <v>30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593"/>
      <c r="U15" s="591" t="s">
        <v>24</v>
      </c>
      <c r="V15" s="49"/>
    </row>
    <row r="16" spans="1:25">
      <c r="B16" s="5"/>
      <c r="C16" s="5">
        <v>2025</v>
      </c>
      <c r="D16" s="5">
        <v>2026</v>
      </c>
      <c r="E16" s="5">
        <v>2027</v>
      </c>
      <c r="F16" s="5">
        <v>2028</v>
      </c>
      <c r="G16" s="5">
        <v>2029</v>
      </c>
      <c r="H16" s="5">
        <v>2030</v>
      </c>
      <c r="I16" s="5">
        <v>2031</v>
      </c>
      <c r="J16" s="5">
        <v>2032</v>
      </c>
      <c r="K16" s="5">
        <v>2033</v>
      </c>
      <c r="L16" s="5">
        <v>2034</v>
      </c>
      <c r="M16" s="5">
        <v>2035</v>
      </c>
      <c r="N16" s="5">
        <v>2036</v>
      </c>
      <c r="O16" s="5">
        <v>2037</v>
      </c>
      <c r="P16" s="5">
        <v>2038</v>
      </c>
      <c r="Q16" s="5">
        <v>2039</v>
      </c>
      <c r="R16" s="5">
        <v>2040</v>
      </c>
      <c r="S16" s="65" t="s">
        <v>11</v>
      </c>
      <c r="T16" s="593"/>
      <c r="U16" s="72" t="s">
        <v>14</v>
      </c>
      <c r="V16" s="598">
        <f>S18</f>
        <v>225920000</v>
      </c>
      <c r="X16" s="20"/>
    </row>
    <row r="17" spans="2:30">
      <c r="B17" s="3" t="s">
        <v>225</v>
      </c>
      <c r="C17" s="62">
        <f>'2025'!O20</f>
        <v>8895600</v>
      </c>
      <c r="D17" s="62">
        <f>'2026'!O20</f>
        <v>8895600</v>
      </c>
      <c r="E17" s="62">
        <f>'2027'!O20</f>
        <v>8895600</v>
      </c>
      <c r="F17" s="62">
        <f>'2028'!O20</f>
        <v>8895600</v>
      </c>
      <c r="G17" s="62">
        <f>'2029'!O20</f>
        <v>8895600</v>
      </c>
      <c r="H17" s="62">
        <f>'2030'!O20</f>
        <v>8895600</v>
      </c>
      <c r="I17" s="62">
        <f>'2031'!O20</f>
        <v>8895600</v>
      </c>
      <c r="J17" s="62">
        <f>'2032'!O20</f>
        <v>8895600</v>
      </c>
      <c r="K17" s="62">
        <f>'2033'!O20</f>
        <v>8895600</v>
      </c>
      <c r="L17" s="62">
        <f>'2034'!O20</f>
        <v>8895600</v>
      </c>
      <c r="M17" s="62">
        <f>'2035'!O20</f>
        <v>8895600</v>
      </c>
      <c r="N17" s="62">
        <f>'2036'!O20</f>
        <v>8895600</v>
      </c>
      <c r="O17" s="62">
        <f>'2037'!O20</f>
        <v>8895600</v>
      </c>
      <c r="P17" s="62">
        <f>'2038'!O20</f>
        <v>8895600</v>
      </c>
      <c r="Q17" s="62">
        <f>'2039'!O20</f>
        <v>8895600</v>
      </c>
      <c r="R17" s="62">
        <f>'2040'!O20</f>
        <v>8895600</v>
      </c>
      <c r="S17" s="69">
        <f>SUM(C17:R17)</f>
        <v>142329600</v>
      </c>
      <c r="T17" s="594">
        <f t="shared" ref="T17:T20" si="3">S17/1000</f>
        <v>142329.60000000001</v>
      </c>
      <c r="U17" s="72" t="s">
        <v>13</v>
      </c>
      <c r="V17" s="14">
        <f>S6</f>
        <v>10000</v>
      </c>
    </row>
    <row r="18" spans="2:30">
      <c r="B18" s="1" t="s">
        <v>226</v>
      </c>
      <c r="C18" s="60">
        <f>'2025'!O13</f>
        <v>14120000</v>
      </c>
      <c r="D18" s="60">
        <f>'2026'!O13</f>
        <v>14120000</v>
      </c>
      <c r="E18" s="60">
        <f>'2027'!O13</f>
        <v>14120000</v>
      </c>
      <c r="F18" s="60">
        <f>'2028'!O13</f>
        <v>14120000</v>
      </c>
      <c r="G18" s="60">
        <f>'2029'!O13</f>
        <v>14120000</v>
      </c>
      <c r="H18" s="60">
        <f>'2030'!O13</f>
        <v>14120000</v>
      </c>
      <c r="I18" s="60">
        <f>'2031'!O13</f>
        <v>14120000</v>
      </c>
      <c r="J18" s="60">
        <f>'2032'!O13</f>
        <v>14120000</v>
      </c>
      <c r="K18" s="60">
        <f>'2033'!O13</f>
        <v>14120000</v>
      </c>
      <c r="L18" s="60">
        <f>'2034'!O13</f>
        <v>14120000</v>
      </c>
      <c r="M18" s="60">
        <f>'2035'!O13</f>
        <v>14120000</v>
      </c>
      <c r="N18" s="60">
        <f>'2036'!O13</f>
        <v>14120000</v>
      </c>
      <c r="O18" s="60">
        <f>'2037'!O13</f>
        <v>14120000</v>
      </c>
      <c r="P18" s="60">
        <f>'2038'!O13</f>
        <v>14120000</v>
      </c>
      <c r="Q18" s="60">
        <f>'2039'!O13</f>
        <v>14120000</v>
      </c>
      <c r="R18" s="60">
        <f>'2040'!O13</f>
        <v>14120000</v>
      </c>
      <c r="S18" s="69">
        <f>SUM(C18:R18)</f>
        <v>225920000</v>
      </c>
      <c r="T18" s="594">
        <f t="shared" si="3"/>
        <v>225920</v>
      </c>
      <c r="U18" s="72" t="s">
        <v>15</v>
      </c>
      <c r="V18" s="14">
        <f>100/V16*V17</f>
        <v>4.4263456090651559E-3</v>
      </c>
    </row>
    <row r="19" spans="2:30" s="19" customFormat="1" ht="15" thickBot="1">
      <c r="B19" s="8" t="s">
        <v>227</v>
      </c>
      <c r="C19" s="61">
        <f>'2025'!O46</f>
        <v>825300</v>
      </c>
      <c r="D19" s="61">
        <f>'2026'!O46</f>
        <v>825300</v>
      </c>
      <c r="E19" s="61">
        <f>'2027'!O46</f>
        <v>825300</v>
      </c>
      <c r="F19" s="61">
        <f>'2028'!O46</f>
        <v>825300</v>
      </c>
      <c r="G19" s="61">
        <f>'2029'!O46</f>
        <v>825300</v>
      </c>
      <c r="H19" s="61">
        <f>'2030'!O46</f>
        <v>825300</v>
      </c>
      <c r="I19" s="61">
        <f>'2031'!O46</f>
        <v>825300</v>
      </c>
      <c r="J19" s="61">
        <f>'2032'!O46</f>
        <v>825300</v>
      </c>
      <c r="K19" s="61">
        <f>'2033'!O46</f>
        <v>825300</v>
      </c>
      <c r="L19" s="61">
        <f>'2034'!O46</f>
        <v>825300</v>
      </c>
      <c r="M19" s="61">
        <f>'2035'!O46</f>
        <v>825300</v>
      </c>
      <c r="N19" s="61">
        <f>'2036'!O46</f>
        <v>825300</v>
      </c>
      <c r="O19" s="61">
        <f>'2037'!O46</f>
        <v>825300</v>
      </c>
      <c r="P19" s="61">
        <f>'2038'!O46</f>
        <v>825300</v>
      </c>
      <c r="Q19" s="61">
        <f>'2039'!O46</f>
        <v>825300</v>
      </c>
      <c r="R19" s="61">
        <f>'2040'!O47</f>
        <v>825300</v>
      </c>
      <c r="S19" s="56">
        <f>SUM(C19:R19)</f>
        <v>13204800</v>
      </c>
      <c r="T19" s="594">
        <f t="shared" si="3"/>
        <v>13204.8</v>
      </c>
      <c r="U19" s="592" t="s">
        <v>16</v>
      </c>
      <c r="V19" s="15">
        <f>100-V18</f>
        <v>99.995573654390938</v>
      </c>
      <c r="X19"/>
      <c r="Z19"/>
    </row>
    <row r="20" spans="2:30" s="19" customFormat="1" ht="16" thickTop="1" thickBot="1">
      <c r="B20" s="6" t="s">
        <v>12</v>
      </c>
      <c r="C20" s="73">
        <f>C17+C18+C19</f>
        <v>23840900</v>
      </c>
      <c r="D20" s="73">
        <f t="shared" ref="D20:R20" si="4">D17+D18+D19</f>
        <v>23840900</v>
      </c>
      <c r="E20" s="73">
        <f t="shared" si="4"/>
        <v>23840900</v>
      </c>
      <c r="F20" s="73">
        <f t="shared" si="4"/>
        <v>23840900</v>
      </c>
      <c r="G20" s="73">
        <f t="shared" si="4"/>
        <v>23840900</v>
      </c>
      <c r="H20" s="73">
        <f t="shared" si="4"/>
        <v>23840900</v>
      </c>
      <c r="I20" s="73">
        <f t="shared" si="4"/>
        <v>23840900</v>
      </c>
      <c r="J20" s="73">
        <f t="shared" si="4"/>
        <v>23840900</v>
      </c>
      <c r="K20" s="73">
        <f t="shared" si="4"/>
        <v>23840900</v>
      </c>
      <c r="L20" s="73">
        <f t="shared" si="4"/>
        <v>23840900</v>
      </c>
      <c r="M20" s="73">
        <f t="shared" si="4"/>
        <v>23840900</v>
      </c>
      <c r="N20" s="73">
        <f t="shared" si="4"/>
        <v>23840900</v>
      </c>
      <c r="O20" s="73">
        <f t="shared" si="4"/>
        <v>23840900</v>
      </c>
      <c r="P20" s="73">
        <f t="shared" si="4"/>
        <v>23840900</v>
      </c>
      <c r="Q20" s="73">
        <f t="shared" si="4"/>
        <v>23840900</v>
      </c>
      <c r="R20" s="73">
        <f t="shared" si="4"/>
        <v>23840900</v>
      </c>
      <c r="S20" s="583">
        <f>SUM(S17:S19)</f>
        <v>381454400</v>
      </c>
      <c r="T20" s="594">
        <f t="shared" si="3"/>
        <v>381454.4</v>
      </c>
      <c r="X20"/>
      <c r="Z20"/>
    </row>
    <row r="21" spans="2:30" s="19" customFormat="1">
      <c r="B21" s="23" t="s">
        <v>33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f t="shared" ref="D21:R21" si="5">IF(J20&gt;0,J20/$V$3,"")</f>
        <v>11352.809523809523</v>
      </c>
      <c r="K21" s="26">
        <v>0</v>
      </c>
      <c r="L21" s="26">
        <v>0</v>
      </c>
      <c r="M21" s="26">
        <v>0</v>
      </c>
      <c r="N21" s="26">
        <v>0</v>
      </c>
      <c r="O21" s="26">
        <f t="shared" si="5"/>
        <v>11352.809523809523</v>
      </c>
      <c r="P21" s="26">
        <v>0</v>
      </c>
      <c r="Q21" s="26">
        <v>0</v>
      </c>
      <c r="R21" s="604">
        <f t="shared" si="5"/>
        <v>11352.809523809523</v>
      </c>
      <c r="S21" s="608">
        <v>0</v>
      </c>
      <c r="T21" s="593"/>
      <c r="U21" s="595" t="s">
        <v>25</v>
      </c>
      <c r="V21" s="50"/>
      <c r="W21" s="52">
        <f>V4*S11</f>
        <v>1.4672000000000001</v>
      </c>
      <c r="X21" s="21" t="s">
        <v>32</v>
      </c>
      <c r="Z21"/>
    </row>
    <row r="22" spans="2:30">
      <c r="B22" s="24" t="s">
        <v>34</v>
      </c>
      <c r="C22" s="27">
        <f>IF(C8&gt;0,C18/365,"")</f>
        <v>38684.931506849316</v>
      </c>
      <c r="D22" s="27">
        <v>0</v>
      </c>
      <c r="E22" s="27">
        <v>0</v>
      </c>
      <c r="F22" s="27">
        <f>IF(F8&gt;0,F18/365,"")</f>
        <v>38684.931506849316</v>
      </c>
      <c r="G22" s="27">
        <f>IF(G8&gt;0,G18/365,"")</f>
        <v>38684.931506849316</v>
      </c>
      <c r="H22" s="27">
        <f>IF(H8&gt;0,H18/365,"")</f>
        <v>38684.931506849316</v>
      </c>
      <c r="I22" s="27">
        <f>IF(I8&gt;0,I18/365,"")</f>
        <v>38684.931506849316</v>
      </c>
      <c r="J22" s="27">
        <f>IF(J8&gt;0,J18/365,"")</f>
        <v>38684.931506849316</v>
      </c>
      <c r="K22" s="27">
        <f>IF(K8&gt;0,K18/365,"")</f>
        <v>38684.931506849316</v>
      </c>
      <c r="L22" s="27">
        <f>IF(L8&gt;0,L18/365,"")</f>
        <v>38684.931506849316</v>
      </c>
      <c r="M22" s="27">
        <f>IF(M8&gt;0,M18/365,"")</f>
        <v>38684.931506849316</v>
      </c>
      <c r="N22" s="27">
        <f>IF(N8&gt;0,N18/365,"")</f>
        <v>38684.931506849316</v>
      </c>
      <c r="O22" s="27">
        <f>IF(O8&gt;0,O18/365,"")</f>
        <v>38684.931506849316</v>
      </c>
      <c r="P22" s="27">
        <f>IF(P8&gt;0,P18/365,"")</f>
        <v>38684.931506849316</v>
      </c>
      <c r="Q22" s="27">
        <f>IF(Q8&gt;0,Q18/365,"")</f>
        <v>38684.931506849316</v>
      </c>
      <c r="R22" s="605">
        <v>0</v>
      </c>
      <c r="S22" s="608">
        <v>0</v>
      </c>
      <c r="T22" s="593"/>
      <c r="U22" s="63" t="s">
        <v>229</v>
      </c>
      <c r="V22" s="16">
        <f>S7</f>
        <v>226800000</v>
      </c>
      <c r="W22" s="53"/>
      <c r="X22" s="40">
        <f>1/Gesamt!V7*W21</f>
        <v>6.6690909090909092E-5</v>
      </c>
    </row>
    <row r="23" spans="2:30" ht="15" thickBot="1">
      <c r="B23" s="24" t="s">
        <v>35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606">
        <v>0</v>
      </c>
      <c r="S23" s="609">
        <v>0</v>
      </c>
      <c r="T23" s="593"/>
      <c r="U23" s="63" t="s">
        <v>230</v>
      </c>
      <c r="V23" s="68">
        <f>S7*V4</f>
        <v>20797560</v>
      </c>
      <c r="W23" s="42"/>
      <c r="X23" s="41"/>
    </row>
    <row r="24" spans="2:30" ht="15" thickBot="1">
      <c r="B24" s="25" t="s">
        <v>36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607">
        <v>0</v>
      </c>
      <c r="S24" s="610">
        <v>0</v>
      </c>
      <c r="T24" s="596"/>
      <c r="U24" s="63" t="s">
        <v>231</v>
      </c>
      <c r="V24" s="16" t="s">
        <v>44</v>
      </c>
      <c r="W24" s="460"/>
      <c r="X24" s="460"/>
    </row>
    <row r="25" spans="2:30">
      <c r="L25" t="s">
        <v>44</v>
      </c>
      <c r="T25" s="599" t="s">
        <v>295</v>
      </c>
      <c r="U25" s="600"/>
      <c r="V25" s="600"/>
      <c r="W25" s="601"/>
    </row>
    <row r="26" spans="2:30">
      <c r="T26" s="490" t="s">
        <v>296</v>
      </c>
      <c r="U26" s="612">
        <v>4</v>
      </c>
      <c r="V26" s="602" t="s">
        <v>313</v>
      </c>
      <c r="W26" s="615"/>
    </row>
    <row r="27" spans="2:30"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473" t="s">
        <v>254</v>
      </c>
      <c r="N27" s="473"/>
      <c r="O27" s="170"/>
      <c r="T27" s="490" t="s">
        <v>297</v>
      </c>
      <c r="U27" s="612">
        <v>800</v>
      </c>
      <c r="V27" s="602" t="s">
        <v>315</v>
      </c>
      <c r="W27" s="615"/>
    </row>
    <row r="28" spans="2:30">
      <c r="B28" s="475" t="s">
        <v>243</v>
      </c>
      <c r="C28" s="474"/>
      <c r="D28" s="474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T28" s="490" t="s">
        <v>298</v>
      </c>
      <c r="U28" s="613">
        <v>0.21</v>
      </c>
      <c r="V28" s="602" t="s">
        <v>58</v>
      </c>
      <c r="W28" s="616"/>
      <c r="X28" s="19"/>
      <c r="Y28"/>
    </row>
    <row r="29" spans="2:30">
      <c r="B29" s="479" t="s">
        <v>244</v>
      </c>
      <c r="C29" s="491" t="s">
        <v>249</v>
      </c>
      <c r="D29" s="491"/>
      <c r="E29" s="170" t="s">
        <v>251</v>
      </c>
      <c r="F29" s="170"/>
      <c r="G29" s="170"/>
      <c r="H29" s="170"/>
      <c r="I29" s="170"/>
      <c r="J29" s="170"/>
      <c r="K29" s="170"/>
      <c r="L29" s="170"/>
      <c r="M29" s="473" t="s">
        <v>252</v>
      </c>
      <c r="N29" s="473"/>
      <c r="O29" s="170"/>
      <c r="T29" s="490" t="s">
        <v>299</v>
      </c>
      <c r="U29" s="611">
        <v>168</v>
      </c>
      <c r="V29" s="602" t="s">
        <v>314</v>
      </c>
      <c r="W29" s="616"/>
      <c r="X29" s="19"/>
      <c r="Y29"/>
    </row>
    <row r="30" spans="2:30">
      <c r="B30" s="481" t="s">
        <v>245</v>
      </c>
      <c r="C30" s="476" t="s">
        <v>44</v>
      </c>
      <c r="D30" s="477" t="s">
        <v>145</v>
      </c>
      <c r="E30" s="476"/>
      <c r="F30" s="476"/>
      <c r="G30" s="476"/>
      <c r="H30" s="476"/>
      <c r="I30" s="476"/>
      <c r="J30" s="476"/>
      <c r="K30" s="476"/>
      <c r="L30" s="476"/>
      <c r="M30" s="476"/>
      <c r="N30" s="476"/>
      <c r="T30" s="597" t="s">
        <v>300</v>
      </c>
      <c r="U30" s="612">
        <f>2100*1000</f>
        <v>2100000</v>
      </c>
      <c r="V30" s="602" t="s">
        <v>316</v>
      </c>
      <c r="W30" s="616"/>
      <c r="X30" s="19"/>
      <c r="Y30"/>
      <c r="AD30" t="s">
        <v>41</v>
      </c>
    </row>
    <row r="31" spans="2:30">
      <c r="B31" s="482" t="s">
        <v>246</v>
      </c>
      <c r="C31" s="476" t="s">
        <v>44</v>
      </c>
      <c r="D31" s="477" t="s">
        <v>145</v>
      </c>
      <c r="E31" s="476"/>
      <c r="F31" s="476"/>
      <c r="G31" s="476"/>
      <c r="H31" s="476"/>
      <c r="I31" s="476"/>
      <c r="J31" s="476"/>
      <c r="K31" s="476"/>
      <c r="L31" s="476"/>
      <c r="M31" s="476"/>
      <c r="N31" s="476"/>
      <c r="O31" s="170"/>
      <c r="T31" s="490" t="s">
        <v>301</v>
      </c>
      <c r="U31" s="612">
        <f>U30/U29</f>
        <v>12500</v>
      </c>
      <c r="V31" s="602" t="s">
        <v>317</v>
      </c>
      <c r="W31" s="616"/>
      <c r="X31" s="19"/>
      <c r="Y31"/>
      <c r="AD31" t="s">
        <v>42</v>
      </c>
    </row>
    <row r="32" spans="2:30">
      <c r="B32" s="483" t="s">
        <v>247</v>
      </c>
      <c r="C32" s="478"/>
      <c r="D32" s="478"/>
      <c r="E32" s="478"/>
      <c r="F32" s="478"/>
      <c r="G32" s="478"/>
      <c r="H32" s="478"/>
      <c r="I32" s="478"/>
      <c r="J32" s="478"/>
      <c r="K32" s="478"/>
      <c r="L32" s="478"/>
      <c r="M32" s="478"/>
      <c r="N32" s="478"/>
      <c r="T32" s="66" t="s">
        <v>302</v>
      </c>
      <c r="U32" s="612">
        <v>1.96</v>
      </c>
      <c r="V32" s="602" t="s">
        <v>318</v>
      </c>
      <c r="W32" s="616"/>
      <c r="X32" s="19"/>
      <c r="Y32"/>
    </row>
    <row r="33" spans="2:25">
      <c r="B33" s="484" t="s">
        <v>248</v>
      </c>
      <c r="C33" s="478"/>
      <c r="D33" s="478"/>
      <c r="E33" s="478"/>
      <c r="F33" s="478"/>
      <c r="G33" s="478"/>
      <c r="H33" s="478"/>
      <c r="I33" s="478"/>
      <c r="J33" s="478"/>
      <c r="K33" s="478"/>
      <c r="L33" s="478"/>
      <c r="M33" s="478"/>
      <c r="N33" s="478"/>
      <c r="T33" s="490" t="s">
        <v>319</v>
      </c>
      <c r="U33" s="614">
        <f>U31*U32</f>
        <v>24500</v>
      </c>
      <c r="V33" s="602" t="s">
        <v>320</v>
      </c>
      <c r="W33" s="616"/>
      <c r="X33" s="19"/>
      <c r="Y33"/>
    </row>
    <row r="34" spans="2:25">
      <c r="B34" s="485"/>
      <c r="C34" s="478"/>
      <c r="D34" s="478"/>
      <c r="E34" s="478"/>
      <c r="F34" s="478"/>
      <c r="G34" s="478"/>
      <c r="H34" s="478"/>
      <c r="I34" s="478"/>
      <c r="J34" s="478"/>
      <c r="K34" s="478"/>
      <c r="L34" s="478"/>
      <c r="M34" s="478"/>
      <c r="N34" s="478"/>
      <c r="T34" s="66" t="s">
        <v>303</v>
      </c>
      <c r="U34" s="614">
        <f>210*1000</f>
        <v>210000</v>
      </c>
      <c r="V34" s="602" t="s">
        <v>321</v>
      </c>
      <c r="W34" s="616"/>
      <c r="X34" s="19"/>
      <c r="Y34"/>
    </row>
    <row r="35" spans="2:25">
      <c r="B35" s="486" t="s">
        <v>33</v>
      </c>
      <c r="C35" s="478"/>
      <c r="D35" s="478"/>
      <c r="E35" s="478"/>
      <c r="F35" s="478"/>
      <c r="G35" s="478"/>
      <c r="H35" s="478"/>
      <c r="I35" s="478"/>
      <c r="J35" s="478"/>
      <c r="K35" s="478"/>
      <c r="L35" s="478"/>
      <c r="M35" s="478"/>
      <c r="N35" s="478"/>
      <c r="T35" s="66" t="s">
        <v>304</v>
      </c>
      <c r="U35" s="603">
        <f>U34/U29</f>
        <v>1250</v>
      </c>
      <c r="V35" s="602" t="s">
        <v>322</v>
      </c>
      <c r="W35" s="616"/>
      <c r="X35" s="19"/>
      <c r="Y35"/>
    </row>
    <row r="36" spans="2:25">
      <c r="B36" s="487" t="s">
        <v>136</v>
      </c>
      <c r="C36" s="478"/>
      <c r="D36" s="478"/>
      <c r="E36" s="478"/>
      <c r="F36" s="478"/>
      <c r="G36" s="478"/>
      <c r="H36" s="478"/>
      <c r="I36" s="478"/>
      <c r="J36" s="478"/>
      <c r="K36" s="478"/>
      <c r="L36" s="478"/>
      <c r="M36" s="478"/>
      <c r="N36" s="478"/>
      <c r="T36" s="66" t="s">
        <v>311</v>
      </c>
      <c r="U36" s="603">
        <f>3.6*22</f>
        <v>79.2</v>
      </c>
      <c r="V36" s="602" t="s">
        <v>323</v>
      </c>
      <c r="W36" s="616"/>
      <c r="X36" s="19"/>
      <c r="Y36"/>
    </row>
    <row r="37" spans="2:25">
      <c r="B37" s="488" t="s">
        <v>114</v>
      </c>
      <c r="C37" s="478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T37" s="617" t="s">
        <v>329</v>
      </c>
      <c r="U37" s="618">
        <f>U35/U36</f>
        <v>15.782828282828282</v>
      </c>
      <c r="V37" s="602" t="s">
        <v>305</v>
      </c>
      <c r="W37" s="616"/>
      <c r="X37" s="19"/>
      <c r="Y37"/>
    </row>
    <row r="38" spans="2:25">
      <c r="B38" s="489" t="s">
        <v>137</v>
      </c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8"/>
      <c r="N38" s="478"/>
      <c r="T38" s="617" t="s">
        <v>306</v>
      </c>
      <c r="U38" s="603">
        <v>80000</v>
      </c>
      <c r="V38" s="602" t="s">
        <v>324</v>
      </c>
      <c r="W38" s="616"/>
    </row>
    <row r="39" spans="2:25">
      <c r="B39" s="490"/>
      <c r="C39" s="380" t="s">
        <v>249</v>
      </c>
      <c r="D39" s="380"/>
      <c r="E39" s="380" t="s">
        <v>250</v>
      </c>
      <c r="F39" s="67"/>
      <c r="G39" s="67"/>
      <c r="H39" s="67"/>
      <c r="I39" s="67"/>
      <c r="J39" s="67"/>
      <c r="K39" s="67"/>
      <c r="L39" s="67"/>
      <c r="M39" s="459" t="s">
        <v>253</v>
      </c>
      <c r="N39" s="459"/>
      <c r="T39" s="617" t="s">
        <v>307</v>
      </c>
      <c r="U39" s="618">
        <f>U33</f>
        <v>24500</v>
      </c>
      <c r="V39" s="602" t="s">
        <v>325</v>
      </c>
      <c r="W39" s="616"/>
    </row>
    <row r="40" spans="2:25">
      <c r="B40" s="481" t="s">
        <v>245</v>
      </c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T40" s="617" t="s">
        <v>308</v>
      </c>
      <c r="U40" s="603">
        <v>4500</v>
      </c>
      <c r="V40" s="602" t="s">
        <v>325</v>
      </c>
      <c r="W40" s="616"/>
    </row>
    <row r="41" spans="2:25">
      <c r="B41" s="482" t="s">
        <v>246</v>
      </c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0"/>
      <c r="T41" s="617" t="s">
        <v>309</v>
      </c>
      <c r="U41" s="603">
        <v>2000</v>
      </c>
      <c r="V41" s="602" t="s">
        <v>325</v>
      </c>
      <c r="W41" s="616"/>
    </row>
    <row r="42" spans="2:25">
      <c r="B42" s="483" t="s">
        <v>247</v>
      </c>
      <c r="C42" s="480"/>
      <c r="D42" s="480"/>
      <c r="E42" s="480"/>
      <c r="F42" s="480"/>
      <c r="G42" s="480"/>
      <c r="H42" s="480"/>
      <c r="I42" s="480"/>
      <c r="J42" s="480"/>
      <c r="K42" s="480"/>
      <c r="L42" s="480"/>
      <c r="M42" s="480"/>
      <c r="N42" s="480"/>
      <c r="T42" s="617" t="s">
        <v>310</v>
      </c>
      <c r="U42" s="618">
        <f>U38-U39-U40-U41</f>
        <v>49000</v>
      </c>
      <c r="V42" s="602" t="s">
        <v>326</v>
      </c>
      <c r="W42" s="616"/>
    </row>
    <row r="43" spans="2:25" ht="15" thickBot="1">
      <c r="B43" s="484" t="s">
        <v>248</v>
      </c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T43" s="619" t="s">
        <v>312</v>
      </c>
      <c r="U43" s="620">
        <f>18*79.2</f>
        <v>1425.6000000000001</v>
      </c>
      <c r="V43" s="621" t="s">
        <v>327</v>
      </c>
      <c r="W43" s="622"/>
    </row>
    <row r="44" spans="2:25">
      <c r="B44" s="485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T44" s="70"/>
      <c r="U44" s="70"/>
      <c r="V44" s="70"/>
      <c r="W44" s="70"/>
    </row>
    <row r="45" spans="2:25">
      <c r="B45" s="486" t="s">
        <v>33</v>
      </c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T45" s="625" t="s">
        <v>328</v>
      </c>
      <c r="U45" s="626"/>
      <c r="V45" s="627"/>
      <c r="W45" s="624"/>
      <c r="Y45"/>
    </row>
    <row r="46" spans="2:25">
      <c r="B46" s="487" t="s">
        <v>136</v>
      </c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T46" s="623" t="s">
        <v>330</v>
      </c>
      <c r="U46" s="623"/>
      <c r="V46" s="623"/>
      <c r="W46"/>
      <c r="Y46"/>
    </row>
    <row r="47" spans="2:25">
      <c r="B47" s="488" t="s">
        <v>114</v>
      </c>
      <c r="C47" s="480"/>
      <c r="D47" s="480"/>
      <c r="E47" s="480"/>
      <c r="F47" s="480"/>
      <c r="G47" s="480"/>
      <c r="H47" s="480"/>
      <c r="I47" s="480"/>
      <c r="J47" s="480"/>
      <c r="K47" s="480"/>
      <c r="L47" s="480"/>
      <c r="M47" s="480"/>
      <c r="N47" s="480"/>
      <c r="P47"/>
      <c r="Q47"/>
      <c r="R47"/>
      <c r="U47"/>
      <c r="V47"/>
      <c r="W47"/>
      <c r="Y47"/>
    </row>
    <row r="48" spans="2:25">
      <c r="B48" s="489" t="s">
        <v>137</v>
      </c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P48"/>
      <c r="Q48"/>
      <c r="R48"/>
      <c r="U48"/>
      <c r="V48"/>
      <c r="W48"/>
      <c r="Y48"/>
    </row>
    <row r="49" spans="2: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P49"/>
      <c r="Q49"/>
      <c r="R49"/>
      <c r="U49"/>
      <c r="V49"/>
      <c r="W49"/>
      <c r="Y49"/>
    </row>
    <row r="50" spans="2:25">
      <c r="B50" s="19"/>
      <c r="C50" s="19"/>
      <c r="G50" s="19"/>
      <c r="H50" s="19"/>
      <c r="I50" s="19"/>
      <c r="K50" s="19"/>
      <c r="O50"/>
      <c r="P50"/>
      <c r="Q50"/>
      <c r="R50"/>
      <c r="U50"/>
      <c r="V50"/>
      <c r="W50"/>
      <c r="Y50"/>
    </row>
    <row r="51" spans="2:25">
      <c r="B51" s="19"/>
      <c r="C51" s="19"/>
      <c r="G51" s="19"/>
      <c r="H51" s="19"/>
      <c r="I51" s="19"/>
      <c r="K51" s="19"/>
      <c r="O51"/>
      <c r="P51"/>
      <c r="Q51"/>
      <c r="R51"/>
      <c r="U51"/>
      <c r="V51"/>
      <c r="W51"/>
      <c r="Y51"/>
    </row>
    <row r="52" spans="2:25">
      <c r="B52" s="19"/>
      <c r="C52" s="19"/>
      <c r="G52" s="19"/>
      <c r="H52" s="19"/>
      <c r="I52" s="19"/>
      <c r="K52" s="19"/>
      <c r="O52"/>
      <c r="P52"/>
      <c r="Q52"/>
      <c r="R52"/>
      <c r="U52"/>
      <c r="V52"/>
      <c r="W52"/>
      <c r="Y52"/>
    </row>
    <row r="53" spans="2:25">
      <c r="B53" s="19"/>
      <c r="C53" s="19"/>
      <c r="G53" s="19"/>
      <c r="H53" s="19"/>
      <c r="I53" s="19"/>
      <c r="K53" s="19"/>
      <c r="O53"/>
      <c r="P53"/>
      <c r="Q53"/>
      <c r="R53"/>
      <c r="U53"/>
      <c r="V53"/>
      <c r="W53"/>
      <c r="Y53"/>
    </row>
    <row r="54" spans="2:25">
      <c r="B54" s="19"/>
      <c r="C54" s="19"/>
      <c r="G54" s="19"/>
      <c r="H54" s="19"/>
      <c r="I54" s="19"/>
      <c r="K54" s="19"/>
      <c r="O54"/>
      <c r="P54"/>
      <c r="Q54"/>
      <c r="R54"/>
      <c r="U54"/>
      <c r="V54"/>
      <c r="W54"/>
      <c r="Y54"/>
    </row>
    <row r="55" spans="2:25">
      <c r="B55" s="19"/>
      <c r="C55" s="19"/>
      <c r="G55" s="19"/>
      <c r="H55" s="19"/>
      <c r="I55" s="19"/>
      <c r="K55" s="19"/>
      <c r="O55"/>
      <c r="P55"/>
      <c r="Q55"/>
      <c r="R55"/>
      <c r="U55"/>
      <c r="V55"/>
      <c r="W55"/>
      <c r="Y55"/>
    </row>
    <row r="56" spans="2:25">
      <c r="B56" s="19"/>
      <c r="C56" s="19"/>
      <c r="G56" s="19"/>
      <c r="H56" s="19"/>
      <c r="I56" s="19"/>
      <c r="K56" s="19"/>
      <c r="O56"/>
      <c r="P56"/>
      <c r="Q56"/>
      <c r="R56"/>
      <c r="U56"/>
      <c r="V56"/>
      <c r="W56"/>
      <c r="Y56"/>
    </row>
    <row r="57" spans="2:25">
      <c r="B57" s="19"/>
      <c r="C57" s="19"/>
      <c r="G57" s="19"/>
      <c r="H57" s="19"/>
      <c r="I57" s="19"/>
      <c r="K57" s="19"/>
      <c r="O57"/>
      <c r="P57"/>
      <c r="Q57"/>
      <c r="R57"/>
      <c r="U57"/>
      <c r="V57"/>
      <c r="W57"/>
      <c r="Y57"/>
    </row>
    <row r="58" spans="2:25">
      <c r="B58" s="19"/>
      <c r="C58" s="19"/>
      <c r="G58" s="19"/>
      <c r="H58" s="19"/>
      <c r="I58" s="19"/>
      <c r="K58" s="19"/>
      <c r="O58"/>
      <c r="P58"/>
      <c r="Q58"/>
      <c r="R58"/>
      <c r="U58"/>
      <c r="V58"/>
      <c r="W58"/>
      <c r="Y58"/>
    </row>
    <row r="59" spans="2:25">
      <c r="B59" s="19"/>
      <c r="C59" s="19"/>
      <c r="G59" s="19"/>
      <c r="H59" s="19"/>
      <c r="I59" s="19"/>
      <c r="K59" s="19"/>
      <c r="O59"/>
      <c r="P59"/>
      <c r="Q59"/>
      <c r="R59"/>
    </row>
    <row r="60" spans="2:25">
      <c r="B60" s="19"/>
      <c r="C60" s="19"/>
      <c r="G60" s="19"/>
      <c r="H60" s="19"/>
      <c r="I60" s="19"/>
      <c r="K60" s="19"/>
      <c r="O60"/>
      <c r="P60"/>
      <c r="Q60"/>
      <c r="R60"/>
    </row>
  </sheetData>
  <mergeCells count="18">
    <mergeCell ref="T25:W25"/>
    <mergeCell ref="T46:V46"/>
    <mergeCell ref="T45:V45"/>
    <mergeCell ref="B28:D28"/>
    <mergeCell ref="C29:D29"/>
    <mergeCell ref="M29:N29"/>
    <mergeCell ref="M39:N39"/>
    <mergeCell ref="M27:N27"/>
    <mergeCell ref="U10:V10"/>
    <mergeCell ref="A1:S1"/>
    <mergeCell ref="U1:V1"/>
    <mergeCell ref="B3:S3"/>
    <mergeCell ref="U6:V6"/>
    <mergeCell ref="X22:X23"/>
    <mergeCell ref="B15:S15"/>
    <mergeCell ref="U15:V15"/>
    <mergeCell ref="U21:V21"/>
    <mergeCell ref="W21:W23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D13" sqref="D13"/>
    </sheetView>
  </sheetViews>
  <sheetFormatPr baseColWidth="10" defaultRowHeight="14" x14ac:dyDescent="0"/>
  <cols>
    <col min="1" max="1" width="2.5" style="89" customWidth="1"/>
    <col min="2" max="2" width="20" style="79" bestFit="1" customWidth="1"/>
    <col min="3" max="3" width="14.83203125" style="79" bestFit="1" customWidth="1"/>
    <col min="4" max="5" width="12.5" style="79" customWidth="1"/>
    <col min="6" max="8" width="12.5" style="79" bestFit="1" customWidth="1"/>
    <col min="9" max="9" width="12.5" style="79" customWidth="1"/>
    <col min="10" max="14" width="12.5" style="79" bestFit="1" customWidth="1"/>
    <col min="15" max="15" width="15.33203125" style="79" bestFit="1" customWidth="1"/>
    <col min="16" max="16" width="21.1640625" style="79" bestFit="1" customWidth="1"/>
    <col min="17" max="17" width="2.83203125" style="79" customWidth="1"/>
    <col min="18" max="18" width="34" style="79" customWidth="1"/>
    <col min="19" max="19" width="17.5" style="79" customWidth="1"/>
    <col min="20" max="20" width="27" style="79" customWidth="1"/>
    <col min="21" max="21" width="20.33203125" style="79" customWidth="1"/>
    <col min="22" max="22" width="25.83203125" style="79" bestFit="1" customWidth="1"/>
    <col min="23" max="23" width="10.83203125" style="79"/>
    <col min="24" max="24" width="1.33203125" style="79" customWidth="1"/>
    <col min="25" max="25" width="12.6640625" style="79" customWidth="1"/>
    <col min="26" max="26" width="16" style="79" customWidth="1"/>
    <col min="27" max="27" width="14.5" style="79" bestFit="1" customWidth="1"/>
    <col min="28" max="16384" width="10.83203125" style="79"/>
  </cols>
  <sheetData>
    <row r="1" spans="1:21" ht="26" thickBot="1">
      <c r="A1" s="555" t="s">
        <v>232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75"/>
      <c r="R1" s="76" t="s">
        <v>99</v>
      </c>
      <c r="S1" s="77"/>
      <c r="T1" s="382" t="s">
        <v>174</v>
      </c>
    </row>
    <row r="2" spans="1:21" ht="15" thickBot="1">
      <c r="A2" s="75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170"/>
      <c r="Q2" s="75"/>
      <c r="R2" s="80" t="s">
        <v>173</v>
      </c>
      <c r="S2" s="405">
        <v>0.10199999999999999</v>
      </c>
    </row>
    <row r="3" spans="1:21" ht="25">
      <c r="A3" s="75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75"/>
      <c r="R3" s="80" t="s">
        <v>100</v>
      </c>
      <c r="S3" s="406">
        <v>2100</v>
      </c>
    </row>
    <row r="4" spans="1:21" ht="15" thickBot="1">
      <c r="A4" s="75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75"/>
      <c r="R4" s="83" t="s">
        <v>101</v>
      </c>
      <c r="S4" s="84">
        <f>S2</f>
        <v>0.10199999999999999</v>
      </c>
    </row>
    <row r="5" spans="1:21" ht="15" thickBot="1">
      <c r="A5" s="75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75"/>
    </row>
    <row r="6" spans="1:21">
      <c r="A6" s="75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75"/>
      <c r="R6" s="85" t="s">
        <v>22</v>
      </c>
      <c r="S6" s="412" t="s">
        <v>65</v>
      </c>
    </row>
    <row r="7" spans="1:21">
      <c r="A7" s="75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90"/>
      <c r="R7" s="91" t="s">
        <v>28</v>
      </c>
      <c r="S7" s="407">
        <v>12000000</v>
      </c>
      <c r="T7" s="93"/>
    </row>
    <row r="8" spans="1:21" ht="15" thickBot="1">
      <c r="A8" s="75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90"/>
      <c r="R8" s="96" t="s">
        <v>202</v>
      </c>
      <c r="S8" s="97">
        <v>30000000</v>
      </c>
      <c r="T8" s="93"/>
    </row>
    <row r="9" spans="1:21" ht="15" thickBot="1">
      <c r="A9" s="75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75"/>
      <c r="U9" s="100">
        <f>S8-R21</f>
        <v>5100</v>
      </c>
    </row>
    <row r="10" spans="1:21">
      <c r="A10" s="75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75"/>
      <c r="R10" s="101" t="s">
        <v>23</v>
      </c>
      <c r="S10" s="102"/>
    </row>
    <row r="11" spans="1:21">
      <c r="A11" s="75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75"/>
      <c r="R11" s="103" t="s">
        <v>258</v>
      </c>
      <c r="S11" s="388">
        <v>640</v>
      </c>
      <c r="T11" s="105"/>
    </row>
    <row r="12" spans="1:21" ht="16" thickBot="1">
      <c r="A12" s="75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75"/>
      <c r="R12" s="106" t="s">
        <v>259</v>
      </c>
      <c r="S12" s="521">
        <v>420</v>
      </c>
    </row>
    <row r="13" spans="1:21" ht="16" thickTop="1" thickBot="1">
      <c r="A13" s="75"/>
      <c r="B13" s="193" t="s">
        <v>12</v>
      </c>
      <c r="C13" s="194">
        <f>C7*C12</f>
        <v>1240000</v>
      </c>
      <c r="D13" s="194">
        <f t="shared" ref="D13:N13" si="0">D7*D12</f>
        <v>1120000</v>
      </c>
      <c r="E13" s="194">
        <f t="shared" si="0"/>
        <v>1240000</v>
      </c>
      <c r="F13" s="194">
        <f t="shared" si="0"/>
        <v>1200000</v>
      </c>
      <c r="G13" s="194">
        <f t="shared" si="0"/>
        <v>1240000</v>
      </c>
      <c r="H13" s="194">
        <f t="shared" si="0"/>
        <v>1200000</v>
      </c>
      <c r="I13" s="194">
        <f t="shared" si="0"/>
        <v>1240000</v>
      </c>
      <c r="J13" s="194">
        <f t="shared" si="0"/>
        <v>1240000</v>
      </c>
      <c r="K13" s="194">
        <f t="shared" si="0"/>
        <v>1200000</v>
      </c>
      <c r="L13" s="194">
        <f t="shared" si="0"/>
        <v>1240000</v>
      </c>
      <c r="M13" s="194">
        <f t="shared" si="0"/>
        <v>1200000</v>
      </c>
      <c r="N13" s="194">
        <f t="shared" si="0"/>
        <v>1240000</v>
      </c>
      <c r="O13" s="195">
        <v>14120000</v>
      </c>
      <c r="P13" s="170" t="s">
        <v>138</v>
      </c>
      <c r="Q13" s="75"/>
      <c r="R13" s="106" t="s">
        <v>185</v>
      </c>
      <c r="S13" s="387" t="s">
        <v>186</v>
      </c>
    </row>
    <row r="14" spans="1:21" ht="15" thickBot="1">
      <c r="A14" s="75"/>
      <c r="B14" s="556" t="s">
        <v>234</v>
      </c>
      <c r="C14" s="557">
        <v>1111.1099999999999</v>
      </c>
      <c r="D14" s="557">
        <v>1111.1099999999999</v>
      </c>
      <c r="E14" s="557">
        <v>1000</v>
      </c>
      <c r="F14" s="557">
        <v>1000</v>
      </c>
      <c r="G14" s="557">
        <v>714.29</v>
      </c>
      <c r="H14" s="557">
        <v>625</v>
      </c>
      <c r="I14" s="557">
        <v>625</v>
      </c>
      <c r="J14" s="557">
        <v>625</v>
      </c>
      <c r="K14" s="557">
        <v>1000</v>
      </c>
      <c r="L14" s="557">
        <v>1000</v>
      </c>
      <c r="M14" s="557">
        <v>1000</v>
      </c>
      <c r="N14" s="557">
        <v>1111.1099999999999</v>
      </c>
      <c r="O14" s="558">
        <v>0</v>
      </c>
      <c r="P14" s="170" t="s">
        <v>236</v>
      </c>
      <c r="Q14" s="75"/>
      <c r="R14" s="106" t="s">
        <v>260</v>
      </c>
      <c r="S14" s="522">
        <f>S12/S11</f>
        <v>0.65625</v>
      </c>
    </row>
    <row r="15" spans="1:21">
      <c r="A15" s="75"/>
      <c r="B15" s="556" t="s">
        <v>85</v>
      </c>
      <c r="C15" s="559">
        <v>4444.4399999999996</v>
      </c>
      <c r="D15" s="559">
        <v>4444.4399999999996</v>
      </c>
      <c r="E15" s="559">
        <v>4000</v>
      </c>
      <c r="F15" s="559">
        <v>4000</v>
      </c>
      <c r="G15" s="559">
        <v>2857.14</v>
      </c>
      <c r="H15" s="559">
        <v>2500</v>
      </c>
      <c r="I15" s="559">
        <v>2500</v>
      </c>
      <c r="J15" s="559">
        <v>2500</v>
      </c>
      <c r="K15" s="559">
        <v>4000</v>
      </c>
      <c r="L15" s="559">
        <v>4000</v>
      </c>
      <c r="M15" s="559">
        <v>4000</v>
      </c>
      <c r="N15" s="559">
        <v>4444.4399999999996</v>
      </c>
      <c r="O15" s="560">
        <v>0</v>
      </c>
      <c r="P15" s="170" t="s">
        <v>237</v>
      </c>
      <c r="Q15" s="75"/>
    </row>
    <row r="16" spans="1:21">
      <c r="A16" s="75"/>
      <c r="B16" s="556" t="s">
        <v>233</v>
      </c>
      <c r="C16" s="561">
        <v>4444.4399999999996</v>
      </c>
      <c r="D16" s="561">
        <v>4444.4399999999996</v>
      </c>
      <c r="E16" s="561">
        <v>4000</v>
      </c>
      <c r="F16" s="561">
        <v>4000</v>
      </c>
      <c r="G16" s="561">
        <v>2857.14</v>
      </c>
      <c r="H16" s="561">
        <v>2500</v>
      </c>
      <c r="I16" s="561">
        <v>2500</v>
      </c>
      <c r="J16" s="561">
        <v>2500</v>
      </c>
      <c r="K16" s="561">
        <v>4000</v>
      </c>
      <c r="L16" s="561">
        <v>4000</v>
      </c>
      <c r="M16" s="561">
        <v>4000</v>
      </c>
      <c r="N16" s="561">
        <v>4444.4399999999996</v>
      </c>
      <c r="O16" s="562" t="s">
        <v>284</v>
      </c>
      <c r="P16" s="170" t="s">
        <v>238</v>
      </c>
      <c r="Q16" s="75"/>
    </row>
    <row r="17" spans="1:20" ht="15" thickBot="1">
      <c r="A17" s="75"/>
      <c r="B17" s="563" t="s">
        <v>283</v>
      </c>
      <c r="C17" s="564">
        <v>5555.56</v>
      </c>
      <c r="D17" s="564">
        <v>5555.56</v>
      </c>
      <c r="E17" s="564">
        <v>5000</v>
      </c>
      <c r="F17" s="564">
        <v>5000</v>
      </c>
      <c r="G17" s="564">
        <v>3571.43</v>
      </c>
      <c r="H17" s="564">
        <v>3125</v>
      </c>
      <c r="I17" s="564">
        <v>3125</v>
      </c>
      <c r="J17" s="564">
        <v>3125</v>
      </c>
      <c r="K17" s="564">
        <v>5000</v>
      </c>
      <c r="L17" s="564">
        <v>5000</v>
      </c>
      <c r="M17" s="564">
        <v>5000</v>
      </c>
      <c r="N17" s="564">
        <v>5555.56</v>
      </c>
      <c r="O17" s="565">
        <v>0</v>
      </c>
      <c r="P17" s="170" t="s">
        <v>239</v>
      </c>
      <c r="Q17" s="75"/>
      <c r="S17" s="93"/>
    </row>
    <row r="18" spans="1:20" s="410" customFormat="1" ht="26" thickBot="1">
      <c r="A18" s="75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75"/>
      <c r="S18" s="411"/>
    </row>
    <row r="19" spans="1:20" s="410" customFormat="1" ht="15" thickTop="1">
      <c r="A19" s="75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75"/>
      <c r="R19" s="87" t="s">
        <v>29</v>
      </c>
      <c r="S19" s="88" t="s">
        <v>38</v>
      </c>
    </row>
    <row r="20" spans="1:20" s="410" customFormat="1">
      <c r="A20" s="75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75"/>
      <c r="R20" s="94">
        <f>S7-T35</f>
        <v>12000000</v>
      </c>
      <c r="S20" s="95" t="e">
        <f>R20/T35</f>
        <v>#DIV/0!</v>
      </c>
    </row>
    <row r="21" spans="1:20" s="410" customFormat="1" ht="15" thickBot="1">
      <c r="A21" s="75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75"/>
      <c r="R21" s="98">
        <f>S8-((O5*S2)-O59*S4)</f>
        <v>29994900</v>
      </c>
      <c r="S21" s="99">
        <f>R21/U9</f>
        <v>5881.3529411764703</v>
      </c>
    </row>
    <row r="22" spans="1:20" s="410" customFormat="1" ht="15" thickTop="1">
      <c r="A22" s="75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75"/>
      <c r="S22" s="411"/>
    </row>
    <row r="23" spans="1:20" s="410" customFormat="1">
      <c r="A23" s="75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75"/>
      <c r="S23" s="411"/>
    </row>
    <row r="24" spans="1:20" s="409" customFormat="1" ht="23">
      <c r="A24" s="75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75"/>
      <c r="R24" s="108" t="s">
        <v>163</v>
      </c>
      <c r="S24" s="109"/>
      <c r="T24" s="110"/>
    </row>
    <row r="25" spans="1:20">
      <c r="A25" s="75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75"/>
      <c r="R25" s="111" t="s">
        <v>164</v>
      </c>
      <c r="S25" s="112">
        <v>50000</v>
      </c>
      <c r="T25" s="113" t="s">
        <v>157</v>
      </c>
    </row>
    <row r="26" spans="1:20" ht="15" thickBot="1">
      <c r="A26" s="75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75"/>
      <c r="R26" s="111"/>
      <c r="S26" s="112"/>
      <c r="T26" s="113"/>
    </row>
    <row r="27" spans="1:20" ht="16" thickTop="1" thickBot="1">
      <c r="A27" s="75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75"/>
      <c r="R27" s="111" t="s">
        <v>165</v>
      </c>
      <c r="S27" s="112">
        <v>40000</v>
      </c>
      <c r="T27" s="113" t="s">
        <v>157</v>
      </c>
    </row>
    <row r="28" spans="1:20">
      <c r="A28" s="75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75"/>
      <c r="R28" s="111" t="s">
        <v>166</v>
      </c>
      <c r="S28" s="374">
        <v>0.8</v>
      </c>
      <c r="T28" s="113" t="s">
        <v>44</v>
      </c>
    </row>
    <row r="29" spans="1:20">
      <c r="A29" s="75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75"/>
      <c r="R29" s="111" t="s">
        <v>167</v>
      </c>
      <c r="S29" s="112">
        <f>O5</f>
        <v>50000</v>
      </c>
      <c r="T29" s="113" t="s">
        <v>157</v>
      </c>
    </row>
    <row r="30" spans="1:20">
      <c r="A30" s="75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75"/>
      <c r="R30" s="114" t="s">
        <v>168</v>
      </c>
      <c r="S30" s="372">
        <f>S29/S27</f>
        <v>1.25</v>
      </c>
      <c r="T30" s="113" t="s">
        <v>44</v>
      </c>
    </row>
    <row r="31" spans="1:20" ht="15" thickBot="1">
      <c r="A31" s="75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75"/>
      <c r="R31" s="113" t="s">
        <v>127</v>
      </c>
      <c r="S31" s="373">
        <f>S25-S27</f>
        <v>10000</v>
      </c>
      <c r="T31" s="113" t="s">
        <v>157</v>
      </c>
    </row>
    <row r="32" spans="1:20" ht="18">
      <c r="A32" s="75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75"/>
      <c r="R32" s="404" t="s">
        <v>198</v>
      </c>
      <c r="T32" s="371"/>
    </row>
    <row r="33" spans="1:27" ht="18">
      <c r="A33" s="75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75"/>
      <c r="R33" s="404"/>
      <c r="T33" s="371"/>
      <c r="U33" s="456" t="s">
        <v>192</v>
      </c>
      <c r="V33" s="456"/>
      <c r="W33" s="457" t="str">
        <f>A1</f>
        <v>Block 1 / 2025 (Abrechnung ab 2026 Vollrechnung)</v>
      </c>
    </row>
    <row r="34" spans="1:27" ht="15">
      <c r="A34" s="75"/>
      <c r="B34" s="470" t="s">
        <v>271</v>
      </c>
      <c r="C34" s="525">
        <f>C20</f>
        <v>585900</v>
      </c>
      <c r="D34" s="525">
        <f t="shared" ref="D34:N34" si="1">D20</f>
        <v>529200</v>
      </c>
      <c r="E34" s="525">
        <f t="shared" si="1"/>
        <v>651000</v>
      </c>
      <c r="F34" s="525">
        <f t="shared" si="1"/>
        <v>630000</v>
      </c>
      <c r="G34" s="525">
        <f t="shared" si="1"/>
        <v>911400</v>
      </c>
      <c r="H34" s="525">
        <f t="shared" si="1"/>
        <v>1008000</v>
      </c>
      <c r="I34" s="525">
        <f t="shared" si="1"/>
        <v>1041600</v>
      </c>
      <c r="J34" s="525">
        <f t="shared" si="1"/>
        <v>1041600</v>
      </c>
      <c r="K34" s="525">
        <f t="shared" si="1"/>
        <v>630000</v>
      </c>
      <c r="L34" s="525">
        <f t="shared" si="1"/>
        <v>651000</v>
      </c>
      <c r="M34" s="525">
        <f t="shared" si="1"/>
        <v>630000</v>
      </c>
      <c r="N34" s="525">
        <f t="shared" si="1"/>
        <v>585900</v>
      </c>
      <c r="O34" s="529">
        <f>SUM(C34,N34)</f>
        <v>1171800</v>
      </c>
      <c r="P34" s="170" t="s">
        <v>288</v>
      </c>
      <c r="Q34" s="75"/>
      <c r="R34" s="403" t="s">
        <v>189</v>
      </c>
      <c r="S34" s="396" t="s">
        <v>190</v>
      </c>
      <c r="T34" s="397" t="s">
        <v>71</v>
      </c>
      <c r="U34" s="397" t="s">
        <v>72</v>
      </c>
      <c r="V34" s="398" t="s">
        <v>74</v>
      </c>
      <c r="W34" s="399" t="s">
        <v>86</v>
      </c>
      <c r="X34" s="401" t="s">
        <v>191</v>
      </c>
      <c r="Y34" s="401"/>
      <c r="Z34" s="400" t="s">
        <v>73</v>
      </c>
      <c r="AA34" s="400"/>
    </row>
    <row r="35" spans="1:27" ht="15">
      <c r="A35" s="75"/>
      <c r="B35" s="470" t="s">
        <v>272</v>
      </c>
      <c r="C35" s="525">
        <f>C47</f>
        <v>18590</v>
      </c>
      <c r="D35" s="525">
        <f t="shared" ref="D35:N35" si="2">D47</f>
        <v>12920</v>
      </c>
      <c r="E35" s="525">
        <f t="shared" si="2"/>
        <v>18590</v>
      </c>
      <c r="F35" s="525">
        <f t="shared" si="2"/>
        <v>29300</v>
      </c>
      <c r="G35" s="525">
        <f t="shared" si="2"/>
        <v>31610</v>
      </c>
      <c r="H35" s="525">
        <f t="shared" si="2"/>
        <v>29300</v>
      </c>
      <c r="I35" s="525">
        <f t="shared" si="2"/>
        <v>57650</v>
      </c>
      <c r="J35" s="525">
        <f t="shared" si="2"/>
        <v>57650</v>
      </c>
      <c r="K35" s="525">
        <f t="shared" si="2"/>
        <v>23000</v>
      </c>
      <c r="L35" s="525">
        <f t="shared" si="2"/>
        <v>25100</v>
      </c>
      <c r="M35" s="525">
        <f t="shared" si="2"/>
        <v>23000</v>
      </c>
      <c r="N35" s="525">
        <f t="shared" si="2"/>
        <v>18590</v>
      </c>
      <c r="O35" s="529">
        <f>SUM(C35:N35)</f>
        <v>345300</v>
      </c>
      <c r="P35" s="170" t="s">
        <v>289</v>
      </c>
      <c r="Q35" s="75"/>
      <c r="R35" s="125" t="s">
        <v>98</v>
      </c>
      <c r="S35" s="126" t="s">
        <v>66</v>
      </c>
      <c r="T35" s="146">
        <f>O63</f>
        <v>0</v>
      </c>
      <c r="U35" s="128">
        <v>9.0999999999999998E-2</v>
      </c>
      <c r="V35" s="368">
        <f>T35*U35</f>
        <v>0</v>
      </c>
      <c r="W35" s="392">
        <v>0.19</v>
      </c>
      <c r="X35" s="390"/>
      <c r="Y35" s="391">
        <f>V35*W35</f>
        <v>0</v>
      </c>
      <c r="Z35" s="390"/>
      <c r="AA35" s="391">
        <f>V35+Y35</f>
        <v>0</v>
      </c>
    </row>
    <row r="36" spans="1:27" ht="15">
      <c r="A36" s="75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34">
        <f>SUM(C36:N36)</f>
        <v>4524</v>
      </c>
      <c r="P36" s="170" t="s">
        <v>133</v>
      </c>
      <c r="Q36" s="75"/>
      <c r="R36" s="125" t="s">
        <v>181</v>
      </c>
      <c r="S36" s="126" t="s">
        <v>67</v>
      </c>
      <c r="T36" s="146">
        <f>O10</f>
        <v>4524</v>
      </c>
      <c r="U36" s="128">
        <v>9.0999999999999998E-2</v>
      </c>
      <c r="V36" s="368">
        <f>T36*U36</f>
        <v>411.68399999999997</v>
      </c>
      <c r="W36" s="392">
        <v>0.19</v>
      </c>
      <c r="X36" s="390"/>
      <c r="Y36" s="391">
        <f>V36*W36</f>
        <v>78.21996</v>
      </c>
      <c r="Z36" s="390"/>
      <c r="AA36" s="391">
        <f>V36+Y36</f>
        <v>489.90395999999998</v>
      </c>
    </row>
    <row r="37" spans="1:27" ht="16" thickBot="1">
      <c r="A37" s="75"/>
      <c r="B37" s="470" t="s">
        <v>275</v>
      </c>
      <c r="C37" s="530">
        <f>C24</f>
        <v>279</v>
      </c>
      <c r="D37" s="531">
        <f t="shared" ref="D37:N37" si="3">D24</f>
        <v>252</v>
      </c>
      <c r="E37" s="531">
        <f t="shared" si="3"/>
        <v>310</v>
      </c>
      <c r="F37" s="531">
        <f t="shared" si="3"/>
        <v>300</v>
      </c>
      <c r="G37" s="531">
        <f t="shared" si="3"/>
        <v>434</v>
      </c>
      <c r="H37" s="531">
        <f t="shared" si="3"/>
        <v>480</v>
      </c>
      <c r="I37" s="531">
        <f t="shared" si="3"/>
        <v>496</v>
      </c>
      <c r="J37" s="531">
        <f t="shared" si="3"/>
        <v>496</v>
      </c>
      <c r="K37" s="531">
        <f t="shared" si="3"/>
        <v>300</v>
      </c>
      <c r="L37" s="531">
        <f t="shared" si="3"/>
        <v>310</v>
      </c>
      <c r="M37" s="531">
        <f t="shared" si="3"/>
        <v>300</v>
      </c>
      <c r="N37" s="532">
        <f t="shared" si="3"/>
        <v>279</v>
      </c>
      <c r="O37" s="534">
        <v>365</v>
      </c>
      <c r="P37" s="170" t="s">
        <v>290</v>
      </c>
      <c r="Q37" s="75"/>
      <c r="R37" s="125" t="s">
        <v>182</v>
      </c>
      <c r="S37" s="126" t="s">
        <v>107</v>
      </c>
      <c r="T37" s="146">
        <f>O39</f>
        <v>3113.145</v>
      </c>
      <c r="U37" s="128">
        <v>9.0999999999999998E-2</v>
      </c>
      <c r="V37" s="368">
        <f>T37*U37</f>
        <v>283.29619500000001</v>
      </c>
      <c r="W37" s="392">
        <v>0.19</v>
      </c>
      <c r="X37" s="390"/>
      <c r="Y37" s="391">
        <f>V37*W37</f>
        <v>53.826277050000002</v>
      </c>
      <c r="Z37" s="390"/>
      <c r="AA37" s="391">
        <f>V37+Y37</f>
        <v>337.12247205</v>
      </c>
    </row>
    <row r="38" spans="1:27" ht="15">
      <c r="A38" s="75"/>
      <c r="B38" s="470" t="s">
        <v>277</v>
      </c>
      <c r="C38" s="526">
        <f>C36+C37</f>
        <v>744</v>
      </c>
      <c r="D38" s="526">
        <f t="shared" ref="D38:N38" si="4">D36+D37</f>
        <v>672</v>
      </c>
      <c r="E38" s="526">
        <f t="shared" si="4"/>
        <v>744</v>
      </c>
      <c r="F38" s="526">
        <f t="shared" si="4"/>
        <v>720</v>
      </c>
      <c r="G38" s="526">
        <f t="shared" si="4"/>
        <v>744</v>
      </c>
      <c r="H38" s="526">
        <f t="shared" si="4"/>
        <v>720</v>
      </c>
      <c r="I38" s="526">
        <f t="shared" si="4"/>
        <v>744</v>
      </c>
      <c r="J38" s="526">
        <f t="shared" si="4"/>
        <v>744</v>
      </c>
      <c r="K38" s="526">
        <f t="shared" si="4"/>
        <v>720</v>
      </c>
      <c r="L38" s="526">
        <f t="shared" si="4"/>
        <v>744</v>
      </c>
      <c r="M38" s="526">
        <f t="shared" si="4"/>
        <v>720</v>
      </c>
      <c r="N38" s="526">
        <f t="shared" si="4"/>
        <v>744</v>
      </c>
      <c r="O38" s="534">
        <f>SUM(C38:N38)</f>
        <v>8760</v>
      </c>
      <c r="P38" s="170" t="s">
        <v>285</v>
      </c>
      <c r="Q38" s="75"/>
      <c r="R38" s="125" t="s">
        <v>183</v>
      </c>
      <c r="S38" s="126"/>
      <c r="T38" s="389" t="s">
        <v>188</v>
      </c>
      <c r="U38" s="135"/>
      <c r="V38" s="136"/>
      <c r="W38" s="393"/>
      <c r="X38" s="390"/>
      <c r="Y38" s="390"/>
      <c r="Z38" s="390"/>
      <c r="AA38" s="390"/>
    </row>
    <row r="39" spans="1:27" ht="15">
      <c r="A39" s="75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66">
        <f>AVERAGE(C39:N39)</f>
        <v>3113.145</v>
      </c>
      <c r="P39" s="170"/>
      <c r="Q39" s="75"/>
      <c r="R39" s="383" t="s">
        <v>187</v>
      </c>
      <c r="S39" s="141"/>
      <c r="T39" s="395" t="s">
        <v>194</v>
      </c>
      <c r="U39" s="370"/>
      <c r="V39" s="136"/>
      <c r="W39" s="394"/>
      <c r="X39" s="390"/>
      <c r="Y39" s="390"/>
      <c r="Z39" s="390"/>
      <c r="AA39" s="390"/>
    </row>
    <row r="40" spans="1:27" ht="15">
      <c r="A40" s="75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66">
        <f>AVERAGE(C40:N40)</f>
        <v>1052.7633235193719</v>
      </c>
      <c r="P40" s="170" t="s">
        <v>109</v>
      </c>
      <c r="Q40" s="75"/>
      <c r="R40" s="125" t="s">
        <v>193</v>
      </c>
      <c r="S40" s="126" t="s">
        <v>66</v>
      </c>
      <c r="T40" s="146" t="s">
        <v>88</v>
      </c>
      <c r="U40" s="147" t="s">
        <v>79</v>
      </c>
      <c r="V40" s="136"/>
      <c r="W40" s="393"/>
      <c r="X40" s="390"/>
      <c r="Y40" s="390"/>
      <c r="Z40" s="390"/>
      <c r="AA40" s="390"/>
    </row>
    <row r="41" spans="1:27" ht="15">
      <c r="A41" s="75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66">
        <f>SUM(C41:N41)</f>
        <v>27317323.440000001</v>
      </c>
      <c r="P41" s="170" t="s">
        <v>108</v>
      </c>
      <c r="Q41" s="75"/>
      <c r="R41" s="125" t="s">
        <v>181</v>
      </c>
      <c r="S41" s="126" t="s">
        <v>184</v>
      </c>
      <c r="T41" s="146" t="s">
        <v>90</v>
      </c>
      <c r="U41" s="147" t="s">
        <v>89</v>
      </c>
      <c r="V41" s="136"/>
      <c r="W41" s="393"/>
      <c r="X41" s="390"/>
      <c r="Y41" s="390"/>
      <c r="Z41" s="390"/>
      <c r="AA41" s="390"/>
    </row>
    <row r="42" spans="1:27" ht="15">
      <c r="A42" s="75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66">
        <f>SUM(C42:N42)</f>
        <v>9240900</v>
      </c>
      <c r="P42" s="170"/>
      <c r="Q42" s="75"/>
      <c r="R42" s="125" t="s">
        <v>175</v>
      </c>
      <c r="S42" s="126" t="s">
        <v>107</v>
      </c>
      <c r="T42" s="146" t="s">
        <v>91</v>
      </c>
      <c r="U42" s="147" t="s">
        <v>92</v>
      </c>
      <c r="V42" s="136"/>
      <c r="W42" s="393"/>
      <c r="X42" s="390"/>
      <c r="Y42" s="390"/>
      <c r="Z42" s="390"/>
      <c r="AA42" s="390"/>
    </row>
    <row r="43" spans="1:27" ht="15">
      <c r="A43" s="75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66">
        <f>SUM(C43:N43)</f>
        <v>18076423.440000001</v>
      </c>
      <c r="P43" s="170"/>
      <c r="Q43" s="75"/>
      <c r="R43" s="125" t="s">
        <v>176</v>
      </c>
      <c r="S43" s="126" t="s">
        <v>177</v>
      </c>
      <c r="T43" s="146" t="s">
        <v>77</v>
      </c>
      <c r="U43" s="147" t="s">
        <v>93</v>
      </c>
      <c r="V43" s="148" t="s">
        <v>94</v>
      </c>
      <c r="W43" s="393"/>
      <c r="X43" s="390"/>
      <c r="Y43" s="390"/>
      <c r="Z43" s="390"/>
      <c r="AA43" s="390"/>
    </row>
    <row r="44" spans="1:27" ht="15">
      <c r="A44" s="75"/>
      <c r="B44" s="575"/>
      <c r="C44" s="572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49"/>
      <c r="P44" s="170"/>
      <c r="Q44" s="75"/>
      <c r="R44" s="125" t="s">
        <v>78</v>
      </c>
      <c r="S44" s="126" t="s">
        <v>178</v>
      </c>
      <c r="T44" s="146" t="s">
        <v>95</v>
      </c>
      <c r="U44" s="147" t="s">
        <v>96</v>
      </c>
      <c r="V44" s="136"/>
      <c r="W44" s="393"/>
      <c r="X44" s="390"/>
      <c r="Y44" s="390"/>
      <c r="Z44" s="390"/>
      <c r="AA44" s="390"/>
    </row>
    <row r="45" spans="1:27" ht="15">
      <c r="A45" s="75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Q45" s="75"/>
      <c r="R45" s="125" t="s">
        <v>102</v>
      </c>
      <c r="S45" s="126" t="s">
        <v>179</v>
      </c>
      <c r="T45" s="149"/>
      <c r="U45" s="150" t="s">
        <v>44</v>
      </c>
      <c r="V45" s="151"/>
      <c r="W45" s="393"/>
      <c r="X45" s="390"/>
      <c r="Y45" s="390"/>
      <c r="Z45" s="390"/>
      <c r="AA45" s="390"/>
    </row>
    <row r="46" spans="1:27" ht="16" thickBot="1">
      <c r="A46" s="75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291</v>
      </c>
      <c r="Q46" s="75"/>
      <c r="R46" s="152" t="s">
        <v>97</v>
      </c>
      <c r="S46" s="153" t="s">
        <v>180</v>
      </c>
      <c r="T46" s="384">
        <v>6.2100000000000002E-2</v>
      </c>
      <c r="U46" s="150"/>
      <c r="V46" s="369">
        <f>SUM(V35:V44)</f>
        <v>694.98019499999998</v>
      </c>
      <c r="W46" s="392">
        <v>0.19</v>
      </c>
      <c r="X46" s="390"/>
      <c r="Y46" s="391">
        <f>SUM(Y35:Y37)</f>
        <v>132.04623705</v>
      </c>
      <c r="Z46" s="390"/>
      <c r="AA46" s="391">
        <f>SUM(AA35:AA37)</f>
        <v>827.02643205000004</v>
      </c>
    </row>
    <row r="47" spans="1:27">
      <c r="A47" s="75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110</v>
      </c>
      <c r="Q47" s="75"/>
      <c r="R47" s="375"/>
      <c r="S47" s="376"/>
      <c r="T47" s="377"/>
      <c r="U47" s="378"/>
    </row>
    <row r="48" spans="1:27">
      <c r="A48" s="75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 t="s">
        <v>292</v>
      </c>
      <c r="Q48" s="75"/>
      <c r="R48" s="162" t="s">
        <v>199</v>
      </c>
      <c r="S48" s="402" t="s">
        <v>195</v>
      </c>
      <c r="T48" s="402" t="s">
        <v>58</v>
      </c>
      <c r="U48" s="402" t="s">
        <v>59</v>
      </c>
    </row>
    <row r="49" spans="1:21">
      <c r="A49" s="75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 t="s">
        <v>107</v>
      </c>
      <c r="P49" s="170" t="s">
        <v>110</v>
      </c>
      <c r="Q49" s="75"/>
      <c r="R49" s="164" t="s">
        <v>60</v>
      </c>
      <c r="S49" s="166">
        <v>10000</v>
      </c>
      <c r="T49" s="165">
        <v>0.21</v>
      </c>
      <c r="U49" s="166">
        <f>S49*T49</f>
        <v>2100</v>
      </c>
    </row>
    <row r="50" spans="1:21">
      <c r="A50" s="75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 t="s">
        <v>134</v>
      </c>
      <c r="Q50" s="75"/>
      <c r="R50" s="163" t="s">
        <v>201</v>
      </c>
      <c r="S50" s="168">
        <v>2000</v>
      </c>
      <c r="T50" s="167">
        <v>0.21</v>
      </c>
      <c r="U50" s="166">
        <f>S50*T50</f>
        <v>420</v>
      </c>
    </row>
    <row r="51" spans="1:21">
      <c r="A51" s="75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 t="s">
        <v>293</v>
      </c>
      <c r="Q51" s="75"/>
      <c r="R51" s="163" t="s">
        <v>196</v>
      </c>
      <c r="S51" s="168">
        <v>50000</v>
      </c>
      <c r="T51" s="167">
        <v>1</v>
      </c>
      <c r="U51" s="168">
        <f>S51*T51</f>
        <v>50000</v>
      </c>
    </row>
    <row r="52" spans="1:21" ht="15" thickBot="1">
      <c r="A52" s="75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  <c r="Q52" s="75"/>
      <c r="R52" s="163" t="s">
        <v>197</v>
      </c>
      <c r="S52" s="168">
        <v>2000</v>
      </c>
      <c r="T52" s="167">
        <v>0.21</v>
      </c>
      <c r="U52" s="169">
        <f>S52*T52</f>
        <v>420</v>
      </c>
    </row>
    <row r="53" spans="1:21" ht="16" thickTop="1" thickBot="1">
      <c r="A53" s="75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  <c r="Q53" s="75"/>
      <c r="R53" s="163" t="s">
        <v>200</v>
      </c>
      <c r="S53" s="168">
        <v>50000</v>
      </c>
      <c r="T53" s="163">
        <v>600</v>
      </c>
      <c r="U53" s="408">
        <f>S53*T53</f>
        <v>30000000</v>
      </c>
    </row>
    <row r="54" spans="1:21">
      <c r="A54" s="75"/>
      <c r="B54" s="576" t="s">
        <v>33</v>
      </c>
      <c r="C54" s="210">
        <v>1</v>
      </c>
      <c r="D54" s="210">
        <v>1</v>
      </c>
      <c r="E54" s="210">
        <v>1</v>
      </c>
      <c r="F54" s="210">
        <v>1</v>
      </c>
      <c r="G54" s="210">
        <v>1</v>
      </c>
      <c r="H54" s="210">
        <v>1</v>
      </c>
      <c r="I54" s="210">
        <v>1</v>
      </c>
      <c r="J54" s="210">
        <v>1</v>
      </c>
      <c r="K54" s="210">
        <v>1</v>
      </c>
      <c r="L54" s="210">
        <v>1</v>
      </c>
      <c r="M54" s="210">
        <v>1</v>
      </c>
      <c r="N54" s="210">
        <v>1</v>
      </c>
      <c r="O54" s="568">
        <v>1</v>
      </c>
      <c r="P54" s="170"/>
      <c r="Q54" s="75"/>
      <c r="R54" s="385" t="s">
        <v>169</v>
      </c>
      <c r="S54" s="386"/>
      <c r="T54" s="386"/>
      <c r="U54" s="386"/>
    </row>
    <row r="55" spans="1:21">
      <c r="A55" s="75"/>
      <c r="B55" s="497" t="s">
        <v>136</v>
      </c>
      <c r="C55" s="212">
        <v>1</v>
      </c>
      <c r="D55" s="212">
        <v>1</v>
      </c>
      <c r="E55" s="212">
        <v>1</v>
      </c>
      <c r="F55" s="212">
        <v>1</v>
      </c>
      <c r="G55" s="212">
        <v>1</v>
      </c>
      <c r="H55" s="212">
        <v>1</v>
      </c>
      <c r="I55" s="212">
        <v>1</v>
      </c>
      <c r="J55" s="212">
        <v>1</v>
      </c>
      <c r="K55" s="212">
        <v>1</v>
      </c>
      <c r="L55" s="212">
        <v>1</v>
      </c>
      <c r="M55" s="212">
        <v>1</v>
      </c>
      <c r="N55" s="212">
        <v>1</v>
      </c>
      <c r="O55" s="569">
        <v>1</v>
      </c>
      <c r="P55" s="170"/>
      <c r="Q55" s="75"/>
      <c r="R55" s="385" t="s">
        <v>170</v>
      </c>
      <c r="S55" s="386"/>
      <c r="T55" s="386"/>
      <c r="U55" s="386"/>
    </row>
    <row r="56" spans="1:21">
      <c r="A56" s="75"/>
      <c r="B56" s="497" t="s">
        <v>114</v>
      </c>
      <c r="C56" s="213">
        <v>1</v>
      </c>
      <c r="D56" s="213">
        <v>1</v>
      </c>
      <c r="E56" s="213">
        <v>1</v>
      </c>
      <c r="F56" s="213">
        <v>1</v>
      </c>
      <c r="G56" s="213">
        <v>1</v>
      </c>
      <c r="H56" s="213">
        <v>1</v>
      </c>
      <c r="I56" s="213">
        <v>1</v>
      </c>
      <c r="J56" s="213">
        <v>1</v>
      </c>
      <c r="K56" s="213">
        <v>1</v>
      </c>
      <c r="L56" s="213">
        <v>1</v>
      </c>
      <c r="M56" s="213">
        <v>1</v>
      </c>
      <c r="N56" s="213">
        <v>1</v>
      </c>
      <c r="O56" s="570">
        <v>1</v>
      </c>
      <c r="P56" s="170"/>
      <c r="Q56" s="75"/>
      <c r="R56" s="385" t="s">
        <v>171</v>
      </c>
      <c r="S56" s="386"/>
      <c r="T56" s="386"/>
      <c r="U56" s="386"/>
    </row>
    <row r="57" spans="1:21" ht="15" thickBot="1">
      <c r="A57" s="75"/>
      <c r="B57" s="498" t="s">
        <v>137</v>
      </c>
      <c r="C57" s="214">
        <v>1</v>
      </c>
      <c r="D57" s="214">
        <v>1</v>
      </c>
      <c r="E57" s="214">
        <v>1</v>
      </c>
      <c r="F57" s="214">
        <v>1</v>
      </c>
      <c r="G57" s="214">
        <v>1</v>
      </c>
      <c r="H57" s="214">
        <v>1</v>
      </c>
      <c r="I57" s="214">
        <v>1</v>
      </c>
      <c r="J57" s="214">
        <v>1</v>
      </c>
      <c r="K57" s="214">
        <v>1</v>
      </c>
      <c r="L57" s="214">
        <v>1</v>
      </c>
      <c r="M57" s="214">
        <v>1</v>
      </c>
      <c r="N57" s="214">
        <v>1</v>
      </c>
      <c r="O57" s="571">
        <v>1</v>
      </c>
      <c r="P57" s="170"/>
      <c r="Q57" s="75"/>
      <c r="R57" s="386" t="s">
        <v>172</v>
      </c>
      <c r="S57" s="386"/>
      <c r="T57" s="386"/>
      <c r="U57" s="386"/>
    </row>
    <row r="58" spans="1:21">
      <c r="A58" s="75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  <c r="Q58" s="75"/>
      <c r="R58" s="381"/>
      <c r="S58" s="381"/>
      <c r="T58" s="381"/>
      <c r="U58" s="381"/>
    </row>
    <row r="59" spans="1:21">
      <c r="A59" s="75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74"/>
      <c r="P59" s="55"/>
      <c r="Q59" s="75"/>
      <c r="R59" s="79" t="s">
        <v>257</v>
      </c>
    </row>
    <row r="60" spans="1:21">
      <c r="A60" s="75"/>
      <c r="B60" s="510"/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08"/>
      <c r="P60" s="55"/>
      <c r="Q60" s="75"/>
    </row>
    <row r="61" spans="1:21">
      <c r="A61" s="75"/>
      <c r="B61" s="511" t="s">
        <v>33</v>
      </c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08"/>
      <c r="P61" s="55"/>
      <c r="Q61" s="75"/>
    </row>
    <row r="62" spans="1:21">
      <c r="A62" s="75"/>
      <c r="B62" s="512" t="s">
        <v>136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08"/>
      <c r="P62" s="55"/>
      <c r="Q62" s="75"/>
    </row>
    <row r="63" spans="1:21">
      <c r="A63" s="75"/>
      <c r="B63" s="513" t="s">
        <v>114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08"/>
      <c r="P63" s="55"/>
      <c r="Q63" s="75"/>
    </row>
    <row r="64" spans="1:21">
      <c r="A64" s="75"/>
      <c r="B64" s="514" t="s">
        <v>137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5"/>
      <c r="Q64" s="75"/>
    </row>
    <row r="65" spans="1:17">
      <c r="A65" s="75"/>
      <c r="B65" s="550"/>
      <c r="C65" s="551" t="s">
        <v>249</v>
      </c>
      <c r="D65" s="551"/>
      <c r="E65" s="551" t="s">
        <v>250</v>
      </c>
      <c r="F65" s="551"/>
      <c r="G65" s="551"/>
      <c r="H65" s="551"/>
      <c r="I65" s="551"/>
      <c r="J65" s="551"/>
      <c r="K65" s="551"/>
      <c r="L65" s="551"/>
      <c r="M65" s="552" t="s">
        <v>253</v>
      </c>
      <c r="N65" s="552"/>
      <c r="O65" s="553"/>
      <c r="P65" s="55"/>
      <c r="Q65" s="75"/>
    </row>
    <row r="66" spans="1:17">
      <c r="A66" s="75"/>
      <c r="B66" s="517" t="s">
        <v>245</v>
      </c>
      <c r="C66" s="518"/>
      <c r="D66" s="518"/>
      <c r="E66" s="518"/>
      <c r="F66" s="518"/>
      <c r="G66" s="518"/>
      <c r="H66" s="518"/>
      <c r="I66" s="518"/>
      <c r="J66" s="518"/>
      <c r="K66" s="518"/>
      <c r="L66" s="518"/>
      <c r="M66" s="518"/>
      <c r="N66" s="518"/>
      <c r="O66" s="518"/>
      <c r="P66" s="55"/>
      <c r="Q66" s="75"/>
    </row>
    <row r="67" spans="1:17">
      <c r="A67" s="75"/>
      <c r="B67" s="506" t="s">
        <v>246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18"/>
      <c r="P67" s="55"/>
      <c r="Q67" s="75"/>
    </row>
    <row r="68" spans="1:17">
      <c r="A68" s="75"/>
      <c r="B68" s="507" t="s">
        <v>247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18"/>
      <c r="P68" s="55"/>
      <c r="Q68" s="75"/>
    </row>
    <row r="69" spans="1:17">
      <c r="A69" s="75"/>
      <c r="B69" s="509" t="s">
        <v>248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18"/>
      <c r="P69" s="55"/>
      <c r="Q69" s="75"/>
    </row>
    <row r="70" spans="1:17">
      <c r="A70" s="75"/>
      <c r="B70" s="510"/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18"/>
      <c r="P70" s="55"/>
      <c r="Q70" s="75"/>
    </row>
    <row r="71" spans="1:17">
      <c r="A71" s="75"/>
      <c r="B71" s="511" t="s">
        <v>33</v>
      </c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18"/>
      <c r="P71" s="55"/>
      <c r="Q71" s="75"/>
    </row>
    <row r="72" spans="1:17">
      <c r="A72" s="75"/>
      <c r="B72" s="512" t="s">
        <v>136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18"/>
      <c r="P72" s="55"/>
      <c r="Q72" s="75"/>
    </row>
    <row r="73" spans="1:17">
      <c r="A73" s="75"/>
      <c r="B73" s="513" t="s">
        <v>114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18"/>
      <c r="P73" s="55"/>
      <c r="Q73" s="75"/>
    </row>
    <row r="74" spans="1:17">
      <c r="A74" s="75"/>
      <c r="B74" s="514" t="s">
        <v>137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18"/>
      <c r="P74" s="55"/>
      <c r="Q74" s="75"/>
    </row>
    <row r="75" spans="1:17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</row>
    <row r="76" spans="1:17">
      <c r="A76" s="75"/>
      <c r="Q76" s="75"/>
    </row>
  </sheetData>
  <mergeCells count="9">
    <mergeCell ref="M65:N65"/>
    <mergeCell ref="B3:O3"/>
    <mergeCell ref="B18:O18"/>
    <mergeCell ref="B32:O32"/>
    <mergeCell ref="C44:N44"/>
    <mergeCell ref="U33:V33"/>
    <mergeCell ref="Z34:AA34"/>
    <mergeCell ref="X34:Y34"/>
    <mergeCell ref="A1:P1"/>
  </mergeCells>
  <phoneticPr fontId="21" type="noConversion"/>
  <printOptions horizontalCentered="1" verticalCentered="1"/>
  <pageMargins left="0.70000000000000007" right="0.70000000000000007" top="0.79000000000000015" bottom="0.79000000000000015" header="0.30000000000000004" footer="0.30000000000000004"/>
  <pageSetup paperSize="8" orientation="landscape" blackAndWhite="1" horizontalDpi="4294967292" verticalDpi="4294967292"/>
  <colBreaks count="1" manualBreakCount="1">
    <brk id="5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N13" sqref="N13"/>
    </sheetView>
  </sheetViews>
  <sheetFormatPr baseColWidth="10" defaultRowHeight="14" x14ac:dyDescent="0"/>
  <cols>
    <col min="1" max="1" width="10.83203125" style="79"/>
    <col min="2" max="2" width="20" style="79" bestFit="1" customWidth="1"/>
    <col min="3" max="3" width="14.83203125" style="79" bestFit="1" customWidth="1"/>
    <col min="4" max="5" width="12.5" style="79" customWidth="1"/>
    <col min="6" max="8" width="12.5" style="79" bestFit="1" customWidth="1"/>
    <col min="9" max="9" width="12.5" style="79" customWidth="1"/>
    <col min="10" max="14" width="12.5" style="79" bestFit="1" customWidth="1"/>
    <col min="15" max="15" width="15.33203125" style="79" bestFit="1" customWidth="1"/>
    <col min="16" max="16" width="21.1640625" style="79" bestFit="1" customWidth="1"/>
    <col min="17" max="17" width="2.83203125" style="79" customWidth="1"/>
    <col min="18" max="18" width="14.5" style="79" bestFit="1" customWidth="1"/>
    <col min="19" max="19" width="26.1640625" style="79" customWidth="1"/>
    <col min="20" max="20" width="23.5" style="79" bestFit="1" customWidth="1"/>
    <col min="21" max="21" width="25.83203125" style="79" bestFit="1" customWidth="1"/>
    <col min="22" max="23" width="10.83203125" style="79"/>
    <col min="24" max="24" width="13" style="79" bestFit="1" customWidth="1"/>
    <col min="25" max="25" width="10.83203125" style="79"/>
    <col min="26" max="26" width="14.5" style="79" bestFit="1" customWidth="1"/>
    <col min="27" max="16384" width="10.83203125" style="79"/>
  </cols>
  <sheetData>
    <row r="1" spans="1:22" ht="25">
      <c r="A1" s="74">
        <v>2026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76" t="s">
        <v>99</v>
      </c>
      <c r="S1" s="77"/>
      <c r="T1" s="78"/>
    </row>
    <row r="2" spans="1:22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75"/>
      <c r="R2" s="80" t="s">
        <v>39</v>
      </c>
      <c r="S2" s="81">
        <v>0.38200000000000001</v>
      </c>
    </row>
    <row r="3" spans="1:22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75"/>
      <c r="R3" s="80" t="s">
        <v>100</v>
      </c>
      <c r="S3" s="82">
        <v>2100</v>
      </c>
    </row>
    <row r="4" spans="1:22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75"/>
      <c r="R4" s="83" t="s">
        <v>101</v>
      </c>
      <c r="S4" s="84">
        <v>6.2100000000000002E-2</v>
      </c>
    </row>
    <row r="5" spans="1:22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75"/>
    </row>
    <row r="6" spans="1:22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75"/>
      <c r="R6" s="85" t="s">
        <v>22</v>
      </c>
      <c r="S6" s="86"/>
      <c r="U6" s="87" t="s">
        <v>29</v>
      </c>
      <c r="V6" s="88" t="s">
        <v>38</v>
      </c>
    </row>
    <row r="7" spans="1:22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90"/>
      <c r="R7" s="91" t="s">
        <v>28</v>
      </c>
      <c r="S7" s="92">
        <v>12000000</v>
      </c>
      <c r="T7" s="93"/>
      <c r="U7" s="94" t="e">
        <f>S7-T21</f>
        <v>#VALUE!</v>
      </c>
      <c r="V7" s="95" t="e">
        <f>U7/T21</f>
        <v>#VALUE!</v>
      </c>
    </row>
    <row r="8" spans="1:22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90"/>
      <c r="R8" s="96" t="s">
        <v>27</v>
      </c>
      <c r="S8" s="97">
        <v>5000000</v>
      </c>
      <c r="T8" s="93"/>
      <c r="U8" s="98" t="e">
        <f>S8-((P6*S2)-P21*S4)</f>
        <v>#VALUE!</v>
      </c>
      <c r="V8" s="99" t="e">
        <f>U8/U9</f>
        <v>#VALUE!</v>
      </c>
    </row>
    <row r="9" spans="1:22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75"/>
      <c r="U9" s="100" t="e">
        <f>S8-U8</f>
        <v>#VALUE!</v>
      </c>
    </row>
    <row r="10" spans="1:22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75"/>
      <c r="R10" s="101" t="s">
        <v>23</v>
      </c>
      <c r="S10" s="102"/>
    </row>
    <row r="11" spans="1:22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75"/>
      <c r="R11" s="103" t="s">
        <v>45</v>
      </c>
      <c r="S11" s="104" t="e">
        <f>Q5/P13</f>
        <v>#VALUE!</v>
      </c>
      <c r="T11" s="105"/>
    </row>
    <row r="12" spans="1:22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75"/>
      <c r="R12" s="106" t="s">
        <v>46</v>
      </c>
      <c r="S12" s="107" t="e">
        <f>Q5/P27</f>
        <v>#DIV/0!</v>
      </c>
    </row>
    <row r="13" spans="1:22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75"/>
      <c r="S13" s="93"/>
    </row>
    <row r="14" spans="1:22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75"/>
      <c r="R14" s="108" t="s">
        <v>24</v>
      </c>
      <c r="S14" s="109"/>
      <c r="T14" s="110"/>
    </row>
    <row r="15" spans="1:22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75"/>
      <c r="R15" s="111" t="s">
        <v>14</v>
      </c>
      <c r="S15" s="112">
        <f>P21</f>
        <v>0</v>
      </c>
      <c r="T15" s="113"/>
    </row>
    <row r="16" spans="1:22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75"/>
      <c r="R16" s="111" t="s">
        <v>13</v>
      </c>
      <c r="S16" s="112">
        <f>SUM(P6)</f>
        <v>0</v>
      </c>
      <c r="T16" s="113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75"/>
      <c r="R17" s="111" t="s">
        <v>15</v>
      </c>
      <c r="S17" s="112" t="e">
        <f>100/S15*S16</f>
        <v>#DIV/0!</v>
      </c>
      <c r="T17" s="113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75"/>
      <c r="R18" s="114" t="s">
        <v>16</v>
      </c>
      <c r="S18" s="115" t="e">
        <f>100-S17</f>
        <v>#DIV/0!</v>
      </c>
      <c r="T18" s="113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75"/>
      <c r="T19" s="116" t="s">
        <v>69</v>
      </c>
      <c r="U19" s="79" t="s">
        <v>70</v>
      </c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75"/>
      <c r="R20" s="117" t="s">
        <v>84</v>
      </c>
      <c r="S20" s="118" t="s">
        <v>52</v>
      </c>
      <c r="T20" s="119" t="s">
        <v>71</v>
      </c>
      <c r="U20" s="120" t="s">
        <v>72</v>
      </c>
      <c r="V20" s="121" t="s">
        <v>74</v>
      </c>
      <c r="W20" s="120" t="s">
        <v>86</v>
      </c>
      <c r="X20" s="122" t="s">
        <v>87</v>
      </c>
      <c r="Y20" s="122"/>
      <c r="Z20" s="123" t="s">
        <v>73</v>
      </c>
      <c r="AA20" s="124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75"/>
      <c r="R21" s="125" t="s">
        <v>98</v>
      </c>
      <c r="S21" s="126" t="s">
        <v>66</v>
      </c>
      <c r="T21" s="127" t="str">
        <f>P25</f>
        <v>Batterie Load</v>
      </c>
      <c r="U21" s="128">
        <v>9.0999999999999998E-2</v>
      </c>
      <c r="V21" s="129" t="e">
        <f>T21*U21</f>
        <v>#VALUE!</v>
      </c>
      <c r="W21" s="130">
        <v>0.19</v>
      </c>
      <c r="X21" s="131" t="e">
        <f>V21*W21</f>
        <v>#VALUE!</v>
      </c>
      <c r="Y21" s="132"/>
      <c r="Z21" s="133" t="e">
        <f>V21+X21</f>
        <v>#VALUE!</v>
      </c>
      <c r="AA21" s="134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75"/>
      <c r="R22" s="125" t="s">
        <v>54</v>
      </c>
      <c r="S22" s="126" t="s">
        <v>67</v>
      </c>
      <c r="T22" s="127" t="str">
        <f>P11</f>
        <v>Total Power</v>
      </c>
      <c r="U22" s="128">
        <v>9.0999999999999998E-2</v>
      </c>
      <c r="V22" s="129" t="e">
        <f>T22*U22</f>
        <v>#VALUE!</v>
      </c>
      <c r="W22" s="130">
        <v>0.19</v>
      </c>
      <c r="X22" s="131" t="e">
        <f>V22*W22</f>
        <v>#VALUE!</v>
      </c>
      <c r="Y22" s="132"/>
      <c r="Z22" s="133" t="e">
        <f>V22+X22</f>
        <v>#VALUE!</v>
      </c>
      <c r="AA22" s="134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75"/>
      <c r="R23" s="125" t="s">
        <v>55</v>
      </c>
      <c r="S23" s="126" t="s">
        <v>68</v>
      </c>
      <c r="T23" s="127" t="str">
        <f>P41</f>
        <v>Einspeisung Tag</v>
      </c>
      <c r="U23" s="128">
        <v>9.0999999999999998E-2</v>
      </c>
      <c r="V23" s="129" t="e">
        <f>T23*U23</f>
        <v>#VALUE!</v>
      </c>
      <c r="W23" s="130">
        <v>0.19</v>
      </c>
      <c r="X23" s="131" t="e">
        <f>V23*W23</f>
        <v>#VALUE!</v>
      </c>
      <c r="Y23" s="132"/>
      <c r="Z23" s="133" t="e">
        <f>V23+X23</f>
        <v>#VALUE!</v>
      </c>
      <c r="AA23" s="134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75"/>
      <c r="R24" s="125" t="s">
        <v>56</v>
      </c>
      <c r="S24" s="126"/>
      <c r="T24" s="127"/>
      <c r="U24" s="135"/>
      <c r="V24" s="136"/>
      <c r="W24" s="137"/>
      <c r="X24" s="138"/>
      <c r="Y24" s="138"/>
      <c r="Z24" s="139"/>
      <c r="AA24" s="139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75"/>
      <c r="R25" s="140" t="s">
        <v>75</v>
      </c>
      <c r="S25" s="141"/>
      <c r="T25" s="142" t="s">
        <v>81</v>
      </c>
      <c r="U25" s="143"/>
      <c r="V25" s="144"/>
      <c r="W25" s="145"/>
      <c r="X25" s="138"/>
      <c r="Y25" s="138"/>
      <c r="Z25" s="139"/>
      <c r="AA25" s="139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75"/>
      <c r="R26" s="125" t="s">
        <v>53</v>
      </c>
      <c r="S26" s="126"/>
      <c r="T26" s="146" t="s">
        <v>88</v>
      </c>
      <c r="U26" s="147" t="s">
        <v>79</v>
      </c>
      <c r="V26" s="136"/>
      <c r="W26" s="137"/>
      <c r="X26" s="138"/>
      <c r="Y26" s="138"/>
      <c r="Z26" s="139"/>
      <c r="AA26" s="139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75"/>
      <c r="R27" s="125" t="s">
        <v>54</v>
      </c>
      <c r="S27" s="126"/>
      <c r="T27" s="146" t="s">
        <v>90</v>
      </c>
      <c r="U27" s="147" t="s">
        <v>89</v>
      </c>
      <c r="V27" s="136"/>
      <c r="W27" s="137"/>
      <c r="X27" s="138"/>
      <c r="Y27" s="138"/>
      <c r="Z27" s="139"/>
      <c r="AA27" s="139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75"/>
      <c r="R28" s="125" t="s">
        <v>55</v>
      </c>
      <c r="S28" s="126"/>
      <c r="T28" s="146" t="s">
        <v>91</v>
      </c>
      <c r="U28" s="147" t="s">
        <v>92</v>
      </c>
      <c r="V28" s="136"/>
      <c r="W28" s="137"/>
      <c r="X28" s="138"/>
      <c r="Y28" s="138"/>
      <c r="Z28" s="139"/>
      <c r="AA28" s="139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75"/>
      <c r="R29" s="125" t="s">
        <v>76</v>
      </c>
      <c r="S29" s="126"/>
      <c r="T29" s="146" t="s">
        <v>77</v>
      </c>
      <c r="U29" s="147" t="s">
        <v>93</v>
      </c>
      <c r="V29" s="148" t="s">
        <v>94</v>
      </c>
      <c r="W29" s="137"/>
      <c r="X29" s="138"/>
      <c r="Y29" s="138"/>
      <c r="Z29" s="139"/>
      <c r="AA29" s="139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75"/>
      <c r="R30" s="125" t="s">
        <v>78</v>
      </c>
      <c r="S30" s="126"/>
      <c r="T30" s="146" t="s">
        <v>95</v>
      </c>
      <c r="U30" s="147" t="s">
        <v>96</v>
      </c>
      <c r="V30" s="136"/>
      <c r="W30" s="137"/>
      <c r="X30" s="138"/>
      <c r="Y30" s="138"/>
      <c r="Z30" s="139"/>
      <c r="AA30" s="139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75"/>
      <c r="R31" s="125" t="s">
        <v>102</v>
      </c>
      <c r="S31" s="126"/>
      <c r="T31" s="149"/>
      <c r="U31" s="150" t="s">
        <v>44</v>
      </c>
      <c r="V31" s="151"/>
      <c r="W31" s="137"/>
      <c r="X31" s="138"/>
      <c r="Y31" s="138"/>
      <c r="Z31" s="139"/>
      <c r="AA31" s="139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75"/>
      <c r="R32" s="152" t="s">
        <v>97</v>
      </c>
      <c r="S32" s="153"/>
      <c r="T32" s="149"/>
      <c r="U32" s="150"/>
      <c r="V32" s="154" t="e">
        <f>SUM(V21:V30)</f>
        <v>#VALUE!</v>
      </c>
      <c r="W32" s="130">
        <v>0.19</v>
      </c>
      <c r="X32" s="138"/>
      <c r="Y32" s="155" t="e">
        <f>SUM(X21:Y23)</f>
        <v>#VALUE!</v>
      </c>
      <c r="Z32" s="139"/>
      <c r="AA32" s="156" t="e">
        <f>SUM(Z21:AA23)</f>
        <v>#VALUE!</v>
      </c>
    </row>
    <row r="33" spans="1:24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75"/>
      <c r="X33" s="157"/>
    </row>
    <row r="34" spans="1:24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75"/>
      <c r="R34" s="158" t="s">
        <v>26</v>
      </c>
      <c r="S34" s="159"/>
    </row>
    <row r="35" spans="1:24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75"/>
      <c r="R35" s="160" t="s">
        <v>47</v>
      </c>
      <c r="S35" s="161" t="e">
        <f>P12*S2</f>
        <v>#VALUE!</v>
      </c>
    </row>
    <row r="36" spans="1:24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75"/>
    </row>
    <row r="37" spans="1:24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75"/>
      <c r="R37" s="79" t="s">
        <v>48</v>
      </c>
      <c r="S37" s="79" t="s">
        <v>49</v>
      </c>
    </row>
    <row r="38" spans="1:24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75"/>
    </row>
    <row r="39" spans="1:24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75"/>
    </row>
    <row r="40" spans="1:24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75"/>
      <c r="R40" s="162" t="s">
        <v>57</v>
      </c>
      <c r="S40" s="163" t="s">
        <v>62</v>
      </c>
      <c r="T40" s="163" t="s">
        <v>58</v>
      </c>
      <c r="U40" s="163" t="s">
        <v>59</v>
      </c>
    </row>
    <row r="41" spans="1:24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Q41" s="75"/>
      <c r="R41" s="164" t="s">
        <v>60</v>
      </c>
      <c r="S41" s="164">
        <v>10000</v>
      </c>
      <c r="T41" s="165">
        <v>0.21</v>
      </c>
      <c r="U41" s="166">
        <f>S41*T41</f>
        <v>2100</v>
      </c>
    </row>
    <row r="42" spans="1:24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Q42" s="75"/>
      <c r="R42" s="163" t="s">
        <v>61</v>
      </c>
      <c r="S42" s="163">
        <v>1000</v>
      </c>
      <c r="T42" s="167">
        <v>0.21</v>
      </c>
      <c r="U42" s="166">
        <f>S42*T42</f>
        <v>210</v>
      </c>
    </row>
    <row r="43" spans="1:24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Q43" s="75"/>
      <c r="R43" s="163" t="s">
        <v>63</v>
      </c>
      <c r="S43" s="163">
        <v>50000</v>
      </c>
      <c r="T43" s="167">
        <v>1</v>
      </c>
      <c r="U43" s="168">
        <f>S43*T43</f>
        <v>50000</v>
      </c>
    </row>
    <row r="44" spans="1:24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Q44" s="75"/>
      <c r="R44" s="163" t="s">
        <v>64</v>
      </c>
      <c r="S44" s="163">
        <v>2000</v>
      </c>
      <c r="T44" s="167">
        <v>0.21</v>
      </c>
      <c r="U44" s="169">
        <f>S44*T44</f>
        <v>420</v>
      </c>
    </row>
    <row r="45" spans="1:24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Q45" s="75"/>
      <c r="R45" s="163"/>
      <c r="S45" s="163"/>
      <c r="T45" s="163"/>
      <c r="U45" s="163"/>
    </row>
    <row r="46" spans="1:24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Q46" s="75"/>
    </row>
    <row r="47" spans="1:24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Q47" s="75"/>
    </row>
    <row r="48" spans="1:24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  <c r="Q48" s="75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18:O18"/>
    <mergeCell ref="B32:O32"/>
    <mergeCell ref="X20:Y20"/>
    <mergeCell ref="Z20:AA20"/>
    <mergeCell ref="X21:Y21"/>
    <mergeCell ref="Z21:AA21"/>
    <mergeCell ref="X22:Y22"/>
    <mergeCell ref="Z22:AA22"/>
    <mergeCell ref="A1:P1"/>
    <mergeCell ref="B3:O3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topLeftCell="A7"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79"/>
    <col min="2" max="2" width="20" style="79" bestFit="1" customWidth="1"/>
    <col min="3" max="3" width="14.83203125" style="79" bestFit="1" customWidth="1"/>
    <col min="4" max="5" width="12.5" style="79" customWidth="1"/>
    <col min="6" max="8" width="12.5" style="79" bestFit="1" customWidth="1"/>
    <col min="9" max="9" width="12.5" style="79" customWidth="1"/>
    <col min="10" max="14" width="12.5" style="79" bestFit="1" customWidth="1"/>
    <col min="15" max="15" width="15.33203125" style="79" bestFit="1" customWidth="1"/>
    <col min="16" max="16" width="20.5" style="79" customWidth="1"/>
    <col min="17" max="17" width="2.83203125" style="79" customWidth="1"/>
    <col min="18" max="18" width="14.5" style="79" bestFit="1" customWidth="1"/>
    <col min="19" max="19" width="26.1640625" style="79" customWidth="1"/>
    <col min="20" max="20" width="23.5" style="79" bestFit="1" customWidth="1"/>
    <col min="21" max="21" width="25.83203125" style="79" bestFit="1" customWidth="1"/>
    <col min="22" max="23" width="10.83203125" style="79"/>
    <col min="24" max="24" width="13" style="79" bestFit="1" customWidth="1"/>
    <col min="25" max="25" width="10.83203125" style="79"/>
    <col min="26" max="26" width="14.5" style="79" bestFit="1" customWidth="1"/>
    <col min="27" max="16384" width="10.83203125" style="79"/>
  </cols>
  <sheetData>
    <row r="1" spans="1:27" ht="25">
      <c r="A1" s="74">
        <v>2027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75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75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75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75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75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9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9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75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75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75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75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75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75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75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75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75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75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75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75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75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75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75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75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75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75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75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75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75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75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75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75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75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75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75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75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75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75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75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75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Q41" s="75"/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Q42" s="75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Q43" s="75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Q44" s="75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Q45" s="75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Q46" s="75"/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Q47" s="75"/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  <c r="Q48" s="75"/>
      <c r="R48" s="170"/>
      <c r="S48" s="170"/>
      <c r="T48" s="170"/>
      <c r="U48" s="170"/>
      <c r="V48" s="170"/>
      <c r="W48" s="170"/>
      <c r="X48" s="170"/>
      <c r="Y48" s="170"/>
      <c r="Z48" s="170"/>
      <c r="AA48" s="170"/>
    </row>
    <row r="49" spans="1:27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</row>
    <row r="50" spans="1:27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</row>
    <row r="51" spans="1:27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</row>
    <row r="52" spans="1:27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</row>
    <row r="53" spans="1:27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</row>
    <row r="54" spans="1:27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27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27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27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27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27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27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27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27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27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27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13.1640625" style="19" customWidth="1"/>
    <col min="19" max="19" width="10.33203125" style="19" bestFit="1" customWidth="1"/>
    <col min="20" max="20" width="23.5" style="19" bestFit="1" customWidth="1"/>
    <col min="21" max="21" width="25.83203125" style="19" customWidth="1"/>
    <col min="22" max="16384" width="10.83203125" style="19"/>
  </cols>
  <sheetData>
    <row r="1" spans="1:27" ht="25">
      <c r="A1" s="237">
        <v>2028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</row>
    <row r="49" spans="1:27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</row>
    <row r="50" spans="1:27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</row>
    <row r="51" spans="1:27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</row>
    <row r="52" spans="1:27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</row>
    <row r="53" spans="1:27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</row>
    <row r="54" spans="1:27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27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27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27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27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27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27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27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27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27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27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2029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458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1.16406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9"/>
    <col min="2" max="2" width="20" style="19" bestFit="1" customWidth="1"/>
    <col min="3" max="3" width="14.83203125" style="19" bestFit="1" customWidth="1"/>
    <col min="4" max="14" width="12.5" style="19" bestFit="1" customWidth="1"/>
    <col min="15" max="15" width="15.33203125" style="19" bestFit="1" customWidth="1"/>
    <col min="16" max="16" width="20.33203125" style="19" bestFit="1" customWidth="1"/>
    <col min="17" max="17" width="2.83203125" style="19" customWidth="1"/>
    <col min="18" max="18" width="29.5" style="19" bestFit="1" customWidth="1"/>
    <col min="19" max="19" width="10.83203125" style="19"/>
    <col min="20" max="20" width="10.33203125" style="19" bestFit="1" customWidth="1"/>
    <col min="21" max="21" width="23.5" style="19" bestFit="1" customWidth="1"/>
    <col min="22" max="22" width="25.83203125" style="19" customWidth="1"/>
    <col min="23" max="16384" width="10.83203125" style="19"/>
  </cols>
  <sheetData>
    <row r="1" spans="1:27" ht="25">
      <c r="A1" s="237">
        <v>2032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"/>
      <c r="R1" s="244" t="s">
        <v>99</v>
      </c>
      <c r="S1" s="245"/>
      <c r="T1" s="246"/>
      <c r="U1" s="170"/>
      <c r="V1" s="170"/>
      <c r="W1" s="170"/>
      <c r="X1" s="170"/>
      <c r="Y1" s="170"/>
      <c r="Z1" s="170"/>
      <c r="AA1" s="170"/>
    </row>
    <row r="2" spans="1:27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2"/>
      <c r="R2" s="247" t="s">
        <v>39</v>
      </c>
      <c r="S2" s="248">
        <v>0.38</v>
      </c>
      <c r="T2" s="170"/>
      <c r="U2" s="170"/>
      <c r="V2" s="170"/>
      <c r="W2" s="170"/>
      <c r="X2" s="170"/>
      <c r="Y2" s="170"/>
      <c r="Z2" s="170"/>
      <c r="AA2" s="170"/>
    </row>
    <row r="3" spans="1:27" ht="25">
      <c r="A3" s="170"/>
      <c r="B3" s="238" t="s">
        <v>142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170"/>
      <c r="Q3" s="2"/>
      <c r="R3" s="247" t="s">
        <v>100</v>
      </c>
      <c r="S3" s="249">
        <v>2100</v>
      </c>
      <c r="T3" s="170"/>
      <c r="U3" s="170"/>
      <c r="V3" s="170"/>
      <c r="W3" s="170"/>
      <c r="X3" s="170"/>
      <c r="Y3" s="170"/>
      <c r="Z3" s="170"/>
      <c r="AA3" s="170"/>
    </row>
    <row r="4" spans="1:27" ht="15" thickBot="1">
      <c r="A4" s="170"/>
      <c r="B4" s="171" t="s">
        <v>135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  <c r="K4" s="172" t="s">
        <v>20</v>
      </c>
      <c r="L4" s="172" t="s">
        <v>10</v>
      </c>
      <c r="M4" s="172" t="s">
        <v>19</v>
      </c>
      <c r="N4" s="172" t="s">
        <v>18</v>
      </c>
      <c r="O4" s="172" t="s">
        <v>130</v>
      </c>
      <c r="P4" s="170"/>
      <c r="Q4" s="2"/>
      <c r="R4" s="250" t="s">
        <v>101</v>
      </c>
      <c r="S4" s="251">
        <v>6.2100000000000002E-2</v>
      </c>
      <c r="T4" s="170"/>
      <c r="U4" s="170"/>
      <c r="V4" s="170"/>
      <c r="W4" s="170"/>
      <c r="X4" s="170"/>
      <c r="Y4" s="170"/>
      <c r="Z4" s="170"/>
      <c r="AA4" s="170"/>
    </row>
    <row r="5" spans="1:27" ht="15" thickBot="1">
      <c r="A5" s="170"/>
      <c r="B5" s="173" t="s">
        <v>80</v>
      </c>
      <c r="C5" s="174">
        <v>50000</v>
      </c>
      <c r="D5" s="175">
        <v>50000</v>
      </c>
      <c r="E5" s="175">
        <v>50000</v>
      </c>
      <c r="F5" s="175">
        <v>50000</v>
      </c>
      <c r="G5" s="175">
        <v>50000</v>
      </c>
      <c r="H5" s="175">
        <v>50000</v>
      </c>
      <c r="I5" s="175">
        <v>50000</v>
      </c>
      <c r="J5" s="175">
        <v>50000</v>
      </c>
      <c r="K5" s="175">
        <v>50000</v>
      </c>
      <c r="L5" s="175">
        <v>50000</v>
      </c>
      <c r="M5" s="175">
        <v>50000</v>
      </c>
      <c r="N5" s="175">
        <v>50000</v>
      </c>
      <c r="O5" s="176">
        <v>50000</v>
      </c>
      <c r="P5" s="177" t="s">
        <v>139</v>
      </c>
      <c r="Q5" s="2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5" thickTop="1">
      <c r="A6" s="170"/>
      <c r="B6" s="178" t="s">
        <v>82</v>
      </c>
      <c r="C6" s="179">
        <v>2666.67</v>
      </c>
      <c r="D6" s="180">
        <v>2666.67</v>
      </c>
      <c r="E6" s="180">
        <v>2857.14</v>
      </c>
      <c r="F6" s="180">
        <v>2857.14</v>
      </c>
      <c r="G6" s="180">
        <v>4000</v>
      </c>
      <c r="H6" s="180">
        <v>5000</v>
      </c>
      <c r="I6" s="180">
        <v>5000</v>
      </c>
      <c r="J6" s="180">
        <v>5000</v>
      </c>
      <c r="K6" s="180">
        <v>2857.14</v>
      </c>
      <c r="L6" s="180">
        <v>2857.14</v>
      </c>
      <c r="M6" s="180">
        <v>2857.14</v>
      </c>
      <c r="N6" s="180">
        <v>2666.67</v>
      </c>
      <c r="O6" s="176">
        <v>3440.48</v>
      </c>
      <c r="P6" s="181" t="s">
        <v>104</v>
      </c>
      <c r="Q6" s="2"/>
      <c r="R6" s="252" t="s">
        <v>22</v>
      </c>
      <c r="S6" s="253"/>
      <c r="T6" s="170"/>
      <c r="U6" s="254" t="s">
        <v>29</v>
      </c>
      <c r="V6" s="255" t="s">
        <v>38</v>
      </c>
      <c r="W6" s="170"/>
      <c r="X6" s="170"/>
      <c r="Y6" s="170"/>
      <c r="Z6" s="170"/>
      <c r="AA6" s="170"/>
    </row>
    <row r="7" spans="1:27">
      <c r="A7" s="170"/>
      <c r="B7" s="178" t="s">
        <v>240</v>
      </c>
      <c r="C7" s="182">
        <v>31</v>
      </c>
      <c r="D7" s="183">
        <v>28</v>
      </c>
      <c r="E7" s="183">
        <v>31</v>
      </c>
      <c r="F7" s="183">
        <v>30</v>
      </c>
      <c r="G7" s="183">
        <v>31</v>
      </c>
      <c r="H7" s="183">
        <v>30</v>
      </c>
      <c r="I7" s="183">
        <v>31</v>
      </c>
      <c r="J7" s="183">
        <v>31</v>
      </c>
      <c r="K7" s="183">
        <v>30</v>
      </c>
      <c r="L7" s="183">
        <v>31</v>
      </c>
      <c r="M7" s="183">
        <v>30</v>
      </c>
      <c r="N7" s="183">
        <v>31</v>
      </c>
      <c r="O7" s="184">
        <f>SUM(C7:N7)</f>
        <v>365</v>
      </c>
      <c r="P7" s="185" t="s">
        <v>140</v>
      </c>
      <c r="Q7" s="10"/>
      <c r="R7" s="256" t="s">
        <v>28</v>
      </c>
      <c r="S7" s="257">
        <v>12000000</v>
      </c>
      <c r="T7" s="258"/>
      <c r="U7" s="259">
        <v>3584400</v>
      </c>
      <c r="V7" s="260">
        <v>0.43</v>
      </c>
      <c r="W7" s="170"/>
      <c r="X7" s="170"/>
      <c r="Y7" s="170"/>
      <c r="Z7" s="170"/>
      <c r="AA7" s="170"/>
    </row>
    <row r="8" spans="1:27" ht="15" thickBot="1">
      <c r="A8" s="170"/>
      <c r="B8" s="178" t="s">
        <v>241</v>
      </c>
      <c r="C8" s="182">
        <v>15</v>
      </c>
      <c r="D8" s="183">
        <v>15</v>
      </c>
      <c r="E8" s="183">
        <v>14</v>
      </c>
      <c r="F8" s="183">
        <v>14</v>
      </c>
      <c r="G8" s="183">
        <v>10</v>
      </c>
      <c r="H8" s="183">
        <v>8</v>
      </c>
      <c r="I8" s="183">
        <v>8</v>
      </c>
      <c r="J8" s="183">
        <v>8</v>
      </c>
      <c r="K8" s="183">
        <v>14</v>
      </c>
      <c r="L8" s="183">
        <v>14</v>
      </c>
      <c r="M8" s="183">
        <v>14</v>
      </c>
      <c r="N8" s="183">
        <v>15</v>
      </c>
      <c r="O8" s="186">
        <f>O10+O24</f>
        <v>8760</v>
      </c>
      <c r="P8" s="170" t="s">
        <v>141</v>
      </c>
      <c r="Q8" s="10"/>
      <c r="R8" s="261" t="s">
        <v>27</v>
      </c>
      <c r="S8" s="262">
        <v>5000000</v>
      </c>
      <c r="T8" s="258"/>
      <c r="U8" s="263">
        <v>4998685.8</v>
      </c>
      <c r="V8" s="264">
        <v>3803.6</v>
      </c>
      <c r="W8" s="170"/>
      <c r="X8" s="170"/>
      <c r="Y8" s="170"/>
      <c r="Z8" s="170"/>
      <c r="AA8" s="170"/>
    </row>
    <row r="9" spans="1:27" ht="15" thickBot="1">
      <c r="A9" s="170"/>
      <c r="B9" s="178" t="s">
        <v>83</v>
      </c>
      <c r="C9" s="182">
        <v>40000</v>
      </c>
      <c r="D9" s="183">
        <v>40000</v>
      </c>
      <c r="E9" s="183">
        <v>40000</v>
      </c>
      <c r="F9" s="183">
        <v>40000</v>
      </c>
      <c r="G9" s="183">
        <v>40000</v>
      </c>
      <c r="H9" s="183">
        <v>40000</v>
      </c>
      <c r="I9" s="183">
        <v>40000</v>
      </c>
      <c r="J9" s="183">
        <v>40000</v>
      </c>
      <c r="K9" s="183">
        <v>40000</v>
      </c>
      <c r="L9" s="183">
        <v>40000</v>
      </c>
      <c r="M9" s="183">
        <v>40000</v>
      </c>
      <c r="N9" s="183">
        <v>40000</v>
      </c>
      <c r="O9" s="186">
        <v>40000</v>
      </c>
      <c r="P9" s="170"/>
      <c r="Q9" s="2"/>
      <c r="R9" s="170"/>
      <c r="S9" s="170"/>
      <c r="T9" s="170"/>
      <c r="U9" s="265">
        <v>1314.2</v>
      </c>
      <c r="V9" s="170"/>
      <c r="W9" s="170"/>
      <c r="X9" s="170"/>
      <c r="Y9" s="170"/>
      <c r="Z9" s="170"/>
      <c r="AA9" s="170"/>
    </row>
    <row r="10" spans="1:27">
      <c r="A10" s="170"/>
      <c r="B10" s="178" t="s">
        <v>242</v>
      </c>
      <c r="C10" s="187">
        <v>465</v>
      </c>
      <c r="D10" s="188">
        <v>420</v>
      </c>
      <c r="E10" s="188">
        <v>434</v>
      </c>
      <c r="F10" s="188">
        <v>420</v>
      </c>
      <c r="G10" s="188">
        <v>310</v>
      </c>
      <c r="H10" s="188">
        <v>240</v>
      </c>
      <c r="I10" s="188">
        <v>248</v>
      </c>
      <c r="J10" s="188">
        <v>248</v>
      </c>
      <c r="K10" s="188">
        <v>420</v>
      </c>
      <c r="L10" s="188">
        <v>434</v>
      </c>
      <c r="M10" s="188">
        <v>420</v>
      </c>
      <c r="N10" s="188">
        <v>465</v>
      </c>
      <c r="O10" s="186">
        <v>4524</v>
      </c>
      <c r="P10" s="170" t="s">
        <v>103</v>
      </c>
      <c r="Q10" s="2"/>
      <c r="R10" s="266" t="s">
        <v>23</v>
      </c>
      <c r="S10" s="267"/>
      <c r="T10" s="170"/>
      <c r="U10" s="170"/>
      <c r="V10" s="170"/>
      <c r="W10" s="170"/>
      <c r="X10" s="170"/>
      <c r="Y10" s="170"/>
      <c r="Z10" s="170"/>
      <c r="AA10" s="170"/>
    </row>
    <row r="11" spans="1:27">
      <c r="A11" s="170"/>
      <c r="B11" s="178" t="s">
        <v>235</v>
      </c>
      <c r="C11" s="492">
        <v>23250000</v>
      </c>
      <c r="D11" s="493">
        <v>21000000</v>
      </c>
      <c r="E11" s="493">
        <v>21700000</v>
      </c>
      <c r="F11" s="493">
        <v>21000000</v>
      </c>
      <c r="G11" s="493">
        <v>15500000</v>
      </c>
      <c r="H11" s="493">
        <v>12000000</v>
      </c>
      <c r="I11" s="493">
        <v>12400000</v>
      </c>
      <c r="J11" s="493">
        <v>12400000</v>
      </c>
      <c r="K11" s="493">
        <v>21000000</v>
      </c>
      <c r="L11" s="493">
        <v>21700000</v>
      </c>
      <c r="M11" s="493">
        <v>21000000</v>
      </c>
      <c r="N11" s="493">
        <v>23250000</v>
      </c>
      <c r="O11" s="494">
        <v>226200000</v>
      </c>
      <c r="P11" s="170" t="s">
        <v>138</v>
      </c>
      <c r="Q11" s="2"/>
      <c r="R11" s="268" t="s">
        <v>45</v>
      </c>
      <c r="S11" s="269" t="e">
        <v>#VALUE!</v>
      </c>
      <c r="T11" s="270"/>
      <c r="U11" s="170"/>
      <c r="V11" s="170"/>
      <c r="W11" s="170"/>
      <c r="X11" s="170"/>
      <c r="Y11" s="170"/>
      <c r="Z11" s="170"/>
      <c r="AA11" s="170"/>
    </row>
    <row r="12" spans="1:27" ht="16" thickBot="1">
      <c r="A12" s="170"/>
      <c r="B12" s="189" t="s">
        <v>131</v>
      </c>
      <c r="C12" s="190">
        <v>40000</v>
      </c>
      <c r="D12" s="191">
        <v>40000</v>
      </c>
      <c r="E12" s="191">
        <v>40000</v>
      </c>
      <c r="F12" s="191">
        <v>40000</v>
      </c>
      <c r="G12" s="191">
        <v>40000</v>
      </c>
      <c r="H12" s="191">
        <v>40000</v>
      </c>
      <c r="I12" s="191">
        <v>40000</v>
      </c>
      <c r="J12" s="191">
        <v>40000</v>
      </c>
      <c r="K12" s="191">
        <v>40000</v>
      </c>
      <c r="L12" s="191">
        <v>40000</v>
      </c>
      <c r="M12" s="191">
        <v>40000</v>
      </c>
      <c r="N12" s="191">
        <v>40000</v>
      </c>
      <c r="O12" s="192">
        <v>480000</v>
      </c>
      <c r="P12" s="170" t="s">
        <v>128</v>
      </c>
      <c r="Q12" s="2"/>
      <c r="R12" s="271" t="s">
        <v>46</v>
      </c>
      <c r="S12" s="272" t="e">
        <v>#VALUE!</v>
      </c>
      <c r="T12" s="170"/>
      <c r="U12" s="170"/>
      <c r="V12" s="170"/>
      <c r="W12" s="170"/>
      <c r="X12" s="170"/>
      <c r="Y12" s="170"/>
      <c r="Z12" s="170"/>
      <c r="AA12" s="170"/>
    </row>
    <row r="13" spans="1:27" ht="16" thickTop="1" thickBot="1">
      <c r="A13" s="170"/>
      <c r="B13" s="193" t="s">
        <v>12</v>
      </c>
      <c r="C13" s="194">
        <v>1200000</v>
      </c>
      <c r="D13" s="194">
        <v>1080000</v>
      </c>
      <c r="E13" s="194">
        <v>1200000</v>
      </c>
      <c r="F13" s="194">
        <v>1160000</v>
      </c>
      <c r="G13" s="194">
        <v>1200000</v>
      </c>
      <c r="H13" s="194">
        <v>1160000</v>
      </c>
      <c r="I13" s="194">
        <v>1200000</v>
      </c>
      <c r="J13" s="194">
        <v>1200000</v>
      </c>
      <c r="K13" s="194">
        <v>1160000</v>
      </c>
      <c r="L13" s="194">
        <v>1200000</v>
      </c>
      <c r="M13" s="194">
        <v>1160000</v>
      </c>
      <c r="N13" s="194">
        <v>1200000</v>
      </c>
      <c r="O13" s="195">
        <v>14120000</v>
      </c>
      <c r="P13" s="170" t="s">
        <v>138</v>
      </c>
      <c r="Q13" s="2"/>
      <c r="R13" s="170"/>
      <c r="S13" s="258"/>
      <c r="T13" s="170"/>
      <c r="U13" s="170"/>
      <c r="V13" s="170"/>
      <c r="W13" s="170"/>
      <c r="X13" s="170"/>
      <c r="Y13" s="170"/>
      <c r="Z13" s="170"/>
      <c r="AA13" s="170"/>
    </row>
    <row r="14" spans="1:27">
      <c r="A14" s="170"/>
      <c r="B14" s="495" t="s">
        <v>234</v>
      </c>
      <c r="C14" s="540">
        <v>1111.1099999999999</v>
      </c>
      <c r="D14" s="540">
        <v>1111.1099999999999</v>
      </c>
      <c r="E14" s="540">
        <v>1000</v>
      </c>
      <c r="F14" s="540">
        <v>1000</v>
      </c>
      <c r="G14" s="540">
        <v>714.29</v>
      </c>
      <c r="H14" s="540">
        <v>625</v>
      </c>
      <c r="I14" s="540">
        <v>625</v>
      </c>
      <c r="J14" s="540">
        <v>625</v>
      </c>
      <c r="K14" s="540">
        <v>1000</v>
      </c>
      <c r="L14" s="540">
        <v>1000</v>
      </c>
      <c r="M14" s="540">
        <v>1000</v>
      </c>
      <c r="N14" s="540">
        <v>1111.1099999999999</v>
      </c>
      <c r="O14" s="196">
        <v>0</v>
      </c>
      <c r="P14" s="170" t="s">
        <v>236</v>
      </c>
      <c r="Q14" s="2"/>
      <c r="R14" s="273" t="s">
        <v>24</v>
      </c>
      <c r="S14" s="274"/>
      <c r="T14" s="275"/>
      <c r="U14" s="170"/>
      <c r="V14" s="170"/>
      <c r="W14" s="170"/>
      <c r="X14" s="170"/>
      <c r="Y14" s="170"/>
      <c r="Z14" s="170"/>
      <c r="AA14" s="170"/>
    </row>
    <row r="15" spans="1:27">
      <c r="A15" s="170"/>
      <c r="B15" s="495" t="s">
        <v>85</v>
      </c>
      <c r="C15" s="541">
        <v>4444.4399999999996</v>
      </c>
      <c r="D15" s="541">
        <v>4444.4399999999996</v>
      </c>
      <c r="E15" s="541">
        <v>4000</v>
      </c>
      <c r="F15" s="541">
        <v>4000</v>
      </c>
      <c r="G15" s="541">
        <v>2857.14</v>
      </c>
      <c r="H15" s="541">
        <v>2500</v>
      </c>
      <c r="I15" s="541">
        <v>2500</v>
      </c>
      <c r="J15" s="541">
        <v>2500</v>
      </c>
      <c r="K15" s="541">
        <v>4000</v>
      </c>
      <c r="L15" s="541">
        <v>4000</v>
      </c>
      <c r="M15" s="541">
        <v>4000</v>
      </c>
      <c r="N15" s="541">
        <v>4444.4399999999996</v>
      </c>
      <c r="O15" s="197">
        <v>0</v>
      </c>
      <c r="P15" s="170" t="s">
        <v>237</v>
      </c>
      <c r="Q15" s="2"/>
      <c r="R15" s="276" t="s">
        <v>14</v>
      </c>
      <c r="S15" s="277">
        <v>1</v>
      </c>
      <c r="T15" s="278"/>
      <c r="U15" s="170"/>
      <c r="V15" s="170"/>
      <c r="W15" s="170"/>
      <c r="X15" s="170"/>
      <c r="Y15" s="170"/>
      <c r="Z15" s="170"/>
      <c r="AA15" s="170"/>
    </row>
    <row r="16" spans="1:27">
      <c r="A16" s="170"/>
      <c r="B16" s="495" t="s">
        <v>233</v>
      </c>
      <c r="C16" s="542">
        <v>4444.4399999999996</v>
      </c>
      <c r="D16" s="542">
        <v>4444.4399999999996</v>
      </c>
      <c r="E16" s="542">
        <v>4000</v>
      </c>
      <c r="F16" s="542">
        <v>4000</v>
      </c>
      <c r="G16" s="542">
        <v>2857.14</v>
      </c>
      <c r="H16" s="542">
        <v>2500</v>
      </c>
      <c r="I16" s="542">
        <v>2500</v>
      </c>
      <c r="J16" s="542">
        <v>2500</v>
      </c>
      <c r="K16" s="542">
        <v>4000</v>
      </c>
      <c r="L16" s="542">
        <v>4000</v>
      </c>
      <c r="M16" s="542">
        <v>4000</v>
      </c>
      <c r="N16" s="542">
        <v>4444.4399999999996</v>
      </c>
      <c r="O16" s="543" t="s">
        <v>284</v>
      </c>
      <c r="P16" s="170" t="s">
        <v>238</v>
      </c>
      <c r="Q16" s="2"/>
      <c r="R16" s="276" t="s">
        <v>13</v>
      </c>
      <c r="S16" s="277">
        <v>3440.48</v>
      </c>
      <c r="T16" s="278"/>
      <c r="U16" s="170"/>
      <c r="V16" s="170"/>
      <c r="W16" s="170"/>
      <c r="X16" s="170"/>
      <c r="Y16" s="170"/>
      <c r="Z16" s="170"/>
      <c r="AA16" s="170"/>
    </row>
    <row r="17" spans="1:27" ht="15" thickBot="1">
      <c r="A17" s="170"/>
      <c r="B17" s="496" t="s">
        <v>283</v>
      </c>
      <c r="C17" s="544">
        <v>5555.56</v>
      </c>
      <c r="D17" s="544">
        <v>5555.56</v>
      </c>
      <c r="E17" s="544">
        <v>5000</v>
      </c>
      <c r="F17" s="544">
        <v>5000</v>
      </c>
      <c r="G17" s="544">
        <v>3571.43</v>
      </c>
      <c r="H17" s="544">
        <v>3125</v>
      </c>
      <c r="I17" s="544">
        <v>3125</v>
      </c>
      <c r="J17" s="544">
        <v>3125</v>
      </c>
      <c r="K17" s="544">
        <v>5000</v>
      </c>
      <c r="L17" s="544">
        <v>5000</v>
      </c>
      <c r="M17" s="544">
        <v>5000</v>
      </c>
      <c r="N17" s="544">
        <v>5555.56</v>
      </c>
      <c r="O17" s="198">
        <v>0</v>
      </c>
      <c r="P17" s="170" t="s">
        <v>239</v>
      </c>
      <c r="Q17" s="2"/>
      <c r="R17" s="276" t="s">
        <v>15</v>
      </c>
      <c r="S17" s="277">
        <v>344047.62</v>
      </c>
      <c r="T17" s="278"/>
      <c r="U17" s="170"/>
      <c r="V17" s="170"/>
      <c r="W17" s="170"/>
      <c r="X17" s="170"/>
      <c r="Y17" s="170"/>
      <c r="Z17" s="170"/>
      <c r="AA17" s="170"/>
    </row>
    <row r="18" spans="1:27" ht="25">
      <c r="A18" s="170"/>
      <c r="B18" s="239" t="s">
        <v>143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1"/>
      <c r="P18" s="170"/>
      <c r="Q18" s="2"/>
      <c r="R18" s="279" t="s">
        <v>16</v>
      </c>
      <c r="S18" s="280">
        <v>-343947.62</v>
      </c>
      <c r="T18" s="278"/>
      <c r="U18" s="170"/>
      <c r="V18" s="170"/>
      <c r="W18" s="170"/>
      <c r="X18" s="170"/>
      <c r="Y18" s="170"/>
      <c r="Z18" s="170"/>
      <c r="AA18" s="170"/>
    </row>
    <row r="19" spans="1:27">
      <c r="A19" s="170"/>
      <c r="B19" s="171" t="s">
        <v>135</v>
      </c>
      <c r="C19" s="172" t="s">
        <v>2</v>
      </c>
      <c r="D19" s="172" t="s">
        <v>3</v>
      </c>
      <c r="E19" s="172" t="s">
        <v>4</v>
      </c>
      <c r="F19" s="172" t="s">
        <v>5</v>
      </c>
      <c r="G19" s="172" t="s">
        <v>6</v>
      </c>
      <c r="H19" s="172" t="s">
        <v>7</v>
      </c>
      <c r="I19" s="172" t="s">
        <v>8</v>
      </c>
      <c r="J19" s="172" t="s">
        <v>9</v>
      </c>
      <c r="K19" s="172" t="s">
        <v>20</v>
      </c>
      <c r="L19" s="172" t="s">
        <v>10</v>
      </c>
      <c r="M19" s="172" t="s">
        <v>19</v>
      </c>
      <c r="N19" s="172" t="s">
        <v>18</v>
      </c>
      <c r="O19" s="172" t="s">
        <v>129</v>
      </c>
      <c r="P19" s="170" t="s">
        <v>44</v>
      </c>
      <c r="Q19" s="2"/>
      <c r="R19" s="170"/>
      <c r="S19" s="170"/>
      <c r="T19" s="281" t="s">
        <v>69</v>
      </c>
      <c r="U19" s="170" t="s">
        <v>70</v>
      </c>
      <c r="V19" s="170"/>
      <c r="W19" s="170"/>
      <c r="X19" s="170"/>
      <c r="Y19" s="170"/>
      <c r="Z19" s="170"/>
      <c r="AA19" s="170"/>
    </row>
    <row r="20" spans="1:27" ht="15">
      <c r="A20" s="170"/>
      <c r="B20" s="199" t="s">
        <v>106</v>
      </c>
      <c r="C20" s="179">
        <v>585900</v>
      </c>
      <c r="D20" s="180">
        <v>529200</v>
      </c>
      <c r="E20" s="180">
        <v>651000</v>
      </c>
      <c r="F20" s="180">
        <v>630000</v>
      </c>
      <c r="G20" s="180">
        <v>911400</v>
      </c>
      <c r="H20" s="180">
        <v>1008000</v>
      </c>
      <c r="I20" s="180">
        <v>1041600</v>
      </c>
      <c r="J20" s="180">
        <v>1041600</v>
      </c>
      <c r="K20" s="180">
        <v>630000</v>
      </c>
      <c r="L20" s="180">
        <v>651000</v>
      </c>
      <c r="M20" s="180">
        <v>630000</v>
      </c>
      <c r="N20" s="180">
        <v>585900</v>
      </c>
      <c r="O20" s="200">
        <v>8895600</v>
      </c>
      <c r="P20" s="170" t="s">
        <v>44</v>
      </c>
      <c r="Q20" s="2"/>
      <c r="R20" s="282" t="s">
        <v>84</v>
      </c>
      <c r="S20" s="283" t="s">
        <v>52</v>
      </c>
      <c r="T20" s="284" t="s">
        <v>71</v>
      </c>
      <c r="U20" s="285" t="s">
        <v>72</v>
      </c>
      <c r="V20" s="286" t="s">
        <v>74</v>
      </c>
      <c r="W20" s="285" t="s">
        <v>86</v>
      </c>
      <c r="X20" s="330" t="s">
        <v>87</v>
      </c>
      <c r="Y20" s="331"/>
      <c r="Z20" s="333" t="s">
        <v>73</v>
      </c>
      <c r="AA20" s="332"/>
    </row>
    <row r="21" spans="1:27" ht="15">
      <c r="A21" s="170"/>
      <c r="B21" s="201" t="s">
        <v>114</v>
      </c>
      <c r="C21" s="202">
        <v>2100</v>
      </c>
      <c r="D21" s="203">
        <v>2100</v>
      </c>
      <c r="E21" s="203">
        <v>2100</v>
      </c>
      <c r="F21" s="203">
        <v>2100</v>
      </c>
      <c r="G21" s="203">
        <v>2100</v>
      </c>
      <c r="H21" s="203">
        <v>2100</v>
      </c>
      <c r="I21" s="203">
        <v>2100</v>
      </c>
      <c r="J21" s="203">
        <v>2100</v>
      </c>
      <c r="K21" s="203">
        <v>2100</v>
      </c>
      <c r="L21" s="203">
        <v>2100</v>
      </c>
      <c r="M21" s="203">
        <v>2100</v>
      </c>
      <c r="N21" s="203">
        <v>2100</v>
      </c>
      <c r="O21" s="200">
        <v>1</v>
      </c>
      <c r="P21" s="170"/>
      <c r="Q21" s="2"/>
      <c r="R21" s="287" t="s">
        <v>98</v>
      </c>
      <c r="S21" s="288" t="s">
        <v>146</v>
      </c>
      <c r="T21" s="289">
        <v>8415600</v>
      </c>
      <c r="U21" s="290">
        <v>9.0999999999999998E-2</v>
      </c>
      <c r="V21" s="291">
        <v>765819.6</v>
      </c>
      <c r="W21" s="292">
        <v>0.19</v>
      </c>
      <c r="X21" s="335">
        <v>145505.72</v>
      </c>
      <c r="Y21" s="336"/>
      <c r="Z21" s="337">
        <v>911325.32</v>
      </c>
      <c r="AA21" s="337"/>
    </row>
    <row r="22" spans="1:27" ht="15">
      <c r="A22" s="170"/>
      <c r="B22" s="201" t="s">
        <v>118</v>
      </c>
      <c r="C22" s="182">
        <v>9</v>
      </c>
      <c r="D22" s="183">
        <v>9</v>
      </c>
      <c r="E22" s="183">
        <v>10</v>
      </c>
      <c r="F22" s="183">
        <v>10</v>
      </c>
      <c r="G22" s="183">
        <v>14</v>
      </c>
      <c r="H22" s="183">
        <v>16</v>
      </c>
      <c r="I22" s="183">
        <v>16</v>
      </c>
      <c r="J22" s="183">
        <v>16</v>
      </c>
      <c r="K22" s="183">
        <v>10</v>
      </c>
      <c r="L22" s="183">
        <v>10</v>
      </c>
      <c r="M22" s="183">
        <v>10</v>
      </c>
      <c r="N22" s="183">
        <v>9</v>
      </c>
      <c r="O22" s="184">
        <v>1</v>
      </c>
      <c r="P22" s="170"/>
      <c r="Q22" s="2"/>
      <c r="R22" s="287" t="s">
        <v>54</v>
      </c>
      <c r="S22" s="288" t="s">
        <v>147</v>
      </c>
      <c r="T22" s="293">
        <v>14600000</v>
      </c>
      <c r="U22" s="294">
        <v>9.0999999999999998E-2</v>
      </c>
      <c r="V22" s="295">
        <v>1328600</v>
      </c>
      <c r="W22" s="296">
        <v>0.19</v>
      </c>
      <c r="X22" s="335">
        <v>252434</v>
      </c>
      <c r="Y22" s="336"/>
      <c r="Z22" s="337">
        <v>1581034</v>
      </c>
      <c r="AA22" s="337"/>
    </row>
    <row r="23" spans="1:27" ht="15">
      <c r="A23" s="170"/>
      <c r="B23" s="201" t="s">
        <v>119</v>
      </c>
      <c r="C23" s="182">
        <v>31</v>
      </c>
      <c r="D23" s="183">
        <v>28</v>
      </c>
      <c r="E23" s="183">
        <v>31</v>
      </c>
      <c r="F23" s="183">
        <v>30</v>
      </c>
      <c r="G23" s="183">
        <v>31</v>
      </c>
      <c r="H23" s="183">
        <v>30</v>
      </c>
      <c r="I23" s="183">
        <v>31</v>
      </c>
      <c r="J23" s="183">
        <v>31</v>
      </c>
      <c r="K23" s="183">
        <v>30</v>
      </c>
      <c r="L23" s="183">
        <v>31</v>
      </c>
      <c r="M23" s="183">
        <v>30</v>
      </c>
      <c r="N23" s="183">
        <v>31</v>
      </c>
      <c r="O23" s="186">
        <v>365</v>
      </c>
      <c r="P23" s="204">
        <v>8760</v>
      </c>
      <c r="Q23" s="2"/>
      <c r="R23" s="287" t="s">
        <v>55</v>
      </c>
      <c r="S23" s="288" t="s">
        <v>148</v>
      </c>
      <c r="T23" s="293">
        <v>825300</v>
      </c>
      <c r="U23" s="294">
        <v>9.0999999999999998E-2</v>
      </c>
      <c r="V23" s="295">
        <v>75102.3</v>
      </c>
      <c r="W23" s="296">
        <v>0.19</v>
      </c>
      <c r="X23" s="338">
        <v>14269.44</v>
      </c>
      <c r="Y23" s="334"/>
      <c r="Z23" s="337">
        <v>89371.74</v>
      </c>
      <c r="AA23" s="337"/>
    </row>
    <row r="24" spans="1:27" ht="15">
      <c r="A24" s="170"/>
      <c r="B24" s="201" t="s">
        <v>120</v>
      </c>
      <c r="C24" s="187">
        <v>279</v>
      </c>
      <c r="D24" s="188">
        <v>252</v>
      </c>
      <c r="E24" s="188">
        <v>310</v>
      </c>
      <c r="F24" s="188">
        <v>300</v>
      </c>
      <c r="G24" s="188">
        <v>434</v>
      </c>
      <c r="H24" s="188">
        <v>480</v>
      </c>
      <c r="I24" s="188">
        <v>496</v>
      </c>
      <c r="J24" s="188">
        <v>496</v>
      </c>
      <c r="K24" s="188">
        <v>300</v>
      </c>
      <c r="L24" s="188">
        <v>310</v>
      </c>
      <c r="M24" s="188">
        <v>300</v>
      </c>
      <c r="N24" s="188">
        <v>279</v>
      </c>
      <c r="O24" s="186">
        <v>4236</v>
      </c>
      <c r="P24" s="170" t="s">
        <v>44</v>
      </c>
      <c r="Q24" s="2"/>
      <c r="R24" s="287" t="s">
        <v>56</v>
      </c>
      <c r="S24" s="288"/>
      <c r="T24" s="293"/>
      <c r="U24" s="297"/>
      <c r="V24" s="298"/>
      <c r="W24" s="299"/>
      <c r="X24" s="300"/>
      <c r="Y24" s="300"/>
      <c r="Z24" s="301"/>
      <c r="AA24" s="301"/>
    </row>
    <row r="25" spans="1:27" ht="15">
      <c r="A25" s="170"/>
      <c r="B25" s="201" t="s">
        <v>121</v>
      </c>
      <c r="C25" s="187">
        <v>545900</v>
      </c>
      <c r="D25" s="188">
        <v>489200</v>
      </c>
      <c r="E25" s="188">
        <v>611000</v>
      </c>
      <c r="F25" s="188">
        <v>590000</v>
      </c>
      <c r="G25" s="188">
        <v>871400</v>
      </c>
      <c r="H25" s="188">
        <v>968000</v>
      </c>
      <c r="I25" s="188">
        <v>1001600</v>
      </c>
      <c r="J25" s="188">
        <v>1001600</v>
      </c>
      <c r="K25" s="188">
        <v>590000</v>
      </c>
      <c r="L25" s="188">
        <v>611000</v>
      </c>
      <c r="M25" s="188">
        <v>590000</v>
      </c>
      <c r="N25" s="188">
        <v>545900</v>
      </c>
      <c r="O25" s="186">
        <v>8415600</v>
      </c>
      <c r="P25" s="170" t="s">
        <v>124</v>
      </c>
      <c r="Q25" s="2"/>
      <c r="R25" s="303" t="s">
        <v>75</v>
      </c>
      <c r="S25" s="302"/>
      <c r="T25" s="304" t="s">
        <v>149</v>
      </c>
      <c r="U25" s="305"/>
      <c r="V25" s="306"/>
      <c r="W25" s="307"/>
      <c r="X25" s="300"/>
      <c r="Y25" s="300"/>
      <c r="Z25" s="301"/>
      <c r="AA25" s="301"/>
    </row>
    <row r="26" spans="1:27" ht="16" thickBot="1">
      <c r="A26" s="170"/>
      <c r="B26" s="466" t="s">
        <v>122</v>
      </c>
      <c r="C26" s="205">
        <v>2100</v>
      </c>
      <c r="D26" s="205">
        <v>2100</v>
      </c>
      <c r="E26" s="205">
        <v>2100</v>
      </c>
      <c r="F26" s="205">
        <v>2100</v>
      </c>
      <c r="G26" s="205">
        <v>2100</v>
      </c>
      <c r="H26" s="205">
        <v>2100</v>
      </c>
      <c r="I26" s="205">
        <v>2100</v>
      </c>
      <c r="J26" s="205">
        <v>2100</v>
      </c>
      <c r="K26" s="205">
        <v>2100</v>
      </c>
      <c r="L26" s="205">
        <v>2100</v>
      </c>
      <c r="M26" s="205">
        <v>2100</v>
      </c>
      <c r="N26" s="205">
        <v>2100</v>
      </c>
      <c r="O26" s="206">
        <v>480000</v>
      </c>
      <c r="P26" s="170" t="s">
        <v>123</v>
      </c>
      <c r="Q26" s="2"/>
      <c r="R26" s="287" t="s">
        <v>53</v>
      </c>
      <c r="S26" s="288"/>
      <c r="T26" s="308" t="s">
        <v>150</v>
      </c>
      <c r="U26" s="309" t="s">
        <v>79</v>
      </c>
      <c r="V26" s="298"/>
      <c r="W26" s="299"/>
      <c r="X26" s="300"/>
      <c r="Y26" s="300"/>
      <c r="Z26" s="301"/>
      <c r="AA26" s="301"/>
    </row>
    <row r="27" spans="1:27" ht="17" thickTop="1" thickBot="1">
      <c r="A27" s="170"/>
      <c r="B27" s="207" t="s">
        <v>12</v>
      </c>
      <c r="C27" s="208">
        <v>545900</v>
      </c>
      <c r="D27" s="208">
        <v>489200</v>
      </c>
      <c r="E27" s="208">
        <v>611000</v>
      </c>
      <c r="F27" s="208">
        <v>590000</v>
      </c>
      <c r="G27" s="208">
        <v>871400</v>
      </c>
      <c r="H27" s="208">
        <v>968000</v>
      </c>
      <c r="I27" s="208">
        <v>1001600</v>
      </c>
      <c r="J27" s="208">
        <v>1001600</v>
      </c>
      <c r="K27" s="208">
        <v>590000</v>
      </c>
      <c r="L27" s="208">
        <v>611000</v>
      </c>
      <c r="M27" s="208">
        <v>590000</v>
      </c>
      <c r="N27" s="208">
        <v>545900</v>
      </c>
      <c r="O27" s="208">
        <v>8415600</v>
      </c>
      <c r="P27" s="170"/>
      <c r="Q27" s="2"/>
      <c r="R27" s="287" t="s">
        <v>54</v>
      </c>
      <c r="S27" s="288"/>
      <c r="T27" s="308" t="s">
        <v>151</v>
      </c>
      <c r="U27" s="309" t="s">
        <v>89</v>
      </c>
      <c r="V27" s="298"/>
      <c r="W27" s="299"/>
      <c r="X27" s="300"/>
      <c r="Y27" s="300"/>
      <c r="Z27" s="301"/>
      <c r="AA27" s="301"/>
    </row>
    <row r="28" spans="1:27" ht="15">
      <c r="A28" s="170"/>
      <c r="B28" s="497" t="s">
        <v>115</v>
      </c>
      <c r="C28" s="209" t="s">
        <v>117</v>
      </c>
      <c r="D28" s="209" t="s">
        <v>117</v>
      </c>
      <c r="E28" s="209" t="s">
        <v>117</v>
      </c>
      <c r="F28" s="209" t="s">
        <v>117</v>
      </c>
      <c r="G28" s="209" t="s">
        <v>117</v>
      </c>
      <c r="H28" s="209" t="s">
        <v>117</v>
      </c>
      <c r="I28" s="209" t="s">
        <v>117</v>
      </c>
      <c r="J28" s="209" t="s">
        <v>117</v>
      </c>
      <c r="K28" s="209" t="s">
        <v>117</v>
      </c>
      <c r="L28" s="209" t="s">
        <v>117</v>
      </c>
      <c r="M28" s="209" t="s">
        <v>117</v>
      </c>
      <c r="N28" s="209" t="s">
        <v>117</v>
      </c>
      <c r="O28" s="210">
        <v>1</v>
      </c>
      <c r="P28" s="523" t="s">
        <v>261</v>
      </c>
      <c r="Q28" s="2"/>
      <c r="R28" s="287" t="s">
        <v>55</v>
      </c>
      <c r="S28" s="288"/>
      <c r="T28" s="308" t="s">
        <v>152</v>
      </c>
      <c r="U28" s="309" t="s">
        <v>92</v>
      </c>
      <c r="V28" s="298"/>
      <c r="W28" s="299"/>
      <c r="X28" s="300"/>
      <c r="Y28" s="300"/>
      <c r="Z28" s="301"/>
      <c r="AA28" s="301"/>
    </row>
    <row r="29" spans="1:27" ht="15">
      <c r="A29" s="170"/>
      <c r="B29" s="497" t="s">
        <v>116</v>
      </c>
      <c r="C29" s="211" t="s">
        <v>117</v>
      </c>
      <c r="D29" s="211" t="s">
        <v>117</v>
      </c>
      <c r="E29" s="211" t="s">
        <v>117</v>
      </c>
      <c r="F29" s="211" t="s">
        <v>117</v>
      </c>
      <c r="G29" s="211" t="s">
        <v>117</v>
      </c>
      <c r="H29" s="211" t="s">
        <v>117</v>
      </c>
      <c r="I29" s="211" t="s">
        <v>117</v>
      </c>
      <c r="J29" s="211" t="s">
        <v>117</v>
      </c>
      <c r="K29" s="211" t="s">
        <v>117</v>
      </c>
      <c r="L29" s="211" t="s">
        <v>117</v>
      </c>
      <c r="M29" s="211" t="s">
        <v>117</v>
      </c>
      <c r="N29" s="211" t="s">
        <v>117</v>
      </c>
      <c r="O29" s="212">
        <v>1</v>
      </c>
      <c r="P29" s="523" t="s">
        <v>262</v>
      </c>
      <c r="Q29" s="2"/>
      <c r="R29" s="287" t="s">
        <v>76</v>
      </c>
      <c r="S29" s="288"/>
      <c r="T29" s="308" t="s">
        <v>153</v>
      </c>
      <c r="U29" s="309" t="s">
        <v>93</v>
      </c>
      <c r="V29" s="310" t="s">
        <v>154</v>
      </c>
      <c r="W29" s="299"/>
      <c r="X29" s="300"/>
      <c r="Y29" s="300"/>
      <c r="Z29" s="301"/>
      <c r="AA29" s="301"/>
    </row>
    <row r="30" spans="1:27" ht="15">
      <c r="A30" s="170"/>
      <c r="B30" s="497" t="s">
        <v>105</v>
      </c>
      <c r="C30" s="211" t="s">
        <v>117</v>
      </c>
      <c r="D30" s="211" t="s">
        <v>117</v>
      </c>
      <c r="E30" s="211" t="s">
        <v>117</v>
      </c>
      <c r="F30" s="211" t="s">
        <v>117</v>
      </c>
      <c r="G30" s="211" t="s">
        <v>117</v>
      </c>
      <c r="H30" s="211" t="s">
        <v>117</v>
      </c>
      <c r="I30" s="211" t="s">
        <v>117</v>
      </c>
      <c r="J30" s="211" t="s">
        <v>117</v>
      </c>
      <c r="K30" s="211" t="s">
        <v>117</v>
      </c>
      <c r="L30" s="211" t="s">
        <v>117</v>
      </c>
      <c r="M30" s="211" t="s">
        <v>117</v>
      </c>
      <c r="N30" s="211" t="s">
        <v>117</v>
      </c>
      <c r="O30" s="213">
        <v>1</v>
      </c>
      <c r="P30" s="523" t="s">
        <v>263</v>
      </c>
      <c r="Q30" s="2"/>
      <c r="R30" s="287" t="s">
        <v>78</v>
      </c>
      <c r="S30" s="288"/>
      <c r="T30" s="308" t="s">
        <v>155</v>
      </c>
      <c r="U30" s="309" t="s">
        <v>96</v>
      </c>
      <c r="V30" s="298"/>
      <c r="W30" s="299"/>
      <c r="X30" s="300"/>
      <c r="Y30" s="300"/>
      <c r="Z30" s="301"/>
      <c r="AA30" s="301"/>
    </row>
    <row r="31" spans="1:27" ht="16" thickBot="1">
      <c r="A31" s="170"/>
      <c r="B31" s="498" t="s">
        <v>126</v>
      </c>
      <c r="C31" s="211" t="s">
        <v>117</v>
      </c>
      <c r="D31" s="211" t="s">
        <v>117</v>
      </c>
      <c r="E31" s="211" t="s">
        <v>117</v>
      </c>
      <c r="F31" s="211" t="s">
        <v>117</v>
      </c>
      <c r="G31" s="211" t="s">
        <v>117</v>
      </c>
      <c r="H31" s="211" t="s">
        <v>117</v>
      </c>
      <c r="I31" s="211" t="s">
        <v>117</v>
      </c>
      <c r="J31" s="211" t="s">
        <v>117</v>
      </c>
      <c r="K31" s="211" t="s">
        <v>117</v>
      </c>
      <c r="L31" s="211" t="s">
        <v>117</v>
      </c>
      <c r="M31" s="211" t="s">
        <v>117</v>
      </c>
      <c r="N31" s="211" t="s">
        <v>117</v>
      </c>
      <c r="O31" s="214">
        <v>1</v>
      </c>
      <c r="P31" s="523" t="s">
        <v>264</v>
      </c>
      <c r="Q31" s="2"/>
      <c r="R31" s="287" t="s">
        <v>102</v>
      </c>
      <c r="S31" s="288"/>
      <c r="T31" s="311"/>
      <c r="U31" s="312" t="s">
        <v>44</v>
      </c>
      <c r="V31" s="313"/>
      <c r="W31" s="299"/>
      <c r="X31" s="300"/>
      <c r="Y31" s="300"/>
      <c r="Z31" s="301"/>
      <c r="AA31" s="301"/>
    </row>
    <row r="32" spans="1:27" ht="16" thickBot="1">
      <c r="A32" s="170"/>
      <c r="B32" s="242" t="s">
        <v>50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70"/>
      <c r="Q32" s="2"/>
      <c r="R32" s="314" t="s">
        <v>97</v>
      </c>
      <c r="S32" s="315"/>
      <c r="T32" s="311"/>
      <c r="U32" s="312"/>
      <c r="V32" s="295">
        <v>2169521.9</v>
      </c>
      <c r="W32" s="296">
        <v>0.19</v>
      </c>
      <c r="X32" s="300"/>
      <c r="Y32" s="316">
        <v>412209.16</v>
      </c>
      <c r="Z32" s="301"/>
      <c r="AA32" s="317">
        <v>2581731.06</v>
      </c>
    </row>
    <row r="33" spans="1:27" ht="15" thickBot="1">
      <c r="A33" s="170"/>
      <c r="B33" s="235" t="s">
        <v>135</v>
      </c>
      <c r="C33" s="172" t="s">
        <v>2</v>
      </c>
      <c r="D33" s="172" t="s">
        <v>3</v>
      </c>
      <c r="E33" s="172" t="s">
        <v>4</v>
      </c>
      <c r="F33" s="172" t="s">
        <v>5</v>
      </c>
      <c r="G33" s="172" t="s">
        <v>6</v>
      </c>
      <c r="H33" s="172" t="s">
        <v>7</v>
      </c>
      <c r="I33" s="172" t="s">
        <v>8</v>
      </c>
      <c r="J33" s="172" t="s">
        <v>9</v>
      </c>
      <c r="K33" s="172" t="s">
        <v>20</v>
      </c>
      <c r="L33" s="172" t="s">
        <v>10</v>
      </c>
      <c r="M33" s="172" t="s">
        <v>19</v>
      </c>
      <c r="N33" s="172" t="s">
        <v>18</v>
      </c>
      <c r="O33" s="172" t="s">
        <v>129</v>
      </c>
      <c r="P33" s="170"/>
      <c r="Q33" s="2"/>
      <c r="R33" s="170"/>
      <c r="S33" s="170"/>
      <c r="T33" s="170"/>
      <c r="U33" s="170"/>
      <c r="V33" s="170"/>
      <c r="W33" s="170"/>
      <c r="X33" s="318"/>
      <c r="Y33" s="170"/>
      <c r="Z33" s="170"/>
      <c r="AA33" s="170"/>
    </row>
    <row r="34" spans="1:27">
      <c r="A34" s="170"/>
      <c r="B34" s="470" t="s">
        <v>271</v>
      </c>
      <c r="C34" s="525">
        <f>C20</f>
        <v>585900</v>
      </c>
      <c r="D34" s="525">
        <f t="shared" ref="D34:N34" si="0">D20</f>
        <v>529200</v>
      </c>
      <c r="E34" s="525">
        <f t="shared" si="0"/>
        <v>651000</v>
      </c>
      <c r="F34" s="525">
        <f t="shared" si="0"/>
        <v>630000</v>
      </c>
      <c r="G34" s="525">
        <f t="shared" si="0"/>
        <v>911400</v>
      </c>
      <c r="H34" s="525">
        <f t="shared" si="0"/>
        <v>1008000</v>
      </c>
      <c r="I34" s="525">
        <f t="shared" si="0"/>
        <v>1041600</v>
      </c>
      <c r="J34" s="525">
        <f t="shared" si="0"/>
        <v>1041600</v>
      </c>
      <c r="K34" s="525">
        <f t="shared" si="0"/>
        <v>630000</v>
      </c>
      <c r="L34" s="525">
        <f t="shared" si="0"/>
        <v>651000</v>
      </c>
      <c r="M34" s="525">
        <f t="shared" si="0"/>
        <v>630000</v>
      </c>
      <c r="N34" s="525">
        <f t="shared" si="0"/>
        <v>585900</v>
      </c>
      <c r="O34" s="529">
        <f>SUM(C34,N34)</f>
        <v>1171800</v>
      </c>
      <c r="P34" s="170"/>
      <c r="Q34" s="2"/>
      <c r="R34" s="319" t="s">
        <v>26</v>
      </c>
      <c r="S34" s="320"/>
      <c r="T34" s="170"/>
      <c r="U34" s="170"/>
      <c r="V34" s="170"/>
      <c r="W34" s="170"/>
      <c r="X34" s="170"/>
      <c r="Y34" s="170"/>
      <c r="Z34" s="170"/>
      <c r="AA34" s="170"/>
    </row>
    <row r="35" spans="1:27" ht="15" thickBot="1">
      <c r="A35" s="170"/>
      <c r="B35" s="470" t="s">
        <v>272</v>
      </c>
      <c r="C35" s="525">
        <f>C47</f>
        <v>18590</v>
      </c>
      <c r="D35" s="525">
        <f t="shared" ref="D35:N35" si="1">D47</f>
        <v>12920</v>
      </c>
      <c r="E35" s="525">
        <f t="shared" si="1"/>
        <v>18590</v>
      </c>
      <c r="F35" s="525">
        <f t="shared" si="1"/>
        <v>29300</v>
      </c>
      <c r="G35" s="525">
        <f t="shared" si="1"/>
        <v>31610</v>
      </c>
      <c r="H35" s="525">
        <f t="shared" si="1"/>
        <v>29300</v>
      </c>
      <c r="I35" s="525">
        <f t="shared" si="1"/>
        <v>57650</v>
      </c>
      <c r="J35" s="525">
        <f t="shared" si="1"/>
        <v>57650</v>
      </c>
      <c r="K35" s="525">
        <f t="shared" si="1"/>
        <v>23000</v>
      </c>
      <c r="L35" s="525">
        <f t="shared" si="1"/>
        <v>25100</v>
      </c>
      <c r="M35" s="525">
        <f t="shared" si="1"/>
        <v>23000</v>
      </c>
      <c r="N35" s="525">
        <f t="shared" si="1"/>
        <v>18590</v>
      </c>
      <c r="O35" s="529">
        <f>SUM(C35:N35)</f>
        <v>345300</v>
      </c>
      <c r="P35" s="170" t="s">
        <v>134</v>
      </c>
      <c r="Q35" s="2"/>
      <c r="R35" s="321" t="s">
        <v>47</v>
      </c>
      <c r="S35" s="322">
        <v>183360</v>
      </c>
      <c r="T35" s="170"/>
      <c r="U35" s="170"/>
      <c r="V35" s="170"/>
      <c r="W35" s="170"/>
      <c r="X35" s="170"/>
      <c r="Y35" s="170"/>
      <c r="Z35" s="170"/>
      <c r="AA35" s="170"/>
    </row>
    <row r="36" spans="1:27" ht="15" thickBot="1">
      <c r="A36" s="170"/>
      <c r="B36" s="470" t="s">
        <v>273</v>
      </c>
      <c r="C36" s="526">
        <f>C10</f>
        <v>465</v>
      </c>
      <c r="D36" s="526">
        <f>D10</f>
        <v>420</v>
      </c>
      <c r="E36" s="526">
        <f>E10</f>
        <v>434</v>
      </c>
      <c r="F36" s="526">
        <f>F10</f>
        <v>420</v>
      </c>
      <c r="G36" s="526">
        <f>G10</f>
        <v>310</v>
      </c>
      <c r="H36" s="526">
        <f>H10</f>
        <v>240</v>
      </c>
      <c r="I36" s="526">
        <f>I10</f>
        <v>248</v>
      </c>
      <c r="J36" s="526">
        <f>J10</f>
        <v>248</v>
      </c>
      <c r="K36" s="526">
        <f>K10</f>
        <v>420</v>
      </c>
      <c r="L36" s="526">
        <f>L10</f>
        <v>434</v>
      </c>
      <c r="M36" s="526">
        <f>M10</f>
        <v>420</v>
      </c>
      <c r="N36" s="526">
        <f>N10</f>
        <v>465</v>
      </c>
      <c r="O36" s="527">
        <f>SUM(C36:N36)</f>
        <v>4524</v>
      </c>
      <c r="P36" s="170" t="s">
        <v>133</v>
      </c>
      <c r="Q36" s="2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5" thickBot="1">
      <c r="A37" s="170"/>
      <c r="B37" s="470" t="s">
        <v>275</v>
      </c>
      <c r="C37" s="530">
        <f>C24</f>
        <v>279</v>
      </c>
      <c r="D37" s="531">
        <f t="shared" ref="D37:N37" si="2">D24</f>
        <v>252</v>
      </c>
      <c r="E37" s="531">
        <f t="shared" si="2"/>
        <v>310</v>
      </c>
      <c r="F37" s="531">
        <f t="shared" si="2"/>
        <v>300</v>
      </c>
      <c r="G37" s="531">
        <f t="shared" si="2"/>
        <v>434</v>
      </c>
      <c r="H37" s="531">
        <f t="shared" si="2"/>
        <v>480</v>
      </c>
      <c r="I37" s="531">
        <f t="shared" si="2"/>
        <v>496</v>
      </c>
      <c r="J37" s="531">
        <f t="shared" si="2"/>
        <v>496</v>
      </c>
      <c r="K37" s="531">
        <f t="shared" si="2"/>
        <v>300</v>
      </c>
      <c r="L37" s="531">
        <f t="shared" si="2"/>
        <v>310</v>
      </c>
      <c r="M37" s="531">
        <f t="shared" si="2"/>
        <v>300</v>
      </c>
      <c r="N37" s="532">
        <f t="shared" si="2"/>
        <v>279</v>
      </c>
      <c r="O37" s="527">
        <v>365</v>
      </c>
      <c r="P37" s="170" t="s">
        <v>132</v>
      </c>
      <c r="Q37" s="2"/>
      <c r="R37" s="170" t="s">
        <v>48</v>
      </c>
      <c r="S37" s="170" t="s">
        <v>49</v>
      </c>
      <c r="T37" s="170"/>
      <c r="U37" s="170"/>
      <c r="V37" s="170"/>
      <c r="W37" s="170"/>
      <c r="X37" s="170"/>
      <c r="Y37" s="170"/>
      <c r="Z37" s="170"/>
      <c r="AA37" s="170"/>
    </row>
    <row r="38" spans="1:27" ht="15" thickBot="1">
      <c r="A38" s="170"/>
      <c r="B38" s="470" t="s">
        <v>277</v>
      </c>
      <c r="C38" s="526">
        <f>C36+C37</f>
        <v>744</v>
      </c>
      <c r="D38" s="526">
        <f t="shared" ref="D38:N38" si="3">D36+D37</f>
        <v>672</v>
      </c>
      <c r="E38" s="526">
        <f t="shared" si="3"/>
        <v>744</v>
      </c>
      <c r="F38" s="526">
        <f t="shared" si="3"/>
        <v>720</v>
      </c>
      <c r="G38" s="526">
        <f t="shared" si="3"/>
        <v>744</v>
      </c>
      <c r="H38" s="526">
        <f t="shared" si="3"/>
        <v>720</v>
      </c>
      <c r="I38" s="526">
        <f t="shared" si="3"/>
        <v>744</v>
      </c>
      <c r="J38" s="526">
        <f t="shared" si="3"/>
        <v>744</v>
      </c>
      <c r="K38" s="526">
        <f t="shared" si="3"/>
        <v>720</v>
      </c>
      <c r="L38" s="526">
        <f t="shared" si="3"/>
        <v>744</v>
      </c>
      <c r="M38" s="526">
        <f t="shared" si="3"/>
        <v>720</v>
      </c>
      <c r="N38" s="526">
        <f t="shared" si="3"/>
        <v>744</v>
      </c>
      <c r="O38" s="527">
        <f>SUM(C38:N38)</f>
        <v>8760</v>
      </c>
      <c r="P38" s="170" t="s">
        <v>132</v>
      </c>
      <c r="Q38" s="2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>
      <c r="A39" s="170"/>
      <c r="B39" s="470" t="s">
        <v>281</v>
      </c>
      <c r="C39" s="215">
        <v>2666.67</v>
      </c>
      <c r="D39" s="215">
        <v>2666.67</v>
      </c>
      <c r="E39" s="215">
        <v>2666.67</v>
      </c>
      <c r="F39" s="215">
        <v>3076.92</v>
      </c>
      <c r="G39" s="215">
        <v>3076.92</v>
      </c>
      <c r="H39" s="215">
        <v>3076.92</v>
      </c>
      <c r="I39" s="215">
        <v>4444.4399999999996</v>
      </c>
      <c r="J39" s="215">
        <v>4444.4399999999996</v>
      </c>
      <c r="K39" s="215">
        <v>2857.14</v>
      </c>
      <c r="L39" s="215">
        <v>2857.14</v>
      </c>
      <c r="M39" s="215">
        <v>2857.14</v>
      </c>
      <c r="N39" s="215">
        <v>2666.67</v>
      </c>
      <c r="O39" s="527">
        <f>AVERAGE(C39:N39)</f>
        <v>3113.145</v>
      </c>
      <c r="P39" s="170"/>
      <c r="Q39" s="2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>
      <c r="A40" s="170"/>
      <c r="B40" s="470" t="s">
        <v>282</v>
      </c>
      <c r="C40" s="215">
        <f>C42/C38</f>
        <v>812.48655913978496</v>
      </c>
      <c r="D40" s="215">
        <f>D42/D38</f>
        <v>806.72619047619048</v>
      </c>
      <c r="E40" s="215">
        <f>E42/E38</f>
        <v>899.98655913978496</v>
      </c>
      <c r="F40" s="215">
        <f>F42/F38</f>
        <v>915.69444444444446</v>
      </c>
      <c r="G40" s="215">
        <f>G42/G38</f>
        <v>1267.486559139785</v>
      </c>
      <c r="H40" s="215">
        <f>H42/H38</f>
        <v>1440.6944444444443</v>
      </c>
      <c r="I40" s="215">
        <f>I42/I38</f>
        <v>1477.486559139785</v>
      </c>
      <c r="J40" s="215">
        <f>J42/J38</f>
        <v>1477.486559139785</v>
      </c>
      <c r="K40" s="215">
        <f>K42/K38</f>
        <v>906.94444444444446</v>
      </c>
      <c r="L40" s="215">
        <f>L42/L38</f>
        <v>908.73655913978496</v>
      </c>
      <c r="M40" s="215">
        <f>M42/M38</f>
        <v>906.94444444444446</v>
      </c>
      <c r="N40" s="215">
        <f>N42/N38</f>
        <v>812.48655913978496</v>
      </c>
      <c r="O40" s="533">
        <f>AVERAGE(C40:N40)</f>
        <v>1052.7633235193719</v>
      </c>
      <c r="P40" s="170" t="s">
        <v>109</v>
      </c>
      <c r="Q40" s="2"/>
      <c r="R40" s="323" t="s">
        <v>57</v>
      </c>
      <c r="S40" s="324" t="s">
        <v>62</v>
      </c>
      <c r="T40" s="324" t="s">
        <v>58</v>
      </c>
      <c r="U40" s="324" t="s">
        <v>59</v>
      </c>
      <c r="V40" s="170"/>
      <c r="W40" s="170"/>
      <c r="X40" s="170"/>
      <c r="Y40" s="170"/>
      <c r="Z40" s="170"/>
      <c r="AA40" s="170"/>
    </row>
    <row r="41" spans="1:27" ht="15" thickBot="1">
      <c r="A41" s="170"/>
      <c r="B41" s="172" t="s">
        <v>279</v>
      </c>
      <c r="C41" s="217">
        <f>C39*C38</f>
        <v>1984002.48</v>
      </c>
      <c r="D41" s="217">
        <f>D39*D38</f>
        <v>1792002.24</v>
      </c>
      <c r="E41" s="217">
        <f>E39*E38</f>
        <v>1984002.48</v>
      </c>
      <c r="F41" s="217">
        <f>F39*F38</f>
        <v>2215382.4</v>
      </c>
      <c r="G41" s="217">
        <f>G39*G38</f>
        <v>2289228.48</v>
      </c>
      <c r="H41" s="217">
        <f>H39*H38</f>
        <v>2215382.4</v>
      </c>
      <c r="I41" s="217">
        <f>I39*I38</f>
        <v>3306663.36</v>
      </c>
      <c r="J41" s="217">
        <f>J39*J38</f>
        <v>3306663.36</v>
      </c>
      <c r="K41" s="217">
        <f>K39*K38</f>
        <v>2057140.7999999998</v>
      </c>
      <c r="L41" s="217">
        <f>L39*L38</f>
        <v>2125712.1599999997</v>
      </c>
      <c r="M41" s="217">
        <f>M39*M38</f>
        <v>2057140.7999999998</v>
      </c>
      <c r="N41" s="217">
        <f>N39*N38</f>
        <v>1984002.48</v>
      </c>
      <c r="O41" s="528">
        <f>SUM(C41:N41)</f>
        <v>27317323.440000001</v>
      </c>
      <c r="P41" s="170" t="s">
        <v>108</v>
      </c>
      <c r="R41" s="325" t="s">
        <v>60</v>
      </c>
      <c r="S41" s="325">
        <v>10000</v>
      </c>
      <c r="T41" s="326">
        <v>0.21</v>
      </c>
      <c r="U41" s="327">
        <v>2100</v>
      </c>
      <c r="V41" s="170"/>
      <c r="W41" s="170"/>
      <c r="X41" s="170"/>
      <c r="Y41" s="170"/>
      <c r="Z41" s="170"/>
      <c r="AA41" s="170"/>
    </row>
    <row r="42" spans="1:27" ht="15" thickBot="1">
      <c r="A42" s="170"/>
      <c r="B42" s="470" t="s">
        <v>274</v>
      </c>
      <c r="C42" s="215">
        <f>C34+C35</f>
        <v>604490</v>
      </c>
      <c r="D42" s="215">
        <f>D34+D35</f>
        <v>542120</v>
      </c>
      <c r="E42" s="215">
        <f>E34+E35</f>
        <v>669590</v>
      </c>
      <c r="F42" s="215">
        <f>F34+F35</f>
        <v>659300</v>
      </c>
      <c r="G42" s="215">
        <f>G34+G35</f>
        <v>943010</v>
      </c>
      <c r="H42" s="215">
        <f>H34+H35</f>
        <v>1037300</v>
      </c>
      <c r="I42" s="215">
        <f>I34+I35</f>
        <v>1099250</v>
      </c>
      <c r="J42" s="215">
        <f>J34+J35</f>
        <v>1099250</v>
      </c>
      <c r="K42" s="215">
        <f>K34+K35</f>
        <v>653000</v>
      </c>
      <c r="L42" s="215">
        <f>L34+L35</f>
        <v>676100</v>
      </c>
      <c r="M42" s="215">
        <f>M34+M35</f>
        <v>653000</v>
      </c>
      <c r="N42" s="215">
        <f>N34+N35</f>
        <v>604490</v>
      </c>
      <c r="O42" s="527">
        <f>SUM(C42:N42)</f>
        <v>9240900</v>
      </c>
      <c r="P42" s="170"/>
      <c r="R42" s="324" t="s">
        <v>61</v>
      </c>
      <c r="S42" s="324">
        <v>1000</v>
      </c>
      <c r="T42" s="328">
        <v>0.21</v>
      </c>
      <c r="U42" s="327">
        <v>210</v>
      </c>
      <c r="V42" s="170"/>
      <c r="W42" s="170"/>
      <c r="X42" s="170"/>
      <c r="Y42" s="170"/>
      <c r="Z42" s="170"/>
      <c r="AA42" s="170"/>
    </row>
    <row r="43" spans="1:27">
      <c r="A43" s="170"/>
      <c r="B43" s="470" t="s">
        <v>280</v>
      </c>
      <c r="C43" s="215">
        <f>C41-C42</f>
        <v>1379512.48</v>
      </c>
      <c r="D43" s="215">
        <f>D41-D42</f>
        <v>1249882.24</v>
      </c>
      <c r="E43" s="215">
        <f>E41-E42</f>
        <v>1314412.48</v>
      </c>
      <c r="F43" s="215">
        <f>F41-F42</f>
        <v>1556082.4</v>
      </c>
      <c r="G43" s="215">
        <f>G41-G42</f>
        <v>1346218.48</v>
      </c>
      <c r="H43" s="215">
        <f>H41-H42</f>
        <v>1178082.3999999999</v>
      </c>
      <c r="I43" s="215">
        <f>I41-I42</f>
        <v>2207413.36</v>
      </c>
      <c r="J43" s="215">
        <f>J41-J42</f>
        <v>2207413.36</v>
      </c>
      <c r="K43" s="215">
        <f>K41-K42</f>
        <v>1404140.7999999998</v>
      </c>
      <c r="L43" s="215">
        <f>L41-L42</f>
        <v>1449612.1599999997</v>
      </c>
      <c r="M43" s="215">
        <f>M41-M42</f>
        <v>1404140.7999999998</v>
      </c>
      <c r="N43" s="215">
        <f>N41-N42</f>
        <v>1379512.48</v>
      </c>
      <c r="O43" s="545">
        <f>SUM(C43:N43)</f>
        <v>18076423.440000001</v>
      </c>
      <c r="P43" s="170"/>
      <c r="R43" s="324" t="s">
        <v>63</v>
      </c>
      <c r="S43" s="324">
        <v>50000</v>
      </c>
      <c r="T43" s="328">
        <v>1</v>
      </c>
      <c r="U43" s="329">
        <v>50000</v>
      </c>
      <c r="V43" s="170"/>
      <c r="W43" s="170"/>
      <c r="X43" s="170"/>
      <c r="Y43" s="170"/>
      <c r="Z43" s="170"/>
      <c r="AA43" s="170"/>
    </row>
    <row r="44" spans="1:27">
      <c r="A44" s="170"/>
      <c r="B44" s="547"/>
      <c r="C44" s="548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9"/>
      <c r="P44" s="170"/>
      <c r="R44" s="324" t="s">
        <v>64</v>
      </c>
      <c r="S44" s="324">
        <v>2000</v>
      </c>
      <c r="T44" s="328">
        <v>0.21</v>
      </c>
      <c r="U44" s="329">
        <v>420</v>
      </c>
      <c r="V44" s="170"/>
      <c r="W44" s="170"/>
      <c r="X44" s="170"/>
      <c r="Y44" s="170"/>
      <c r="Z44" s="170"/>
      <c r="AA44" s="170"/>
    </row>
    <row r="45" spans="1:27">
      <c r="A45" s="472"/>
      <c r="B45" s="546" t="s">
        <v>135</v>
      </c>
      <c r="C45" s="546" t="s">
        <v>2</v>
      </c>
      <c r="D45" s="546" t="s">
        <v>3</v>
      </c>
      <c r="E45" s="546" t="s">
        <v>4</v>
      </c>
      <c r="F45" s="546" t="s">
        <v>5</v>
      </c>
      <c r="G45" s="546" t="s">
        <v>6</v>
      </c>
      <c r="H45" s="546" t="s">
        <v>7</v>
      </c>
      <c r="I45" s="546" t="s">
        <v>8</v>
      </c>
      <c r="J45" s="546" t="s">
        <v>9</v>
      </c>
      <c r="K45" s="546" t="s">
        <v>20</v>
      </c>
      <c r="L45" s="546" t="s">
        <v>10</v>
      </c>
      <c r="M45" s="546" t="s">
        <v>19</v>
      </c>
      <c r="N45" s="546" t="s">
        <v>18</v>
      </c>
      <c r="O45" s="546" t="s">
        <v>11</v>
      </c>
      <c r="P45" s="170"/>
      <c r="R45" s="324"/>
      <c r="S45" s="324"/>
      <c r="T45" s="324"/>
      <c r="U45" s="324"/>
      <c r="V45" s="170"/>
      <c r="W45" s="170"/>
      <c r="X45" s="170"/>
      <c r="Y45" s="170"/>
      <c r="Z45" s="170"/>
      <c r="AA45" s="170"/>
    </row>
    <row r="46" spans="1:27">
      <c r="A46" s="170"/>
      <c r="B46" s="173" t="s">
        <v>106</v>
      </c>
      <c r="C46" s="218">
        <v>58590</v>
      </c>
      <c r="D46" s="219">
        <v>52920</v>
      </c>
      <c r="E46" s="219">
        <v>58590</v>
      </c>
      <c r="F46" s="219">
        <v>69300</v>
      </c>
      <c r="G46" s="219">
        <v>71610</v>
      </c>
      <c r="H46" s="219">
        <v>69300</v>
      </c>
      <c r="I46" s="219">
        <v>97650</v>
      </c>
      <c r="J46" s="219">
        <v>97650</v>
      </c>
      <c r="K46" s="219">
        <v>63000</v>
      </c>
      <c r="L46" s="219">
        <v>65100</v>
      </c>
      <c r="M46" s="219">
        <v>63000</v>
      </c>
      <c r="N46" s="219">
        <v>58590</v>
      </c>
      <c r="O46" s="220">
        <v>825300</v>
      </c>
      <c r="P46" s="170" t="s">
        <v>125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>
      <c r="A47" s="170"/>
      <c r="B47" s="221" t="s">
        <v>114</v>
      </c>
      <c r="C47" s="222">
        <v>18590</v>
      </c>
      <c r="D47" s="223">
        <v>12920</v>
      </c>
      <c r="E47" s="223">
        <v>18590</v>
      </c>
      <c r="F47" s="223">
        <v>29300</v>
      </c>
      <c r="G47" s="223">
        <v>31610</v>
      </c>
      <c r="H47" s="223">
        <v>29300</v>
      </c>
      <c r="I47" s="223">
        <v>57650</v>
      </c>
      <c r="J47" s="223">
        <v>57650</v>
      </c>
      <c r="K47" s="223">
        <v>23000</v>
      </c>
      <c r="L47" s="223">
        <v>25100</v>
      </c>
      <c r="M47" s="223">
        <v>23000</v>
      </c>
      <c r="N47" s="223">
        <v>18590</v>
      </c>
      <c r="O47" s="220">
        <v>345300</v>
      </c>
      <c r="P47" s="234" t="s">
        <v>255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>
      <c r="A48" s="170"/>
      <c r="B48" s="221" t="s">
        <v>51</v>
      </c>
      <c r="C48" s="224">
        <v>210</v>
      </c>
      <c r="D48" s="225">
        <v>210</v>
      </c>
      <c r="E48" s="225">
        <v>210</v>
      </c>
      <c r="F48" s="225">
        <v>210</v>
      </c>
      <c r="G48" s="225">
        <v>210</v>
      </c>
      <c r="H48" s="225">
        <v>210</v>
      </c>
      <c r="I48" s="225">
        <v>210</v>
      </c>
      <c r="J48" s="225">
        <v>210</v>
      </c>
      <c r="K48" s="225">
        <v>210</v>
      </c>
      <c r="L48" s="225">
        <v>210</v>
      </c>
      <c r="M48" s="225">
        <v>210</v>
      </c>
      <c r="N48" s="225">
        <v>210</v>
      </c>
      <c r="O48" s="226" t="s">
        <v>160</v>
      </c>
      <c r="P48" s="170"/>
    </row>
    <row r="49" spans="1:16">
      <c r="A49" s="170"/>
      <c r="B49" s="221" t="s">
        <v>113</v>
      </c>
      <c r="C49" s="182">
        <v>9</v>
      </c>
      <c r="D49" s="183">
        <v>9</v>
      </c>
      <c r="E49" s="183">
        <v>9</v>
      </c>
      <c r="F49" s="183">
        <v>11</v>
      </c>
      <c r="G49" s="183">
        <v>11</v>
      </c>
      <c r="H49" s="183">
        <v>11</v>
      </c>
      <c r="I49" s="183">
        <v>15</v>
      </c>
      <c r="J49" s="183">
        <v>15</v>
      </c>
      <c r="K49" s="183">
        <v>10</v>
      </c>
      <c r="L49" s="183">
        <v>10</v>
      </c>
      <c r="M49" s="183">
        <v>10</v>
      </c>
      <c r="N49" s="183">
        <v>9</v>
      </c>
      <c r="O49" s="227"/>
      <c r="P49" s="170"/>
    </row>
    <row r="50" spans="1:16">
      <c r="A50" s="170"/>
      <c r="B50" s="221" t="s">
        <v>112</v>
      </c>
      <c r="C50" s="182">
        <v>31</v>
      </c>
      <c r="D50" s="183">
        <v>28</v>
      </c>
      <c r="E50" s="183">
        <v>31</v>
      </c>
      <c r="F50" s="183">
        <v>30</v>
      </c>
      <c r="G50" s="183">
        <v>31</v>
      </c>
      <c r="H50" s="183">
        <v>30</v>
      </c>
      <c r="I50" s="183">
        <v>31</v>
      </c>
      <c r="J50" s="183">
        <v>31</v>
      </c>
      <c r="K50" s="183">
        <v>30</v>
      </c>
      <c r="L50" s="183">
        <v>31</v>
      </c>
      <c r="M50" s="183">
        <v>30</v>
      </c>
      <c r="N50" s="183">
        <v>31</v>
      </c>
      <c r="O50" s="228">
        <v>365</v>
      </c>
      <c r="P50" s="170"/>
    </row>
    <row r="51" spans="1:16">
      <c r="A51" s="170"/>
      <c r="B51" s="221" t="s">
        <v>111</v>
      </c>
      <c r="C51" s="229">
        <v>279</v>
      </c>
      <c r="D51" s="230">
        <v>252</v>
      </c>
      <c r="E51" s="230">
        <v>279</v>
      </c>
      <c r="F51" s="230">
        <v>330</v>
      </c>
      <c r="G51" s="230">
        <v>341</v>
      </c>
      <c r="H51" s="230">
        <v>330</v>
      </c>
      <c r="I51" s="230">
        <v>465</v>
      </c>
      <c r="J51" s="230">
        <v>465</v>
      </c>
      <c r="K51" s="230">
        <v>300</v>
      </c>
      <c r="L51" s="230">
        <v>310</v>
      </c>
      <c r="M51" s="230">
        <v>300</v>
      </c>
      <c r="N51" s="230">
        <v>279</v>
      </c>
      <c r="O51" s="228">
        <v>3930</v>
      </c>
      <c r="P51" s="170"/>
    </row>
    <row r="52" spans="1:16" ht="15" thickBot="1">
      <c r="A52" s="170"/>
      <c r="B52" s="231" t="s">
        <v>110</v>
      </c>
      <c r="C52" s="232">
        <v>40000</v>
      </c>
      <c r="D52" s="233">
        <v>40000</v>
      </c>
      <c r="E52" s="233">
        <v>40000</v>
      </c>
      <c r="F52" s="233">
        <v>40000</v>
      </c>
      <c r="G52" s="233">
        <v>40000</v>
      </c>
      <c r="H52" s="233">
        <v>40000</v>
      </c>
      <c r="I52" s="233">
        <v>40000</v>
      </c>
      <c r="J52" s="233">
        <v>40000</v>
      </c>
      <c r="K52" s="233">
        <v>40000</v>
      </c>
      <c r="L52" s="233">
        <v>40000</v>
      </c>
      <c r="M52" s="233">
        <v>40000</v>
      </c>
      <c r="N52" s="233">
        <v>40000</v>
      </c>
      <c r="O52" s="499">
        <v>480000</v>
      </c>
      <c r="P52" s="170"/>
    </row>
    <row r="53" spans="1:16" ht="16" thickTop="1" thickBot="1">
      <c r="A53" s="170"/>
      <c r="B53" s="171" t="s">
        <v>12</v>
      </c>
      <c r="C53" s="172">
        <v>117709</v>
      </c>
      <c r="D53" s="172">
        <v>106339</v>
      </c>
      <c r="E53" s="172">
        <v>117709</v>
      </c>
      <c r="F53" s="172">
        <v>139181</v>
      </c>
      <c r="G53" s="172">
        <v>143813</v>
      </c>
      <c r="H53" s="172">
        <v>139181</v>
      </c>
      <c r="I53" s="172">
        <v>196021</v>
      </c>
      <c r="J53" s="172">
        <v>196021</v>
      </c>
      <c r="K53" s="172">
        <v>126550</v>
      </c>
      <c r="L53" s="172">
        <v>130761</v>
      </c>
      <c r="M53" s="172">
        <v>126550</v>
      </c>
      <c r="N53" s="216">
        <v>117709</v>
      </c>
      <c r="O53" s="171">
        <v>1654895</v>
      </c>
      <c r="P53" s="170"/>
    </row>
    <row r="54" spans="1:16">
      <c r="A54" s="170"/>
      <c r="B54" s="500" t="s">
        <v>33</v>
      </c>
      <c r="C54" s="209" t="s">
        <v>117</v>
      </c>
      <c r="D54" s="209" t="s">
        <v>117</v>
      </c>
      <c r="E54" s="209" t="s">
        <v>117</v>
      </c>
      <c r="F54" s="209" t="s">
        <v>117</v>
      </c>
      <c r="G54" s="209" t="s">
        <v>117</v>
      </c>
      <c r="H54" s="209" t="s">
        <v>117</v>
      </c>
      <c r="I54" s="209" t="s">
        <v>117</v>
      </c>
      <c r="J54" s="209" t="s">
        <v>117</v>
      </c>
      <c r="K54" s="209" t="s">
        <v>117</v>
      </c>
      <c r="L54" s="209" t="s">
        <v>117</v>
      </c>
      <c r="M54" s="209" t="s">
        <v>117</v>
      </c>
      <c r="N54" s="209" t="s">
        <v>117</v>
      </c>
      <c r="O54" s="210">
        <v>1</v>
      </c>
      <c r="P54" s="170"/>
    </row>
    <row r="55" spans="1:16">
      <c r="A55" s="170"/>
      <c r="B55" s="501" t="s">
        <v>136</v>
      </c>
      <c r="C55" s="211" t="s">
        <v>117</v>
      </c>
      <c r="D55" s="211" t="s">
        <v>117</v>
      </c>
      <c r="E55" s="211" t="s">
        <v>117</v>
      </c>
      <c r="F55" s="211" t="s">
        <v>117</v>
      </c>
      <c r="G55" s="211" t="s">
        <v>117</v>
      </c>
      <c r="H55" s="211" t="s">
        <v>117</v>
      </c>
      <c r="I55" s="211" t="s">
        <v>117</v>
      </c>
      <c r="J55" s="211" t="s">
        <v>117</v>
      </c>
      <c r="K55" s="211" t="s">
        <v>117</v>
      </c>
      <c r="L55" s="211" t="s">
        <v>117</v>
      </c>
      <c r="M55" s="211" t="s">
        <v>117</v>
      </c>
      <c r="N55" s="211" t="s">
        <v>117</v>
      </c>
      <c r="O55" s="212">
        <v>1</v>
      </c>
      <c r="P55" s="170"/>
    </row>
    <row r="56" spans="1:16">
      <c r="A56" s="170"/>
      <c r="B56" s="501" t="s">
        <v>114</v>
      </c>
      <c r="C56" s="211" t="s">
        <v>117</v>
      </c>
      <c r="D56" s="211" t="s">
        <v>117</v>
      </c>
      <c r="E56" s="211" t="s">
        <v>117</v>
      </c>
      <c r="F56" s="211" t="s">
        <v>117</v>
      </c>
      <c r="G56" s="211" t="s">
        <v>117</v>
      </c>
      <c r="H56" s="211" t="s">
        <v>117</v>
      </c>
      <c r="I56" s="211" t="s">
        <v>117</v>
      </c>
      <c r="J56" s="211" t="s">
        <v>117</v>
      </c>
      <c r="K56" s="211" t="s">
        <v>117</v>
      </c>
      <c r="L56" s="211" t="s">
        <v>117</v>
      </c>
      <c r="M56" s="211" t="s">
        <v>117</v>
      </c>
      <c r="N56" s="211" t="s">
        <v>117</v>
      </c>
      <c r="O56" s="213">
        <v>1</v>
      </c>
      <c r="P56" s="170"/>
    </row>
    <row r="57" spans="1:16" ht="15" thickBot="1">
      <c r="A57" s="170"/>
      <c r="B57" s="502" t="s">
        <v>137</v>
      </c>
      <c r="C57" s="211" t="s">
        <v>117</v>
      </c>
      <c r="D57" s="211" t="s">
        <v>117</v>
      </c>
      <c r="E57" s="211" t="s">
        <v>117</v>
      </c>
      <c r="F57" s="211" t="s">
        <v>117</v>
      </c>
      <c r="G57" s="211" t="s">
        <v>117</v>
      </c>
      <c r="H57" s="211" t="s">
        <v>117</v>
      </c>
      <c r="I57" s="211" t="s">
        <v>117</v>
      </c>
      <c r="J57" s="211" t="s">
        <v>117</v>
      </c>
      <c r="K57" s="211" t="s">
        <v>117</v>
      </c>
      <c r="L57" s="211" t="s">
        <v>117</v>
      </c>
      <c r="M57" s="211" t="s">
        <v>117</v>
      </c>
      <c r="N57" s="211" t="s">
        <v>117</v>
      </c>
      <c r="O57" s="214">
        <v>1</v>
      </c>
      <c r="P57" s="170"/>
    </row>
    <row r="58" spans="1:16">
      <c r="A58" s="170"/>
      <c r="B58" s="235" t="s">
        <v>43</v>
      </c>
      <c r="C58" s="236">
        <v>1200000</v>
      </c>
      <c r="D58" s="236">
        <v>1080000</v>
      </c>
      <c r="E58" s="236">
        <v>1200000</v>
      </c>
      <c r="F58" s="236">
        <v>1160000</v>
      </c>
      <c r="G58" s="236">
        <v>1200000</v>
      </c>
      <c r="H58" s="236">
        <v>1160000</v>
      </c>
      <c r="I58" s="236">
        <v>1200000</v>
      </c>
      <c r="J58" s="236">
        <v>1200000</v>
      </c>
      <c r="K58" s="236">
        <v>1160000</v>
      </c>
      <c r="L58" s="236">
        <v>1200000</v>
      </c>
      <c r="M58" s="236">
        <v>1160000</v>
      </c>
      <c r="N58" s="236">
        <v>1200000</v>
      </c>
      <c r="O58" s="236">
        <v>14120000</v>
      </c>
      <c r="P58" s="170"/>
    </row>
    <row r="59" spans="1:16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55"/>
    </row>
    <row r="60" spans="1:16">
      <c r="A60" s="55"/>
      <c r="B60" s="509" t="s">
        <v>248</v>
      </c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5"/>
      <c r="P60" s="55"/>
    </row>
    <row r="61" spans="1:16">
      <c r="A61" s="55"/>
      <c r="B61" s="510"/>
      <c r="C61" s="508"/>
      <c r="D61" s="508"/>
      <c r="E61" s="508"/>
      <c r="F61" s="508"/>
      <c r="G61" s="508"/>
      <c r="H61" s="508"/>
      <c r="I61" s="508"/>
      <c r="J61" s="508"/>
      <c r="K61" s="508"/>
      <c r="L61" s="508"/>
      <c r="M61" s="508"/>
      <c r="N61" s="508"/>
      <c r="O61" s="55"/>
      <c r="P61" s="55"/>
    </row>
    <row r="62" spans="1:16">
      <c r="A62" s="55"/>
      <c r="B62" s="511" t="s">
        <v>33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5"/>
      <c r="P62" s="55"/>
    </row>
    <row r="63" spans="1:16">
      <c r="A63" s="55"/>
      <c r="B63" s="512" t="s">
        <v>136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5"/>
      <c r="P63" s="55"/>
    </row>
    <row r="64" spans="1:16">
      <c r="A64" s="55"/>
      <c r="B64" s="513" t="s">
        <v>114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5"/>
      <c r="P64" s="55"/>
    </row>
    <row r="65" spans="1:16">
      <c r="A65" s="55"/>
      <c r="B65" s="514" t="s">
        <v>137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5"/>
      <c r="P65" s="55"/>
    </row>
    <row r="66" spans="1:16">
      <c r="A66" s="55"/>
      <c r="B66" s="515"/>
      <c r="C66" s="516" t="s">
        <v>249</v>
      </c>
      <c r="D66" s="516"/>
      <c r="E66" s="516" t="s">
        <v>250</v>
      </c>
      <c r="F66" s="516"/>
      <c r="G66" s="516"/>
      <c r="H66" s="516"/>
      <c r="I66" s="516"/>
      <c r="J66" s="516"/>
      <c r="K66" s="516"/>
      <c r="L66" s="516"/>
      <c r="M66" s="520" t="s">
        <v>253</v>
      </c>
      <c r="N66" s="520"/>
      <c r="O66" s="55"/>
      <c r="P66" s="55"/>
    </row>
    <row r="67" spans="1:16">
      <c r="A67" s="55"/>
      <c r="B67" s="517" t="s">
        <v>245</v>
      </c>
      <c r="C67" s="518"/>
      <c r="D67" s="518"/>
      <c r="E67" s="518"/>
      <c r="F67" s="518"/>
      <c r="G67" s="518"/>
      <c r="H67" s="518"/>
      <c r="I67" s="518"/>
      <c r="J67" s="518"/>
      <c r="K67" s="518"/>
      <c r="L67" s="518"/>
      <c r="M67" s="518"/>
      <c r="N67" s="518"/>
      <c r="O67" s="55"/>
      <c r="P67" s="55"/>
    </row>
    <row r="68" spans="1:16">
      <c r="A68" s="55"/>
      <c r="B68" s="506" t="s">
        <v>246</v>
      </c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5"/>
      <c r="P68" s="55"/>
    </row>
    <row r="69" spans="1:16">
      <c r="A69" s="55"/>
      <c r="B69" s="507" t="s">
        <v>247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5"/>
      <c r="P69" s="55"/>
    </row>
    <row r="70" spans="1:16">
      <c r="A70" s="55"/>
      <c r="B70" s="509" t="s">
        <v>248</v>
      </c>
      <c r="C70" s="518"/>
      <c r="D70" s="518"/>
      <c r="E70" s="518"/>
      <c r="F70" s="518"/>
      <c r="G70" s="518"/>
      <c r="H70" s="518"/>
      <c r="I70" s="518"/>
      <c r="J70" s="518"/>
      <c r="K70" s="518"/>
      <c r="L70" s="518"/>
      <c r="M70" s="518"/>
      <c r="N70" s="518"/>
      <c r="O70" s="55"/>
      <c r="P70" s="55"/>
    </row>
    <row r="71" spans="1:16">
      <c r="A71" s="55"/>
      <c r="B71" s="510"/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5"/>
      <c r="P71" s="55"/>
    </row>
    <row r="72" spans="1:16">
      <c r="A72" s="55"/>
      <c r="B72" s="511" t="s">
        <v>33</v>
      </c>
      <c r="C72" s="518"/>
      <c r="D72" s="518"/>
      <c r="E72" s="518"/>
      <c r="F72" s="518"/>
      <c r="G72" s="518"/>
      <c r="H72" s="518"/>
      <c r="I72" s="518"/>
      <c r="J72" s="518"/>
      <c r="K72" s="518"/>
      <c r="L72" s="518"/>
      <c r="M72" s="518"/>
      <c r="N72" s="518"/>
      <c r="O72" s="55"/>
      <c r="P72" s="55"/>
    </row>
    <row r="73" spans="1:16">
      <c r="A73" s="55"/>
      <c r="B73" s="512" t="s">
        <v>136</v>
      </c>
      <c r="C73" s="518"/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5"/>
      <c r="P73" s="55"/>
    </row>
    <row r="74" spans="1:16">
      <c r="A74" s="55"/>
      <c r="B74" s="513" t="s">
        <v>114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5"/>
      <c r="P74" s="55"/>
    </row>
    <row r="75" spans="1:16">
      <c r="A75" s="55"/>
      <c r="B75" s="514" t="s">
        <v>137</v>
      </c>
      <c r="C75" s="518"/>
      <c r="D75" s="518"/>
      <c r="E75" s="518"/>
      <c r="F75" s="518"/>
      <c r="G75" s="518"/>
      <c r="H75" s="518"/>
      <c r="I75" s="518"/>
      <c r="J75" s="518"/>
      <c r="K75" s="518"/>
      <c r="L75" s="518"/>
      <c r="M75" s="518"/>
      <c r="N75" s="518"/>
      <c r="O75" s="55"/>
      <c r="P75" s="55"/>
    </row>
    <row r="76" spans="1:1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</sheetData>
  <mergeCells count="13"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  <mergeCell ref="A1:P1"/>
    <mergeCell ref="B3:O3"/>
    <mergeCell ref="B18:O18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Basicparameter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Gesamt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Bächle</dc:creator>
  <cp:lastModifiedBy>admin</cp:lastModifiedBy>
  <dcterms:created xsi:type="dcterms:W3CDTF">2022-01-08T21:26:36Z</dcterms:created>
  <dcterms:modified xsi:type="dcterms:W3CDTF">2024-05-22T09:45:22Z</dcterms:modified>
</cp:coreProperties>
</file>