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tur\Desktop\150W-24V-Flyback-Converter-in-CCM\24V_150W_100kHz_CCM\"/>
    </mc:Choice>
  </mc:AlternateContent>
  <xr:revisionPtr revIDLastSave="0" documentId="13_ncr:1_{4F07B1A9-5CCA-4E34-9FBB-E2E20AE4B2F1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100kHz" sheetId="1" r:id="rId1"/>
    <sheet name="current &amp; voltage stress" sheetId="4" r:id="rId2"/>
    <sheet name="core and copper loss - N27" sheetId="2" r:id="rId3"/>
    <sheet name="transforme adhesive tapes" sheetId="3" r:id="rId4"/>
    <sheet name="current stres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5" l="1"/>
  <c r="J69" i="5"/>
  <c r="J70" i="5"/>
  <c r="J71" i="5"/>
  <c r="J72" i="5"/>
  <c r="J73" i="5"/>
  <c r="J74" i="5"/>
  <c r="J67" i="5"/>
  <c r="I68" i="5"/>
  <c r="I69" i="5"/>
  <c r="I70" i="5"/>
  <c r="I71" i="5"/>
  <c r="I72" i="5"/>
  <c r="I73" i="5"/>
  <c r="I74" i="5"/>
  <c r="I67" i="5"/>
  <c r="H68" i="5"/>
  <c r="H69" i="5"/>
  <c r="H70" i="5"/>
  <c r="H71" i="5"/>
  <c r="H72" i="5"/>
  <c r="H73" i="5"/>
  <c r="H74" i="5"/>
  <c r="H67" i="5"/>
  <c r="G68" i="5"/>
  <c r="G69" i="5"/>
  <c r="G70" i="5"/>
  <c r="G71" i="5"/>
  <c r="G72" i="5"/>
  <c r="G73" i="5"/>
  <c r="G74" i="5"/>
  <c r="G67" i="5"/>
  <c r="F68" i="5"/>
  <c r="F69" i="5" s="1"/>
  <c r="F70" i="5" s="1"/>
  <c r="F71" i="5" s="1"/>
  <c r="F72" i="5" s="1"/>
  <c r="F73" i="5" s="1"/>
  <c r="F74" i="5" s="1"/>
  <c r="A68" i="5"/>
  <c r="A69" i="5" s="1"/>
  <c r="A70" i="5" s="1"/>
  <c r="A71" i="5" s="1"/>
  <c r="A72" i="5" s="1"/>
  <c r="A73" i="5" s="1"/>
  <c r="A74" i="5" s="1"/>
  <c r="F4" i="5"/>
  <c r="F5" i="5" s="1"/>
  <c r="F6" i="5" s="1"/>
  <c r="F7" i="5" s="1"/>
  <c r="F8" i="5" s="1"/>
  <c r="F9" i="5" s="1"/>
  <c r="F10" i="5" s="1"/>
  <c r="J4" i="5"/>
  <c r="J5" i="5"/>
  <c r="J6" i="5"/>
  <c r="J7" i="5"/>
  <c r="J8" i="5"/>
  <c r="J9" i="5"/>
  <c r="J10" i="5"/>
  <c r="J3" i="5"/>
  <c r="I4" i="5"/>
  <c r="I5" i="5"/>
  <c r="I6" i="5"/>
  <c r="I7" i="5"/>
  <c r="I8" i="5"/>
  <c r="I9" i="5"/>
  <c r="I10" i="5"/>
  <c r="I3" i="5"/>
  <c r="H4" i="5"/>
  <c r="H5" i="5"/>
  <c r="H6" i="5"/>
  <c r="H7" i="5"/>
  <c r="H8" i="5"/>
  <c r="H9" i="5"/>
  <c r="H10" i="5"/>
  <c r="H3" i="5"/>
  <c r="G4" i="5"/>
  <c r="G5" i="5"/>
  <c r="G6" i="5"/>
  <c r="G7" i="5"/>
  <c r="G8" i="5"/>
  <c r="G9" i="5"/>
  <c r="G10" i="5"/>
  <c r="G3" i="5"/>
  <c r="A4" i="5"/>
  <c r="A5" i="5" s="1"/>
  <c r="A6" i="5" s="1"/>
  <c r="A7" i="5" s="1"/>
  <c r="A8" i="5" s="1"/>
  <c r="A9" i="5" s="1"/>
  <c r="A10" i="5" s="1"/>
  <c r="N66" i="2"/>
  <c r="Q66" i="2"/>
  <c r="K66" i="2"/>
  <c r="H74" i="2"/>
  <c r="E66" i="2"/>
  <c r="O66" i="2" s="1"/>
  <c r="V49" i="2"/>
  <c r="R74" i="2"/>
  <c r="Q74" i="2"/>
  <c r="O74" i="2"/>
  <c r="P74" i="2"/>
  <c r="N74" i="2"/>
  <c r="M74" i="2"/>
  <c r="L74" i="2"/>
  <c r="K74" i="2"/>
  <c r="I74" i="2"/>
  <c r="G74" i="2"/>
  <c r="F74" i="2"/>
  <c r="E74" i="2"/>
  <c r="D74" i="2"/>
  <c r="B74" i="2"/>
  <c r="A74" i="2"/>
  <c r="P66" i="2"/>
  <c r="M66" i="2"/>
  <c r="A66" i="2"/>
  <c r="L66" i="2"/>
  <c r="I66" i="2"/>
  <c r="H66" i="2"/>
  <c r="B66" i="2"/>
  <c r="G66" i="2"/>
  <c r="F66" i="2"/>
  <c r="D66" i="2"/>
  <c r="F60" i="2"/>
  <c r="Q60" i="2"/>
  <c r="P60" i="2"/>
  <c r="N60" i="2"/>
  <c r="M60" i="2"/>
  <c r="O60" i="2"/>
  <c r="L60" i="2"/>
  <c r="K60" i="2"/>
  <c r="J60" i="2"/>
  <c r="H60" i="2"/>
  <c r="G60" i="2"/>
  <c r="E60" i="2"/>
  <c r="D60" i="2"/>
  <c r="C60" i="2"/>
  <c r="AH54" i="2"/>
  <c r="AG50" i="2"/>
  <c r="AG51" i="2"/>
  <c r="AG52" i="2"/>
  <c r="AG53" i="2"/>
  <c r="AG54" i="2"/>
  <c r="AG55" i="2"/>
  <c r="AG56" i="2"/>
  <c r="AG49" i="2"/>
  <c r="AF50" i="2"/>
  <c r="AF51" i="2"/>
  <c r="AF52" i="2"/>
  <c r="AF53" i="2"/>
  <c r="AF54" i="2"/>
  <c r="AF55" i="2"/>
  <c r="AF56" i="2"/>
  <c r="AF49" i="2"/>
  <c r="X50" i="2"/>
  <c r="X51" i="2"/>
  <c r="X52" i="2"/>
  <c r="X53" i="2"/>
  <c r="X54" i="2"/>
  <c r="X55" i="2"/>
  <c r="X56" i="2"/>
  <c r="X49" i="2"/>
  <c r="W50" i="2"/>
  <c r="W51" i="2"/>
  <c r="W52" i="2"/>
  <c r="W53" i="2"/>
  <c r="W54" i="2"/>
  <c r="W55" i="2"/>
  <c r="W56" i="2"/>
  <c r="W49" i="2"/>
  <c r="B18" i="2"/>
  <c r="B19" i="2" s="1"/>
  <c r="B39" i="1"/>
  <c r="L52" i="2" s="1"/>
  <c r="B38" i="1"/>
  <c r="K37" i="2" s="1"/>
  <c r="K50" i="2"/>
  <c r="K52" i="2"/>
  <c r="K54" i="2"/>
  <c r="K55" i="2"/>
  <c r="E55" i="2"/>
  <c r="B16" i="2"/>
  <c r="B15" i="2"/>
  <c r="B14" i="2"/>
  <c r="B36" i="2"/>
  <c r="D36" i="2"/>
  <c r="A37" i="2"/>
  <c r="B37" i="2" s="1"/>
  <c r="D37" i="2"/>
  <c r="D38" i="2"/>
  <c r="D56" i="2"/>
  <c r="E56" i="2" s="1"/>
  <c r="B56" i="2"/>
  <c r="D55" i="2"/>
  <c r="D54" i="2"/>
  <c r="E54" i="2" s="1"/>
  <c r="D53" i="2"/>
  <c r="E53" i="2" s="1"/>
  <c r="D52" i="2"/>
  <c r="E52" i="2" s="1"/>
  <c r="D51" i="2"/>
  <c r="E51" i="2" s="1"/>
  <c r="D50" i="2"/>
  <c r="E50" i="2" s="1"/>
  <c r="A50" i="2"/>
  <c r="B50" i="2" s="1"/>
  <c r="F50" i="2" s="1"/>
  <c r="G50" i="2" s="1"/>
  <c r="J50" i="2" s="1"/>
  <c r="D49" i="2"/>
  <c r="E49" i="2" s="1"/>
  <c r="B49" i="2"/>
  <c r="B24" i="2"/>
  <c r="B20" i="1"/>
  <c r="B13" i="1"/>
  <c r="B43" i="1" s="1"/>
  <c r="B25" i="2"/>
  <c r="K39" i="2"/>
  <c r="K40" i="2"/>
  <c r="K41" i="2"/>
  <c r="K43" i="2"/>
  <c r="K36" i="2"/>
  <c r="B43" i="2"/>
  <c r="B10" i="2"/>
  <c r="B22" i="1"/>
  <c r="D39" i="2"/>
  <c r="D40" i="2"/>
  <c r="D41" i="2"/>
  <c r="D42" i="2"/>
  <c r="D43" i="2"/>
  <c r="B9" i="2"/>
  <c r="B36" i="1"/>
  <c r="B14" i="1"/>
  <c r="B35" i="1"/>
  <c r="B34" i="1"/>
  <c r="B33" i="1"/>
  <c r="B32" i="1"/>
  <c r="B29" i="1"/>
  <c r="B28" i="1"/>
  <c r="R66" i="2" l="1"/>
  <c r="F36" i="2"/>
  <c r="AB49" i="2"/>
  <c r="AA49" i="2"/>
  <c r="Z49" i="2"/>
  <c r="AB50" i="2"/>
  <c r="AA50" i="2"/>
  <c r="AD50" i="2" s="1"/>
  <c r="Z50" i="2"/>
  <c r="AC50" i="2" s="1"/>
  <c r="AB51" i="2"/>
  <c r="AA51" i="2"/>
  <c r="Z51" i="2"/>
  <c r="AB52" i="2"/>
  <c r="AA52" i="2"/>
  <c r="Z52" i="2"/>
  <c r="AB54" i="2"/>
  <c r="AA54" i="2"/>
  <c r="Z54" i="2"/>
  <c r="AB53" i="2"/>
  <c r="AA53" i="2"/>
  <c r="Z53" i="2"/>
  <c r="AB55" i="2"/>
  <c r="AA55" i="2"/>
  <c r="Z55" i="2"/>
  <c r="AB56" i="2"/>
  <c r="AA56" i="2"/>
  <c r="Z56" i="2"/>
  <c r="F56" i="2"/>
  <c r="AC56" i="2" s="1"/>
  <c r="F49" i="2"/>
  <c r="L36" i="2"/>
  <c r="K42" i="2"/>
  <c r="K51" i="2"/>
  <c r="K56" i="2"/>
  <c r="K53" i="2"/>
  <c r="K38" i="2"/>
  <c r="K49" i="2"/>
  <c r="L55" i="2"/>
  <c r="L51" i="2"/>
  <c r="L42" i="2"/>
  <c r="L50" i="2"/>
  <c r="L40" i="2"/>
  <c r="L49" i="2"/>
  <c r="L43" i="2"/>
  <c r="L54" i="2"/>
  <c r="L39" i="2"/>
  <c r="L53" i="2"/>
  <c r="L38" i="2"/>
  <c r="L41" i="2"/>
  <c r="L37" i="2"/>
  <c r="L56" i="2"/>
  <c r="H49" i="2"/>
  <c r="G49" i="2"/>
  <c r="Q50" i="2"/>
  <c r="S50" i="2" s="1"/>
  <c r="T50" i="2" s="1"/>
  <c r="Q49" i="2"/>
  <c r="I50" i="2"/>
  <c r="M50" i="2" s="1"/>
  <c r="H50" i="2"/>
  <c r="AE50" i="2" s="1"/>
  <c r="I49" i="2"/>
  <c r="M49" i="2" s="1"/>
  <c r="N50" i="2"/>
  <c r="A38" i="2"/>
  <c r="B38" i="2" s="1"/>
  <c r="E38" i="2"/>
  <c r="E37" i="2"/>
  <c r="E36" i="2"/>
  <c r="A51" i="2"/>
  <c r="E39" i="2"/>
  <c r="I36" i="2"/>
  <c r="M36" i="2" s="1"/>
  <c r="E42" i="2"/>
  <c r="F43" i="2"/>
  <c r="H43" i="2" s="1"/>
  <c r="F38" i="2"/>
  <c r="H38" i="2" s="1"/>
  <c r="E43" i="2"/>
  <c r="E41" i="2"/>
  <c r="E40" i="2"/>
  <c r="B17" i="1"/>
  <c r="B18" i="1"/>
  <c r="B12" i="1"/>
  <c r="B11" i="1"/>
  <c r="B16" i="1" s="1"/>
  <c r="B3" i="1"/>
  <c r="AI50" i="2" l="1"/>
  <c r="AD49" i="2"/>
  <c r="AC49" i="2"/>
  <c r="AE49" i="2"/>
  <c r="J49" i="2"/>
  <c r="N49" i="2" s="1"/>
  <c r="O49" i="2" s="1"/>
  <c r="P49" i="2" s="1"/>
  <c r="U49" i="2" s="1"/>
  <c r="V50" i="2"/>
  <c r="H56" i="2"/>
  <c r="AE56" i="2" s="1"/>
  <c r="Q56" i="2"/>
  <c r="S56" i="2" s="1"/>
  <c r="T56" i="2" s="1"/>
  <c r="G56" i="2"/>
  <c r="AD56" i="2" s="1"/>
  <c r="A39" i="2"/>
  <c r="A40" i="2" s="1"/>
  <c r="A41" i="2" s="1"/>
  <c r="A42" i="2" s="1"/>
  <c r="B42" i="2" s="1"/>
  <c r="F42" i="2" s="1"/>
  <c r="H42" i="2" s="1"/>
  <c r="R50" i="2"/>
  <c r="S49" i="2"/>
  <c r="T49" i="2" s="1"/>
  <c r="I56" i="2"/>
  <c r="M56" i="2" s="1"/>
  <c r="R56" i="2"/>
  <c r="B39" i="2"/>
  <c r="F39" i="2" s="1"/>
  <c r="H39" i="2" s="1"/>
  <c r="O50" i="2"/>
  <c r="P50" i="2" s="1"/>
  <c r="U50" i="2" s="1"/>
  <c r="R49" i="2"/>
  <c r="B41" i="2"/>
  <c r="F41" i="2" s="1"/>
  <c r="H41" i="2" s="1"/>
  <c r="B40" i="2"/>
  <c r="F40" i="2" s="1"/>
  <c r="H40" i="2" s="1"/>
  <c r="B51" i="2"/>
  <c r="F51" i="2" s="1"/>
  <c r="AC51" i="2" s="1"/>
  <c r="A52" i="2"/>
  <c r="H36" i="2"/>
  <c r="Q38" i="2"/>
  <c r="V38" i="2" s="1"/>
  <c r="G36" i="2"/>
  <c r="J36" i="2" s="1"/>
  <c r="N36" i="2" s="1"/>
  <c r="O36" i="2" s="1"/>
  <c r="P36" i="2" s="1"/>
  <c r="U36" i="2" s="1"/>
  <c r="Q36" i="2"/>
  <c r="Q42" i="2"/>
  <c r="Q43" i="2"/>
  <c r="I38" i="2"/>
  <c r="M38" i="2" s="1"/>
  <c r="G38" i="2"/>
  <c r="J38" i="2" s="1"/>
  <c r="N38" i="2" s="1"/>
  <c r="G42" i="2"/>
  <c r="J42" i="2" s="1"/>
  <c r="N42" i="2" s="1"/>
  <c r="I42" i="2"/>
  <c r="M42" i="2" s="1"/>
  <c r="G43" i="2"/>
  <c r="J43" i="2" s="1"/>
  <c r="N43" i="2" s="1"/>
  <c r="I43" i="2"/>
  <c r="M43" i="2" s="1"/>
  <c r="F37" i="2"/>
  <c r="H37" i="2" s="1"/>
  <c r="B15" i="1"/>
  <c r="J20" i="1" s="1"/>
  <c r="B4" i="1"/>
  <c r="AI56" i="2" l="1"/>
  <c r="AI49" i="2"/>
  <c r="G39" i="2"/>
  <c r="J39" i="2" s="1"/>
  <c r="N39" i="2" s="1"/>
  <c r="Q39" i="2"/>
  <c r="V56" i="2"/>
  <c r="J56" i="2"/>
  <c r="N56" i="2" s="1"/>
  <c r="O56" i="2" s="1"/>
  <c r="P56" i="2" s="1"/>
  <c r="U56" i="2" s="1"/>
  <c r="I39" i="2"/>
  <c r="M39" i="2" s="1"/>
  <c r="O39" i="2" s="1"/>
  <c r="P39" i="2" s="1"/>
  <c r="U39" i="2" s="1"/>
  <c r="H51" i="2"/>
  <c r="AE51" i="2" s="1"/>
  <c r="G51" i="2"/>
  <c r="AD51" i="2" s="1"/>
  <c r="I51" i="2"/>
  <c r="M51" i="2" s="1"/>
  <c r="Q51" i="2"/>
  <c r="S51" i="2"/>
  <c r="T51" i="2" s="1"/>
  <c r="R38" i="2"/>
  <c r="A53" i="2"/>
  <c r="B52" i="2"/>
  <c r="F52" i="2" s="1"/>
  <c r="AC52" i="2" s="1"/>
  <c r="O43" i="2"/>
  <c r="P43" i="2" s="1"/>
  <c r="U43" i="2" s="1"/>
  <c r="R43" i="2"/>
  <c r="V43" i="2"/>
  <c r="R42" i="2"/>
  <c r="V42" i="2"/>
  <c r="R39" i="2"/>
  <c r="V39" i="2"/>
  <c r="R36" i="2"/>
  <c r="V36" i="2"/>
  <c r="O38" i="2"/>
  <c r="P38" i="2" s="1"/>
  <c r="U38" i="2" s="1"/>
  <c r="S36" i="2"/>
  <c r="T36" i="2" s="1"/>
  <c r="O42" i="2"/>
  <c r="P42" i="2" s="1"/>
  <c r="U42" i="2" s="1"/>
  <c r="S43" i="2"/>
  <c r="T43" i="2" s="1"/>
  <c r="S42" i="2"/>
  <c r="T42" i="2" s="1"/>
  <c r="Q41" i="2"/>
  <c r="S38" i="2"/>
  <c r="T38" i="2" s="1"/>
  <c r="Q37" i="2"/>
  <c r="Q40" i="2"/>
  <c r="S39" i="2"/>
  <c r="T39" i="2" s="1"/>
  <c r="G37" i="2"/>
  <c r="J37" i="2" s="1"/>
  <c r="N37" i="2" s="1"/>
  <c r="I37" i="2"/>
  <c r="M37" i="2" s="1"/>
  <c r="I41" i="2"/>
  <c r="M41" i="2" s="1"/>
  <c r="G41" i="2"/>
  <c r="J41" i="2" s="1"/>
  <c r="N41" i="2" s="1"/>
  <c r="I40" i="2"/>
  <c r="M40" i="2" s="1"/>
  <c r="G40" i="2"/>
  <c r="J40" i="2" s="1"/>
  <c r="N40" i="2" s="1"/>
  <c r="L20" i="1"/>
  <c r="B21" i="1"/>
  <c r="AI51" i="2" l="1"/>
  <c r="J51" i="2"/>
  <c r="N51" i="2" s="1"/>
  <c r="O51" i="2"/>
  <c r="P51" i="2" s="1"/>
  <c r="U51" i="2" s="1"/>
  <c r="G52" i="2"/>
  <c r="AD52" i="2" s="1"/>
  <c r="I52" i="2"/>
  <c r="M52" i="2" s="1"/>
  <c r="H52" i="2"/>
  <c r="AE52" i="2" s="1"/>
  <c r="Q52" i="2"/>
  <c r="S52" i="2" s="1"/>
  <c r="T52" i="2" s="1"/>
  <c r="R51" i="2"/>
  <c r="V51" i="2"/>
  <c r="B53" i="2"/>
  <c r="F53" i="2" s="1"/>
  <c r="AC53" i="2" s="1"/>
  <c r="A54" i="2"/>
  <c r="O41" i="2"/>
  <c r="P41" i="2" s="1"/>
  <c r="U41" i="2" s="1"/>
  <c r="R41" i="2"/>
  <c r="V41" i="2"/>
  <c r="R40" i="2"/>
  <c r="V40" i="2"/>
  <c r="R37" i="2"/>
  <c r="V37" i="2"/>
  <c r="O40" i="2"/>
  <c r="P40" i="2" s="1"/>
  <c r="U40" i="2" s="1"/>
  <c r="S40" i="2"/>
  <c r="T40" i="2" s="1"/>
  <c r="S37" i="2"/>
  <c r="T37" i="2" s="1"/>
  <c r="S41" i="2"/>
  <c r="T41" i="2" s="1"/>
  <c r="O37" i="2"/>
  <c r="P37" i="2" s="1"/>
  <c r="U37" i="2" s="1"/>
  <c r="AI52" i="2" l="1"/>
  <c r="J52" i="2"/>
  <c r="N52" i="2" s="1"/>
  <c r="O52" i="2" s="1"/>
  <c r="P52" i="2" s="1"/>
  <c r="U52" i="2" s="1"/>
  <c r="H53" i="2"/>
  <c r="AE53" i="2" s="1"/>
  <c r="I53" i="2"/>
  <c r="M53" i="2" s="1"/>
  <c r="G53" i="2"/>
  <c r="AD53" i="2" s="1"/>
  <c r="Q53" i="2"/>
  <c r="R52" i="2"/>
  <c r="V52" i="2"/>
  <c r="A55" i="2"/>
  <c r="B55" i="2" s="1"/>
  <c r="F55" i="2" s="1"/>
  <c r="AC55" i="2" s="1"/>
  <c r="B54" i="2"/>
  <c r="F54" i="2" s="1"/>
  <c r="AC54" i="2" s="1"/>
  <c r="AI53" i="2" l="1"/>
  <c r="J53" i="2"/>
  <c r="N53" i="2" s="1"/>
  <c r="O53" i="2" s="1"/>
  <c r="P53" i="2" s="1"/>
  <c r="U53" i="2" s="1"/>
  <c r="V53" i="2"/>
  <c r="R53" i="2"/>
  <c r="I54" i="2"/>
  <c r="M54" i="2" s="1"/>
  <c r="Q54" i="2"/>
  <c r="S54" i="2" s="1"/>
  <c r="T54" i="2" s="1"/>
  <c r="H54" i="2"/>
  <c r="AE54" i="2" s="1"/>
  <c r="G54" i="2"/>
  <c r="AD54" i="2" s="1"/>
  <c r="S53" i="2"/>
  <c r="T53" i="2" s="1"/>
  <c r="H55" i="2"/>
  <c r="AE55" i="2" s="1"/>
  <c r="G55" i="2"/>
  <c r="AD55" i="2" s="1"/>
  <c r="I55" i="2"/>
  <c r="M55" i="2" s="1"/>
  <c r="Q55" i="2"/>
  <c r="AI54" i="2" l="1"/>
  <c r="AI55" i="2"/>
  <c r="J54" i="2"/>
  <c r="N54" i="2" s="1"/>
  <c r="O54" i="2" s="1"/>
  <c r="P54" i="2" s="1"/>
  <c r="U54" i="2" s="1"/>
  <c r="J55" i="2"/>
  <c r="N55" i="2" s="1"/>
  <c r="O55" i="2" s="1"/>
  <c r="P55" i="2" s="1"/>
  <c r="U55" i="2" s="1"/>
  <c r="V54" i="2"/>
  <c r="R54" i="2"/>
  <c r="R55" i="2"/>
  <c r="V55" i="2"/>
  <c r="S55" i="2"/>
  <c r="T55" i="2" s="1"/>
</calcChain>
</file>

<file path=xl/sharedStrings.xml><?xml version="1.0" encoding="utf-8"?>
<sst xmlns="http://schemas.openxmlformats.org/spreadsheetml/2006/main" count="354" uniqueCount="211">
  <si>
    <t>Po_max</t>
  </si>
  <si>
    <t>W</t>
  </si>
  <si>
    <t>Efficiency</t>
  </si>
  <si>
    <t>Pin_max</t>
  </si>
  <si>
    <t>Vds_rated</t>
  </si>
  <si>
    <t>V</t>
  </si>
  <si>
    <t>Kr</t>
  </si>
  <si>
    <t>Kr is the safety margin factor of the maximum allowed Vds voltage</t>
  </si>
  <si>
    <t>Vo</t>
  </si>
  <si>
    <t>Vin_rms</t>
  </si>
  <si>
    <t>Vin_peak_max</t>
  </si>
  <si>
    <t>Vin Variation factor</t>
  </si>
  <si>
    <t>Vin Variation factor is the variation of the Vin rms in percentage e.g. 0.05 is 5% variation</t>
  </si>
  <si>
    <t>Vin_peak_min</t>
  </si>
  <si>
    <t>n</t>
  </si>
  <si>
    <t>turns ratio - Np/Ns</t>
  </si>
  <si>
    <t>fs</t>
  </si>
  <si>
    <t>Hz</t>
  </si>
  <si>
    <t>Switching frequency</t>
  </si>
  <si>
    <t>Ton_max</t>
  </si>
  <si>
    <t>Lp</t>
  </si>
  <si>
    <t>H</t>
  </si>
  <si>
    <t>Ip_peak</t>
  </si>
  <si>
    <t>A</t>
  </si>
  <si>
    <t>Sec</t>
  </si>
  <si>
    <t>Ro_min</t>
  </si>
  <si>
    <t>ohm</t>
  </si>
  <si>
    <t>Ro_max</t>
  </si>
  <si>
    <t>Ro_min is the output resistance at max load</t>
  </si>
  <si>
    <t>Ro_max is the specification min load (just 10x of the max load)</t>
  </si>
  <si>
    <t>Lp is the inductance of the primary coil</t>
  </si>
  <si>
    <t>Pin_min</t>
  </si>
  <si>
    <t>Ton_min</t>
  </si>
  <si>
    <t>Ton_max is the maximum on time for the switch to achieve CCM</t>
  </si>
  <si>
    <t>Ton_min is the minimum on time for the switch to achieve CCM</t>
  </si>
  <si>
    <t>Klp</t>
  </si>
  <si>
    <t>Klp is the design margin factor allowed to ensure CCM at lowest rated load. 1 is 0% margin , 1.1 or 0.9 is 10% margin</t>
  </si>
  <si>
    <t>Ip_peak is the theoretical peak primary current at assumed efficiency</t>
  </si>
  <si>
    <t>Target current density</t>
  </si>
  <si>
    <t>circular mil/A</t>
  </si>
  <si>
    <t>A/m^2</t>
  </si>
  <si>
    <t>Ip max rms</t>
  </si>
  <si>
    <t>Is max rmms</t>
  </si>
  <si>
    <t>Current density target in A/m^2</t>
  </si>
  <si>
    <t>Current density target in circularmil/A</t>
  </si>
  <si>
    <t>Max rms current in the primary coil</t>
  </si>
  <si>
    <t>Max rms current in the secondary coil</t>
  </si>
  <si>
    <t>https://www.powerstream.com/Wire_Size.htm#:~:text=AWG%3A%20In%20the%20American%20Wire,%2DAWG)%2F39)%20inch.</t>
  </si>
  <si>
    <t>Useful links</t>
  </si>
  <si>
    <t>Diameter to AWG</t>
  </si>
  <si>
    <t>A/mm^2</t>
  </si>
  <si>
    <t>Current density targer in A/mm^2</t>
  </si>
  <si>
    <t>mm</t>
  </si>
  <si>
    <t>mm^2</t>
  </si>
  <si>
    <t>Ip max rms + 20%</t>
  </si>
  <si>
    <t>Is max rmms +20%</t>
  </si>
  <si>
    <t>Max rms current in the primary coul + 20%</t>
  </si>
  <si>
    <t>Max rms current in the secondary coul + 20%</t>
  </si>
  <si>
    <t>max wire diameter @ freq</t>
  </si>
  <si>
    <t xml:space="preserve">Use 26AWG, Area = 0.128mm^2 </t>
  </si>
  <si>
    <t>Number of 26AWG needed for primary</t>
  </si>
  <si>
    <t>Number of 26AWG needed for secondary</t>
  </si>
  <si>
    <t>Use 2 strands</t>
  </si>
  <si>
    <t>Use 13 strands</t>
  </si>
  <si>
    <t>Output cap rms</t>
  </si>
  <si>
    <t>Input cap rms</t>
  </si>
  <si>
    <t>AP</t>
  </si>
  <si>
    <t>ohm/m AWG26</t>
  </si>
  <si>
    <t>ohm/m</t>
  </si>
  <si>
    <t>Ln</t>
  </si>
  <si>
    <t>m</t>
  </si>
  <si>
    <t>average length per turn</t>
  </si>
  <si>
    <t>Ve</t>
  </si>
  <si>
    <t>m^3</t>
  </si>
  <si>
    <t>core volume</t>
  </si>
  <si>
    <t>delta B -mT</t>
  </si>
  <si>
    <t>W/m - push pull</t>
  </si>
  <si>
    <t>W/m - single</t>
  </si>
  <si>
    <t>N27-ETD34 coreloss</t>
  </si>
  <si>
    <t>Ton @ Ip_peak</t>
  </si>
  <si>
    <t>sec</t>
  </si>
  <si>
    <t>Ton @ Ipeak</t>
  </si>
  <si>
    <t>Ae</t>
  </si>
  <si>
    <t>m^2</t>
  </si>
  <si>
    <t>core cross sectional area</t>
  </si>
  <si>
    <t>deltab B - T</t>
  </si>
  <si>
    <t>Pri Nmin</t>
  </si>
  <si>
    <t>Sec Nmin</t>
  </si>
  <si>
    <t>Pri length -m</t>
  </si>
  <si>
    <t>Sec length - m</t>
  </si>
  <si>
    <t>Pri rms/wire</t>
  </si>
  <si>
    <t>Sec rms/wire</t>
  </si>
  <si>
    <t>Pri copper loss</t>
  </si>
  <si>
    <t>Sec copper loss</t>
  </si>
  <si>
    <t>Copper loss total</t>
  </si>
  <si>
    <t>Total loss</t>
  </si>
  <si>
    <t>L</t>
  </si>
  <si>
    <t>uo</t>
  </si>
  <si>
    <t>constant</t>
  </si>
  <si>
    <t>air gap</t>
  </si>
  <si>
    <t>Il current center</t>
  </si>
  <si>
    <t>air gap = mm</t>
  </si>
  <si>
    <t>Bdc</t>
  </si>
  <si>
    <t>Btotal - mT</t>
  </si>
  <si>
    <t>cm^4</t>
  </si>
  <si>
    <t>area product</t>
  </si>
  <si>
    <t>temp rise - degC</t>
  </si>
  <si>
    <t>current in between the ripple in the primary</t>
  </si>
  <si>
    <t>primary inductance</t>
  </si>
  <si>
    <t>ohm/m of the AWG26 wire @ 25degC?</t>
  </si>
  <si>
    <t>Va</t>
  </si>
  <si>
    <t>auxiliary winding voltage</t>
  </si>
  <si>
    <t>Np/Na</t>
  </si>
  <si>
    <t>turns ratio between the primary and the auxilliary winding</t>
  </si>
  <si>
    <t>Aux Nmin</t>
  </si>
  <si>
    <t>Isat @ Bmax 300mT, @ air gap</t>
  </si>
  <si>
    <t>Bmax</t>
  </si>
  <si>
    <t>T</t>
  </si>
  <si>
    <t>ETD34</t>
  </si>
  <si>
    <t>ETD39</t>
  </si>
  <si>
    <t>max wire area  @ freq</t>
  </si>
  <si>
    <t>Primary min wire area</t>
  </si>
  <si>
    <t>Secondary min wire area</t>
  </si>
  <si>
    <t>roughly 0.2mm^2/A</t>
  </si>
  <si>
    <t>Bobbin width</t>
  </si>
  <si>
    <t>bodding width in m</t>
  </si>
  <si>
    <t>bobbin width in m</t>
  </si>
  <si>
    <t>Boddin with @ 6.4mm creapage clerance</t>
  </si>
  <si>
    <t>Pri wide diamter @ 3 trands</t>
  </si>
  <si>
    <t>Sec diamter @ 14 trands</t>
  </si>
  <si>
    <t>Aux diamter @ 1 trands</t>
  </si>
  <si>
    <t>Pri T/L @ creepage</t>
  </si>
  <si>
    <t>Sec T/L @ creepage</t>
  </si>
  <si>
    <t>Aux T/L @ crepage</t>
  </si>
  <si>
    <t>Pri layer</t>
  </si>
  <si>
    <t>Sec layer</t>
  </si>
  <si>
    <t>Aux layer</t>
  </si>
  <si>
    <t>Pri H</t>
  </si>
  <si>
    <t>Sec H</t>
  </si>
  <si>
    <t>Aux H</t>
  </si>
  <si>
    <t>Total H</t>
  </si>
  <si>
    <t>AWG26 diamter</t>
  </si>
  <si>
    <t>AL</t>
  </si>
  <si>
    <t>Pri turn</t>
  </si>
  <si>
    <t>Sec turn</t>
  </si>
  <si>
    <t>Aux turn</t>
  </si>
  <si>
    <t>ETD39 @ 2mm air gap</t>
  </si>
  <si>
    <t>Isat @ 2mm</t>
  </si>
  <si>
    <t>Pri diam</t>
  </si>
  <si>
    <t>Sec diam</t>
  </si>
  <si>
    <t>Aux diam</t>
  </si>
  <si>
    <t>Pri T/L</t>
  </si>
  <si>
    <t>Sec T/L</t>
  </si>
  <si>
    <t>Aux T/L</t>
  </si>
  <si>
    <t>Pri L</t>
  </si>
  <si>
    <t>Sec L</t>
  </si>
  <si>
    <t>Aux L</t>
  </si>
  <si>
    <t>Total layer</t>
  </si>
  <si>
    <t>Total heigth</t>
  </si>
  <si>
    <t>ETD44 @ 1mm air gap</t>
  </si>
  <si>
    <t>Isat @ 1mm</t>
  </si>
  <si>
    <t xml:space="preserve">Max heigth </t>
  </si>
  <si>
    <t>Total L</t>
  </si>
  <si>
    <t>Total Height</t>
  </si>
  <si>
    <t>ETD39 @ 1mm</t>
  </si>
  <si>
    <t>Bobbin width @ 6.4mm creepage</t>
  </si>
  <si>
    <t>https://www.selfadhesive.co.uk/3m-1350-polyester-tape-yellow-6mmx66m?gclid=Cj0KEQjwuJu9BRDP_-HN9eXs1_UBEiQAlfW39sy0TWVPY-Wx8ORCCoK43EMrI3IMsTwnJzSYWgR_kFAaAgRM8P8HAQ</t>
  </si>
  <si>
    <t>Polyester tape , fire retardant?</t>
  </si>
  <si>
    <t>Overview of 3M PET tapes</t>
  </si>
  <si>
    <t>https://multimedia.3m.com/mws/media/103938O/3m-insulating-and-conductive-tapes-pb-lr-pdf-digital-version.pdf</t>
  </si>
  <si>
    <t>Kapton = Polyimide</t>
  </si>
  <si>
    <t>Cin Irms</t>
  </si>
  <si>
    <t>Switch Irms</t>
  </si>
  <si>
    <t>Switch Imean</t>
  </si>
  <si>
    <t>Sec diode Irms</t>
  </si>
  <si>
    <t>Sec diode Imean</t>
  </si>
  <si>
    <t>Rec Irms</t>
  </si>
  <si>
    <t>Rec Imean</t>
  </si>
  <si>
    <t>Sec Cout Irms</t>
  </si>
  <si>
    <t>Rec Vf (assumed)</t>
  </si>
  <si>
    <t>AC In Irms @ Pmax</t>
  </si>
  <si>
    <t>AC In Irms @ Pmin</t>
  </si>
  <si>
    <t>Ploss = 2.2W</t>
  </si>
  <si>
    <t>3.7W</t>
  </si>
  <si>
    <t>Input capacitance</t>
  </si>
  <si>
    <t>Is rms</t>
  </si>
  <si>
    <t>Ipeak</t>
  </si>
  <si>
    <t>Icout rms</t>
  </si>
  <si>
    <t>Icin rms</t>
  </si>
  <si>
    <t>Name</t>
  </si>
  <si>
    <t>Cursor 1</t>
  </si>
  <si>
    <t>Cursor 2</t>
  </si>
  <si>
    <t>Delta</t>
  </si>
  <si>
    <t>Abs Max</t>
  </si>
  <si>
    <t>Mean</t>
  </si>
  <si>
    <t>RMS</t>
  </si>
  <si>
    <t>Time</t>
  </si>
  <si>
    <t>Output</t>
  </si>
  <si>
    <t>Resistor voltage</t>
  </si>
  <si>
    <t>Switch current</t>
  </si>
  <si>
    <t>MOSFET current</t>
  </si>
  <si>
    <t>Diode current</t>
  </si>
  <si>
    <t>Output capacitor current</t>
  </si>
  <si>
    <t>Capacitor current</t>
  </si>
  <si>
    <t>Input cacpacitor current</t>
  </si>
  <si>
    <t>Icin rms - normmalised</t>
  </si>
  <si>
    <t>Is rms - normmalised</t>
  </si>
  <si>
    <t>Ipeak - normmalised</t>
  </si>
  <si>
    <t>Icout rms - normmalised</t>
  </si>
  <si>
    <t>Vin = 230*0.9 rms</t>
  </si>
  <si>
    <t>Vin = 230*0.9*sqrt(2) V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</si>
</sst>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1" fillId="5" borderId="0" xfId="0" applyFont="1" applyFill="1" applyBorder="1"/>
    <xf numFmtId="0" fontId="1" fillId="5" borderId="1" xfId="0" applyFont="1" applyFill="1" applyBorder="1"/>
    <xf numFmtId="0" fontId="0" fillId="0" borderId="1" xfId="0" applyBorder="1"/>
    <xf numFmtId="0" fontId="1" fillId="5" borderId="2" xfId="0" applyFont="1" applyFill="1" applyBorder="1"/>
    <xf numFmtId="0" fontId="0" fillId="0" borderId="2" xfId="0" applyFill="1" applyBorder="1"/>
    <xf numFmtId="0" fontId="1" fillId="5" borderId="3" xfId="0" applyFont="1" applyFill="1" applyBorder="1"/>
    <xf numFmtId="0" fontId="0" fillId="6" borderId="1" xfId="0" applyFill="1" applyBorder="1"/>
    <xf numFmtId="0" fontId="0" fillId="0" borderId="0" xfId="0" applyFill="1" applyBorder="1"/>
    <xf numFmtId="0" fontId="0" fillId="6" borderId="0" xfId="0" applyFill="1"/>
    <xf numFmtId="0" fontId="0" fillId="0" borderId="1" xfId="0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Core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'core and copper loss - N27'!$A$36:$A$43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cat>
          <c:val>
            <c:numRef>
              <c:f>'core and copper loss - N27'!$E$36:$E$43</c:f>
              <c:numCache>
                <c:formatCode>General</c:formatCode>
                <c:ptCount val="8"/>
                <c:pt idx="0">
                  <c:v>1.1445E-2</c:v>
                </c:pt>
                <c:pt idx="1">
                  <c:v>1.9074999999999998E-2</c:v>
                </c:pt>
                <c:pt idx="2">
                  <c:v>3.0519999999999999E-2</c:v>
                </c:pt>
                <c:pt idx="3">
                  <c:v>4.5780000000000001E-2</c:v>
                </c:pt>
                <c:pt idx="4">
                  <c:v>6.1039999999999997E-2</c:v>
                </c:pt>
                <c:pt idx="5">
                  <c:v>7.6299999999999993E-2</c:v>
                </c:pt>
                <c:pt idx="6">
                  <c:v>0.10682</c:v>
                </c:pt>
                <c:pt idx="7">
                  <c:v>1.33525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C5-4D90-BBA1-A30B15BE05CC}"/>
            </c:ext>
          </c:extLst>
        </c:ser>
        <c:ser>
          <c:idx val="1"/>
          <c:order val="1"/>
          <c:tx>
            <c:v>Copper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'core and copper loss - N27'!$A$36:$A$43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cat>
          <c:val>
            <c:numRef>
              <c:f>'core and copper loss - N27'!$O$36:$O$43</c:f>
              <c:numCache>
                <c:formatCode>General</c:formatCode>
                <c:ptCount val="8"/>
                <c:pt idx="0">
                  <c:v>2.5565071583333334</c:v>
                </c:pt>
                <c:pt idx="1">
                  <c:v>2.6290597666666669</c:v>
                </c:pt>
                <c:pt idx="2">
                  <c:v>2.0919827133333335</c:v>
                </c:pt>
                <c:pt idx="3">
                  <c:v>1.772563485</c:v>
                </c:pt>
                <c:pt idx="4">
                  <c:v>1.5072703799999998</c:v>
                </c:pt>
                <c:pt idx="5">
                  <c:v>1.3145298833333334</c:v>
                </c:pt>
                <c:pt idx="6">
                  <c:v>1.1910965733333334</c:v>
                </c:pt>
                <c:pt idx="7">
                  <c:v>1.0459913566666668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C5-4D90-BBA1-A30B15BE05CC}"/>
            </c:ext>
          </c:extLst>
        </c:ser>
        <c:ser>
          <c:idx val="2"/>
          <c:order val="2"/>
          <c:tx>
            <c:v>Total loss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'core and copper loss - N27'!$A$36:$A$43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cat>
          <c:val>
            <c:numRef>
              <c:f>'core and copper loss - N27'!$P$36:$P$43</c:f>
              <c:numCache>
                <c:formatCode>General</c:formatCode>
                <c:ptCount val="8"/>
                <c:pt idx="0">
                  <c:v>2.5679521583333336</c:v>
                </c:pt>
                <c:pt idx="1">
                  <c:v>2.6481347666666668</c:v>
                </c:pt>
                <c:pt idx="2">
                  <c:v>2.1225027133333336</c:v>
                </c:pt>
                <c:pt idx="3">
                  <c:v>1.818343485</c:v>
                </c:pt>
                <c:pt idx="4">
                  <c:v>1.5683103799999998</c:v>
                </c:pt>
                <c:pt idx="5">
                  <c:v>1.3908298833333335</c:v>
                </c:pt>
                <c:pt idx="6">
                  <c:v>1.2979165733333333</c:v>
                </c:pt>
                <c:pt idx="7">
                  <c:v>2.381241356666667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C5-4D90-BBA1-A30B15BE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72943"/>
        <c:axId val="1492871695"/>
      </c:lineChart>
      <c:catAx>
        <c:axId val="149287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delta</a:t>
                </a:r>
                <a:r>
                  <a:rPr lang="en-NZ" baseline="0"/>
                  <a:t> B - 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71695"/>
        <c:crosses val="autoZero"/>
        <c:auto val="1"/>
        <c:lblAlgn val="ctr"/>
        <c:lblOffset val="100"/>
        <c:noMultiLvlLbl val="0"/>
      </c:catAx>
      <c:valAx>
        <c:axId val="14928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Loss</a:t>
                </a:r>
                <a:r>
                  <a:rPr lang="en-NZ" baseline="0"/>
                  <a:t> - W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7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Normalised current stress</a:t>
            </a:r>
            <a:r>
              <a:rPr lang="en-NZ" baseline="0"/>
              <a:t> vs Input capacitance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'current stress'!$G$2</c:f>
              <c:strCache>
                <c:ptCount val="1"/>
                <c:pt idx="0">
                  <c:v>Icin rms - normmalised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'current stress'!$F$3:$F$10</c:f>
              <c:numCache>
                <c:formatCode>General</c:formatCode>
                <c:ptCount val="8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</c:numCache>
            </c:numRef>
          </c:xVal>
          <c:yVal>
            <c:numRef>
              <c:f>'current stress'!$G$3:$G$10</c:f>
              <c:numCache>
                <c:formatCode>General</c:formatCode>
                <c:ptCount val="8"/>
                <c:pt idx="0">
                  <c:v>0.67924063289980496</c:v>
                </c:pt>
                <c:pt idx="1">
                  <c:v>0.79624048502601885</c:v>
                </c:pt>
                <c:pt idx="2">
                  <c:v>0.86604395372254661</c:v>
                </c:pt>
                <c:pt idx="3">
                  <c:v>0.91295867279756082</c:v>
                </c:pt>
                <c:pt idx="4">
                  <c:v>0.9461563378000607</c:v>
                </c:pt>
                <c:pt idx="5">
                  <c:v>0.96998162140085775</c:v>
                </c:pt>
                <c:pt idx="6">
                  <c:v>0.98723004232006939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C-47AA-A44D-4135FF6F9FE9}"/>
            </c:ext>
          </c:extLst>
        </c:ser>
        <c:ser>
          <c:idx val="1"/>
          <c:order val="1"/>
          <c:tx>
            <c:strRef>
              <c:f>'current stress'!$H$2</c:f>
              <c:strCache>
                <c:ptCount val="1"/>
                <c:pt idx="0">
                  <c:v>Is rms - normmalised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'current stress'!$F$3:$F$10</c:f>
              <c:numCache>
                <c:formatCode>General</c:formatCode>
                <c:ptCount val="8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</c:numCache>
            </c:numRef>
          </c:xVal>
          <c:yVal>
            <c:numRef>
              <c:f>'current stress'!$H$3:$H$10</c:f>
              <c:numCache>
                <c:formatCode>General</c:formatCode>
                <c:ptCount val="8"/>
                <c:pt idx="0">
                  <c:v>1</c:v>
                </c:pt>
                <c:pt idx="1">
                  <c:v>0.88131727738740695</c:v>
                </c:pt>
                <c:pt idx="2">
                  <c:v>0.86228559663395299</c:v>
                </c:pt>
                <c:pt idx="3">
                  <c:v>0.85431921487057938</c:v>
                </c:pt>
                <c:pt idx="4">
                  <c:v>0.84994799942984145</c:v>
                </c:pt>
                <c:pt idx="5">
                  <c:v>0.84721335015652965</c:v>
                </c:pt>
                <c:pt idx="6">
                  <c:v>0.84536561416104872</c:v>
                </c:pt>
                <c:pt idx="7">
                  <c:v>0.84405636122710781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C-47AA-A44D-4135FF6F9FE9}"/>
            </c:ext>
          </c:extLst>
        </c:ser>
        <c:ser>
          <c:idx val="2"/>
          <c:order val="2"/>
          <c:tx>
            <c:strRef>
              <c:f>'current stress'!$I$2</c:f>
              <c:strCache>
                <c:ptCount val="1"/>
                <c:pt idx="0">
                  <c:v>Ipeak - normmalised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'current stress'!$F$3:$F$10</c:f>
              <c:numCache>
                <c:formatCode>General</c:formatCode>
                <c:ptCount val="8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</c:numCache>
            </c:numRef>
          </c:xVal>
          <c:yVal>
            <c:numRef>
              <c:f>'current stress'!$I$3:$I$10</c:f>
              <c:numCache>
                <c:formatCode>General</c:formatCode>
                <c:ptCount val="8"/>
                <c:pt idx="0">
                  <c:v>1</c:v>
                </c:pt>
                <c:pt idx="1">
                  <c:v>0.88620736885358165</c:v>
                </c:pt>
                <c:pt idx="2">
                  <c:v>0.87260649226133402</c:v>
                </c:pt>
                <c:pt idx="3">
                  <c:v>0.86727617221385189</c:v>
                </c:pt>
                <c:pt idx="4">
                  <c:v>0.86442953020134217</c:v>
                </c:pt>
                <c:pt idx="5">
                  <c:v>0.86266721453682138</c:v>
                </c:pt>
                <c:pt idx="6">
                  <c:v>0.86147559695018938</c:v>
                </c:pt>
                <c:pt idx="7">
                  <c:v>0.86062411541797923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DC-47AA-A44D-4135FF6F9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206271"/>
        <c:axId val="1618207519"/>
      </c:scatterChart>
      <c:valAx>
        <c:axId val="161820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Inpput capacitance - 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07519"/>
        <c:crosses val="autoZero"/>
        <c:crossBetween val="midCat"/>
      </c:valAx>
      <c:valAx>
        <c:axId val="16182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Normalised</a:t>
                </a:r>
                <a:r>
                  <a:rPr lang="en-NZ" baseline="0"/>
                  <a:t> current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0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Normalised current stress</a:t>
            </a:r>
            <a:r>
              <a:rPr lang="en-NZ" baseline="0"/>
              <a:t> vs Input capacitance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'current stress'!$G$66</c:f>
              <c:strCache>
                <c:ptCount val="1"/>
                <c:pt idx="0">
                  <c:v>Icin rms - normmalised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'current stress'!$F$67:$F$74</c:f>
              <c:numCache>
                <c:formatCode>General</c:formatCode>
                <c:ptCount val="8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</c:numCache>
            </c:numRef>
          </c:xVal>
          <c:yVal>
            <c:numRef>
              <c:f>'current stress'!$G$67:$G$74</c:f>
              <c:numCache>
                <c:formatCode>General</c:formatCode>
                <c:ptCount val="8"/>
                <c:pt idx="0">
                  <c:v>0.69169284332355208</c:v>
                </c:pt>
                <c:pt idx="1">
                  <c:v>0.81891785915881365</c:v>
                </c:pt>
                <c:pt idx="2">
                  <c:v>0.88714952364947852</c:v>
                </c:pt>
                <c:pt idx="3">
                  <c:v>0.93066956225735431</c:v>
                </c:pt>
                <c:pt idx="4">
                  <c:v>0.95905669239088753</c:v>
                </c:pt>
                <c:pt idx="5">
                  <c:v>0.9780977865105116</c:v>
                </c:pt>
                <c:pt idx="6">
                  <c:v>0.99108054654274225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C4-4EF3-98C7-00AC4AB02C67}"/>
            </c:ext>
          </c:extLst>
        </c:ser>
        <c:ser>
          <c:idx val="1"/>
          <c:order val="1"/>
          <c:tx>
            <c:strRef>
              <c:f>'current stress'!$H$66</c:f>
              <c:strCache>
                <c:ptCount val="1"/>
                <c:pt idx="0">
                  <c:v>Is rms - normmalised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'current stress'!$F$67:$F$74</c:f>
              <c:numCache>
                <c:formatCode>General</c:formatCode>
                <c:ptCount val="8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</c:numCache>
            </c:numRef>
          </c:xVal>
          <c:yVal>
            <c:numRef>
              <c:f>'current stress'!$H$67:$H$74</c:f>
              <c:numCache>
                <c:formatCode>General</c:formatCode>
                <c:ptCount val="8"/>
                <c:pt idx="0">
                  <c:v>1</c:v>
                </c:pt>
                <c:pt idx="1">
                  <c:v>0.94942395478588504</c:v>
                </c:pt>
                <c:pt idx="2">
                  <c:v>0.93973625099630453</c:v>
                </c:pt>
                <c:pt idx="3">
                  <c:v>0.93560611549887684</c:v>
                </c:pt>
                <c:pt idx="4">
                  <c:v>0.93334540975291647</c:v>
                </c:pt>
                <c:pt idx="5">
                  <c:v>0.93194696036519098</c:v>
                </c:pt>
                <c:pt idx="6">
                  <c:v>0.93102673719295692</c:v>
                </c:pt>
                <c:pt idx="7">
                  <c:v>0.93038910223896809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C4-4EF3-98C7-00AC4AB02C67}"/>
            </c:ext>
          </c:extLst>
        </c:ser>
        <c:ser>
          <c:idx val="2"/>
          <c:order val="2"/>
          <c:tx>
            <c:strRef>
              <c:f>'current stress'!$I$66</c:f>
              <c:strCache>
                <c:ptCount val="1"/>
                <c:pt idx="0">
                  <c:v>Ipeak - normmalised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'current stress'!$F$67:$F$74</c:f>
              <c:numCache>
                <c:formatCode>General</c:formatCode>
                <c:ptCount val="8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</c:numCache>
            </c:numRef>
          </c:xVal>
          <c:yVal>
            <c:numRef>
              <c:f>'current stress'!$I$67:$I$74</c:f>
              <c:numCache>
                <c:formatCode>General</c:formatCode>
                <c:ptCount val="8"/>
                <c:pt idx="0">
                  <c:v>1</c:v>
                </c:pt>
                <c:pt idx="1">
                  <c:v>0.97005089003655021</c:v>
                </c:pt>
                <c:pt idx="2">
                  <c:v>0.96510744051148789</c:v>
                </c:pt>
                <c:pt idx="3">
                  <c:v>0.96306429179829423</c:v>
                </c:pt>
                <c:pt idx="4">
                  <c:v>0.96195376769560859</c:v>
                </c:pt>
                <c:pt idx="5">
                  <c:v>0.96126373330170678</c:v>
                </c:pt>
                <c:pt idx="6">
                  <c:v>0.96079742099645271</c:v>
                </c:pt>
                <c:pt idx="7">
                  <c:v>0.9604685764806089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C4-4EF3-98C7-00AC4AB02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206271"/>
        <c:axId val="1618207519"/>
      </c:scatterChart>
      <c:valAx>
        <c:axId val="161820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Inpput capacitance - 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07519"/>
        <c:crosses val="autoZero"/>
        <c:crossBetween val="midCat"/>
      </c:valAx>
      <c:valAx>
        <c:axId val="16182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Normalised</a:t>
                </a:r>
                <a:r>
                  <a:rPr lang="en-NZ" baseline="0"/>
                  <a:t> current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0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92</xdr:row>
      <xdr:rowOff>30017</xdr:rowOff>
    </xdr:from>
    <xdr:to>
      <xdr:col>7</xdr:col>
      <xdr:colOff>836015</xdr:colOff>
      <xdr:row>122</xdr:row>
      <xdr:rowOff>59375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40583-F92D-4C2B-8C48-23534D498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31749</xdr:colOff>
      <xdr:row>10</xdr:row>
      <xdr:rowOff>29936</xdr:rowOff>
    </xdr:from>
    <xdr:to>
      <xdr:col>9</xdr:col>
      <xdr:colOff>1941284</xdr:colOff>
      <xdr:row>38</xdr:row>
      <xdr:rowOff>54429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9459F1E6-F78A-43E4-B4BF-EFB308A5E6A2}"/>
            </a:ext>
          </a:extLst>
        </xdr:cNvPr>
        <xdr:cNvGrpSpPr/>
      </xdr:nvGrpSpPr>
      <xdr:grpSpPr>
        <a:xfrm>
          <a:off x="7760606" y="1844222"/>
          <a:ext cx="5166178" cy="5104493"/>
          <a:chOff x="7760606" y="1844222"/>
          <a:chExt cx="5166178" cy="5104493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342B8EC2-83C4-45AA-AF80-9F5159BCD422}"/>
              </a:ext>
            </a:extLst>
          </xdr:cNvPr>
          <xdr:cNvGraphicFramePr/>
        </xdr:nvGraphicFramePr>
        <xdr:xfrm>
          <a:off x="7760606" y="1844222"/>
          <a:ext cx="5166178" cy="51044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C9897D5-3946-458A-9746-46BB5F086A63}"/>
              </a:ext>
            </a:extLst>
          </xdr:cNvPr>
          <xdr:cNvSpPr txBox="1"/>
        </xdr:nvSpPr>
        <xdr:spPr>
          <a:xfrm>
            <a:off x="9207501" y="3964214"/>
            <a:ext cx="2458357" cy="6440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NZ" sz="1100" b="1"/>
              <a:t>Looks like from this chart, Cin = 250uF is the</a:t>
            </a:r>
            <a:r>
              <a:rPr lang="en-NZ" sz="1100" b="1" baseline="0"/>
              <a:t> best trade off solution between, Cin rms, Is peak and rms.</a:t>
            </a:r>
            <a:endParaRPr lang="en-NZ" sz="1100" b="1"/>
          </a:p>
        </xdr:txBody>
      </xdr:sp>
    </xdr:grpSp>
    <xdr:clientData/>
  </xdr:twoCellAnchor>
  <xdr:twoCellAnchor>
    <xdr:from>
      <xdr:col>7</xdr:col>
      <xdr:colOff>27214</xdr:colOff>
      <xdr:row>73</xdr:row>
      <xdr:rowOff>172357</xdr:rowOff>
    </xdr:from>
    <xdr:to>
      <xdr:col>9</xdr:col>
      <xdr:colOff>1936749</xdr:colOff>
      <xdr:row>102</xdr:row>
      <xdr:rowOff>15422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FBB9EF9-716C-4D94-88E9-1855E19C0B65}"/>
            </a:ext>
          </a:extLst>
        </xdr:cNvPr>
        <xdr:cNvGrpSpPr/>
      </xdr:nvGrpSpPr>
      <xdr:grpSpPr>
        <a:xfrm>
          <a:off x="7756071" y="13416643"/>
          <a:ext cx="5166178" cy="5104493"/>
          <a:chOff x="7860392" y="1363436"/>
          <a:chExt cx="5166178" cy="5104493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94B0544A-24BE-411B-A799-AD07DDEB601D}"/>
              </a:ext>
            </a:extLst>
          </xdr:cNvPr>
          <xdr:cNvGraphicFramePr/>
        </xdr:nvGraphicFramePr>
        <xdr:xfrm>
          <a:off x="7860392" y="1363436"/>
          <a:ext cx="5166178" cy="51044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85C88308-1C4F-47DE-9EB8-747592718B14}"/>
              </a:ext>
            </a:extLst>
          </xdr:cNvPr>
          <xdr:cNvSpPr txBox="1"/>
        </xdr:nvSpPr>
        <xdr:spPr>
          <a:xfrm>
            <a:off x="9261930" y="3320143"/>
            <a:ext cx="2458357" cy="116386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NZ" sz="1100" b="1"/>
              <a:t>From this, the</a:t>
            </a:r>
            <a:r>
              <a:rPr lang="en-NZ" sz="1100" b="1" baseline="0"/>
              <a:t> lines intersect at C = 350uF , and C = 450uF.</a:t>
            </a:r>
          </a:p>
          <a:p>
            <a:endParaRPr lang="en-NZ" sz="1100" b="1" baseline="0"/>
          </a:p>
          <a:p>
            <a:r>
              <a:rPr lang="en-NZ" sz="1100" b="1" baseline="0"/>
              <a:t>The average value between those value is 400uF.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opLeftCell="A10" zoomScale="85" zoomScaleNormal="85" workbookViewId="0">
      <selection activeCell="B13" sqref="B13"/>
    </sheetView>
  </sheetViews>
  <sheetFormatPr defaultRowHeight="14.5" x14ac:dyDescent="0.35"/>
  <cols>
    <col min="1" max="1" width="34.81640625" customWidth="1"/>
    <col min="2" max="2" width="16.90625" customWidth="1"/>
    <col min="3" max="3" width="17.453125" customWidth="1"/>
    <col min="4" max="4" width="16.36328125" customWidth="1"/>
    <col min="11" max="11" width="11.36328125" customWidth="1"/>
  </cols>
  <sheetData>
    <row r="1" spans="1:4" x14ac:dyDescent="0.35">
      <c r="A1" s="1" t="s">
        <v>0</v>
      </c>
      <c r="B1">
        <v>150</v>
      </c>
      <c r="C1" t="s">
        <v>1</v>
      </c>
    </row>
    <row r="2" spans="1:4" x14ac:dyDescent="0.35">
      <c r="A2" s="1" t="s">
        <v>2</v>
      </c>
      <c r="B2">
        <v>0.8</v>
      </c>
    </row>
    <row r="3" spans="1:4" x14ac:dyDescent="0.35">
      <c r="A3" s="1" t="s">
        <v>3</v>
      </c>
      <c r="B3">
        <f>B1/B2</f>
        <v>187.5</v>
      </c>
      <c r="C3" t="s">
        <v>1</v>
      </c>
    </row>
    <row r="4" spans="1:4" x14ac:dyDescent="0.35">
      <c r="A4" s="1" t="s">
        <v>31</v>
      </c>
      <c r="B4">
        <f>B3/10</f>
        <v>18.75</v>
      </c>
      <c r="C4" t="s">
        <v>1</v>
      </c>
    </row>
    <row r="6" spans="1:4" x14ac:dyDescent="0.35">
      <c r="A6" s="1" t="s">
        <v>4</v>
      </c>
      <c r="B6">
        <v>600</v>
      </c>
      <c r="C6" t="s">
        <v>5</v>
      </c>
    </row>
    <row r="7" spans="1:4" x14ac:dyDescent="0.35">
      <c r="A7" s="1" t="s">
        <v>6</v>
      </c>
      <c r="B7">
        <v>0.7</v>
      </c>
      <c r="D7" t="s">
        <v>7</v>
      </c>
    </row>
    <row r="8" spans="1:4" x14ac:dyDescent="0.35">
      <c r="A8" s="1" t="s">
        <v>8</v>
      </c>
      <c r="B8">
        <v>24</v>
      </c>
      <c r="C8" t="s">
        <v>5</v>
      </c>
    </row>
    <row r="9" spans="1:4" x14ac:dyDescent="0.35">
      <c r="A9" s="1" t="s">
        <v>9</v>
      </c>
      <c r="B9">
        <v>230</v>
      </c>
      <c r="C9" t="s">
        <v>5</v>
      </c>
    </row>
    <row r="10" spans="1:4" x14ac:dyDescent="0.35">
      <c r="A10" s="1" t="s">
        <v>11</v>
      </c>
      <c r="B10">
        <v>0.1</v>
      </c>
      <c r="D10" t="s">
        <v>12</v>
      </c>
    </row>
    <row r="11" spans="1:4" x14ac:dyDescent="0.35">
      <c r="A11" s="1" t="s">
        <v>10</v>
      </c>
      <c r="B11">
        <f>SQRT(2)*B9*(1+B10)</f>
        <v>357.79603128039309</v>
      </c>
      <c r="C11" t="s">
        <v>5</v>
      </c>
    </row>
    <row r="12" spans="1:4" x14ac:dyDescent="0.35">
      <c r="A12" s="1" t="s">
        <v>13</v>
      </c>
      <c r="B12">
        <f>SQRT(2)*B9*(1-B10)</f>
        <v>292.74220741123071</v>
      </c>
      <c r="C12" t="s">
        <v>5</v>
      </c>
    </row>
    <row r="13" spans="1:4" x14ac:dyDescent="0.35">
      <c r="A13" s="1" t="s">
        <v>14</v>
      </c>
      <c r="B13">
        <f>(B7*B6-B11)/B8</f>
        <v>2.5918320299836211</v>
      </c>
      <c r="D13" t="s">
        <v>15</v>
      </c>
    </row>
    <row r="14" spans="1:4" x14ac:dyDescent="0.35">
      <c r="A14" s="1" t="s">
        <v>16</v>
      </c>
      <c r="B14">
        <f>100000</f>
        <v>100000</v>
      </c>
      <c r="C14" t="s">
        <v>17</v>
      </c>
      <c r="D14" t="s">
        <v>18</v>
      </c>
    </row>
    <row r="15" spans="1:4" x14ac:dyDescent="0.35">
      <c r="A15" s="1" t="s">
        <v>19</v>
      </c>
      <c r="B15">
        <f>(B13*B8)/(B14*(B13*B8+B12))</f>
        <v>1.7524901774594055E-6</v>
      </c>
      <c r="C15" t="s">
        <v>24</v>
      </c>
      <c r="D15" t="s">
        <v>33</v>
      </c>
    </row>
    <row r="16" spans="1:4" x14ac:dyDescent="0.35">
      <c r="A16" s="1" t="s">
        <v>32</v>
      </c>
      <c r="B16">
        <f>(B13*B8)/(B14*(B13*B8+B11))</f>
        <v>1.481046874276355E-6</v>
      </c>
      <c r="C16" t="s">
        <v>24</v>
      </c>
      <c r="D16" t="s">
        <v>34</v>
      </c>
    </row>
    <row r="17" spans="1:12" x14ac:dyDescent="0.35">
      <c r="A17" s="1" t="s">
        <v>25</v>
      </c>
      <c r="B17">
        <f>(B8*B8)/(B1)</f>
        <v>3.84</v>
      </c>
      <c r="C17" t="s">
        <v>26</v>
      </c>
      <c r="D17" t="s">
        <v>28</v>
      </c>
    </row>
    <row r="18" spans="1:12" x14ac:dyDescent="0.35">
      <c r="A18" s="1" t="s">
        <v>27</v>
      </c>
      <c r="B18">
        <f>B17*10</f>
        <v>38.4</v>
      </c>
      <c r="C18" t="s">
        <v>26</v>
      </c>
      <c r="D18" t="s">
        <v>29</v>
      </c>
    </row>
    <row r="19" spans="1:12" x14ac:dyDescent="0.35">
      <c r="A19" s="1" t="s">
        <v>35</v>
      </c>
      <c r="B19">
        <v>0.78</v>
      </c>
      <c r="D19" t="s">
        <v>36</v>
      </c>
    </row>
    <row r="20" spans="1:12" x14ac:dyDescent="0.35">
      <c r="A20" s="1" t="s">
        <v>20</v>
      </c>
      <c r="B20">
        <f>(((B12*B15)^2)*B14)/(2*B4*B19)</f>
        <v>8.9982074430637442E-4</v>
      </c>
      <c r="C20" t="s">
        <v>21</v>
      </c>
      <c r="D20" t="s">
        <v>30</v>
      </c>
      <c r="J20">
        <f>B20*1000000</f>
        <v>899.82074430637442</v>
      </c>
      <c r="L20">
        <f>J20*1.2</f>
        <v>1079.7848931676492</v>
      </c>
    </row>
    <row r="21" spans="1:12" x14ac:dyDescent="0.35">
      <c r="A21" s="1" t="s">
        <v>22</v>
      </c>
      <c r="B21">
        <f>(2*B3)/(B20*B14)</f>
        <v>4.1674967194612549</v>
      </c>
      <c r="C21" t="s">
        <v>23</v>
      </c>
      <c r="D21" t="s">
        <v>37</v>
      </c>
    </row>
    <row r="22" spans="1:12" x14ac:dyDescent="0.35">
      <c r="A22" s="1" t="s">
        <v>79</v>
      </c>
      <c r="B22">
        <f>0.00000225</f>
        <v>2.2500000000000001E-6</v>
      </c>
      <c r="C22" t="s">
        <v>80</v>
      </c>
      <c r="D22" t="s">
        <v>81</v>
      </c>
    </row>
    <row r="23" spans="1:12" x14ac:dyDescent="0.35">
      <c r="A23" s="2"/>
    </row>
    <row r="27" spans="1:12" x14ac:dyDescent="0.35">
      <c r="A27" s="3" t="s">
        <v>38</v>
      </c>
      <c r="B27" s="5">
        <v>400</v>
      </c>
      <c r="C27" t="s">
        <v>39</v>
      </c>
      <c r="D27" t="s">
        <v>44</v>
      </c>
      <c r="H27" t="s">
        <v>123</v>
      </c>
    </row>
    <row r="28" spans="1:12" x14ac:dyDescent="0.35">
      <c r="A28" s="3" t="s">
        <v>38</v>
      </c>
      <c r="B28" s="5">
        <f>1/B27/5.067074790975E-10</f>
        <v>4933813.1034749411</v>
      </c>
      <c r="C28" t="s">
        <v>40</v>
      </c>
      <c r="D28" t="s">
        <v>43</v>
      </c>
    </row>
    <row r="29" spans="1:12" x14ac:dyDescent="0.35">
      <c r="A29" s="3" t="s">
        <v>38</v>
      </c>
      <c r="B29" s="5">
        <f>1/B27/0.0005067</f>
        <v>4.9338859285573315</v>
      </c>
      <c r="C29" t="s">
        <v>50</v>
      </c>
      <c r="D29" t="s">
        <v>51</v>
      </c>
    </row>
    <row r="30" spans="1:12" x14ac:dyDescent="0.35">
      <c r="A30" s="3" t="s">
        <v>41</v>
      </c>
      <c r="B30" s="5">
        <v>1.1000000000000001</v>
      </c>
      <c r="C30" t="s">
        <v>23</v>
      </c>
      <c r="D30" t="s">
        <v>45</v>
      </c>
    </row>
    <row r="31" spans="1:12" x14ac:dyDescent="0.35">
      <c r="A31" s="3" t="s">
        <v>42</v>
      </c>
      <c r="B31" s="5">
        <v>7</v>
      </c>
      <c r="C31" t="s">
        <v>23</v>
      </c>
      <c r="D31" t="s">
        <v>46</v>
      </c>
    </row>
    <row r="32" spans="1:12" x14ac:dyDescent="0.35">
      <c r="A32" s="3" t="s">
        <v>54</v>
      </c>
      <c r="B32">
        <f>B30*1.2</f>
        <v>1.32</v>
      </c>
      <c r="C32" t="s">
        <v>23</v>
      </c>
      <c r="D32" t="s">
        <v>56</v>
      </c>
    </row>
    <row r="33" spans="1:5" x14ac:dyDescent="0.35">
      <c r="A33" s="3" t="s">
        <v>55</v>
      </c>
      <c r="B33">
        <f>B31*1.2</f>
        <v>8.4</v>
      </c>
      <c r="C33" t="s">
        <v>23</v>
      </c>
      <c r="D33" t="s">
        <v>57</v>
      </c>
    </row>
    <row r="34" spans="1:5" x14ac:dyDescent="0.35">
      <c r="A34" s="3" t="s">
        <v>121</v>
      </c>
      <c r="B34" s="5">
        <f>B32/B29</f>
        <v>0.26753760000000004</v>
      </c>
      <c r="C34" t="s">
        <v>53</v>
      </c>
    </row>
    <row r="35" spans="1:5" x14ac:dyDescent="0.35">
      <c r="A35" s="3" t="s">
        <v>122</v>
      </c>
      <c r="B35" s="5">
        <f>B33/B29</f>
        <v>1.7025120000000002</v>
      </c>
      <c r="C35" t="s">
        <v>53</v>
      </c>
    </row>
    <row r="36" spans="1:5" x14ac:dyDescent="0.35">
      <c r="A36" s="3" t="s">
        <v>58</v>
      </c>
      <c r="B36">
        <f>(66.1/SQRT(B14))*2</f>
        <v>0.41805310667425966</v>
      </c>
      <c r="C36" t="s">
        <v>52</v>
      </c>
      <c r="E36" t="s">
        <v>59</v>
      </c>
    </row>
    <row r="37" spans="1:5" x14ac:dyDescent="0.35">
      <c r="A37" s="3" t="s">
        <v>120</v>
      </c>
      <c r="B37">
        <v>0.128</v>
      </c>
      <c r="C37" t="s">
        <v>53</v>
      </c>
    </row>
    <row r="38" spans="1:5" x14ac:dyDescent="0.35">
      <c r="A38" s="3" t="s">
        <v>60</v>
      </c>
      <c r="B38">
        <f>ROUNDUP(B34/0.128,0)</f>
        <v>3</v>
      </c>
      <c r="D38" t="s">
        <v>62</v>
      </c>
    </row>
    <row r="39" spans="1:5" x14ac:dyDescent="0.35">
      <c r="A39" s="3" t="s">
        <v>61</v>
      </c>
      <c r="B39">
        <f>ROUNDUP(B35/0.128,0)</f>
        <v>14</v>
      </c>
      <c r="D39" t="s">
        <v>63</v>
      </c>
    </row>
    <row r="42" spans="1:5" x14ac:dyDescent="0.35">
      <c r="A42" s="3" t="s">
        <v>110</v>
      </c>
      <c r="B42">
        <v>12</v>
      </c>
      <c r="C42" t="s">
        <v>5</v>
      </c>
      <c r="D42" t="s">
        <v>111</v>
      </c>
    </row>
    <row r="43" spans="1:5" x14ac:dyDescent="0.35">
      <c r="A43" s="3" t="s">
        <v>112</v>
      </c>
      <c r="B43">
        <f>B13*(B8/B42)</f>
        <v>5.1836640599672421</v>
      </c>
      <c r="C43" t="s">
        <v>5</v>
      </c>
      <c r="D43" t="s">
        <v>113</v>
      </c>
    </row>
    <row r="63" spans="1:2" x14ac:dyDescent="0.35">
      <c r="A63" s="4" t="s">
        <v>48</v>
      </c>
    </row>
    <row r="64" spans="1:2" x14ac:dyDescent="0.35">
      <c r="A64" t="s">
        <v>49</v>
      </c>
      <c r="B64" t="s">
        <v>47</v>
      </c>
    </row>
    <row r="65" spans="1:3" x14ac:dyDescent="0.35">
      <c r="A65" t="s">
        <v>168</v>
      </c>
      <c r="B65" t="s">
        <v>169</v>
      </c>
    </row>
    <row r="68" spans="1:3" x14ac:dyDescent="0.35">
      <c r="A68" t="s">
        <v>64</v>
      </c>
      <c r="B68">
        <v>3</v>
      </c>
      <c r="C68" t="s">
        <v>23</v>
      </c>
    </row>
    <row r="69" spans="1:3" x14ac:dyDescent="0.35">
      <c r="A69" t="s">
        <v>65</v>
      </c>
      <c r="B69">
        <v>1.3</v>
      </c>
      <c r="C6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AE27-5FFD-4997-A833-CF47191DE33E}">
  <dimension ref="A1:E16"/>
  <sheetViews>
    <sheetView topLeftCell="A7" workbookViewId="0">
      <selection activeCell="B10" sqref="B10"/>
    </sheetView>
  </sheetViews>
  <sheetFormatPr defaultRowHeight="14.5" x14ac:dyDescent="0.35"/>
  <cols>
    <col min="1" max="1" width="16.54296875" customWidth="1"/>
    <col min="4" max="4" width="18.81640625" customWidth="1"/>
  </cols>
  <sheetData>
    <row r="1" spans="1:5" x14ac:dyDescent="0.35">
      <c r="A1" t="s">
        <v>176</v>
      </c>
      <c r="B1">
        <v>1.82</v>
      </c>
    </row>
    <row r="2" spans="1:5" x14ac:dyDescent="0.35">
      <c r="A2" t="s">
        <v>177</v>
      </c>
      <c r="B2">
        <v>0.44</v>
      </c>
    </row>
    <row r="3" spans="1:5" x14ac:dyDescent="0.35">
      <c r="A3" t="s">
        <v>179</v>
      </c>
      <c r="B3">
        <v>1.65</v>
      </c>
    </row>
    <row r="5" spans="1:5" x14ac:dyDescent="0.35">
      <c r="A5" t="s">
        <v>171</v>
      </c>
      <c r="B5">
        <v>2.34</v>
      </c>
    </row>
    <row r="7" spans="1:5" x14ac:dyDescent="0.35">
      <c r="A7" t="s">
        <v>172</v>
      </c>
      <c r="B7">
        <v>1.24</v>
      </c>
      <c r="D7" t="s">
        <v>182</v>
      </c>
      <c r="E7" t="s">
        <v>183</v>
      </c>
    </row>
    <row r="8" spans="1:5" x14ac:dyDescent="0.35">
      <c r="A8" t="s">
        <v>173</v>
      </c>
      <c r="B8">
        <v>0.52</v>
      </c>
    </row>
    <row r="10" spans="1:5" x14ac:dyDescent="0.35">
      <c r="A10" t="s">
        <v>174</v>
      </c>
      <c r="B10">
        <v>6.79</v>
      </c>
    </row>
    <row r="11" spans="1:5" x14ac:dyDescent="0.35">
      <c r="A11" t="s">
        <v>175</v>
      </c>
      <c r="B11">
        <v>6.14</v>
      </c>
    </row>
    <row r="13" spans="1:5" x14ac:dyDescent="0.35">
      <c r="A13" t="s">
        <v>178</v>
      </c>
      <c r="B13">
        <v>2.9</v>
      </c>
    </row>
    <row r="15" spans="1:5" x14ac:dyDescent="0.35">
      <c r="A15" t="s">
        <v>180</v>
      </c>
      <c r="B15">
        <v>1.2</v>
      </c>
    </row>
    <row r="16" spans="1:5" x14ac:dyDescent="0.35">
      <c r="A16" t="s">
        <v>181</v>
      </c>
      <c r="B16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BFF4-720D-4EBA-A894-2A25016A9E9F}">
  <dimension ref="A7:AJ74"/>
  <sheetViews>
    <sheetView topLeftCell="C52" zoomScale="85" zoomScaleNormal="85" workbookViewId="0">
      <selection activeCell="N66" sqref="N66"/>
    </sheetView>
  </sheetViews>
  <sheetFormatPr defaultRowHeight="14.5" x14ac:dyDescent="0.35"/>
  <cols>
    <col min="1" max="1" width="36" customWidth="1"/>
    <col min="2" max="2" width="33.36328125" customWidth="1"/>
    <col min="3" max="3" width="15.7265625" customWidth="1"/>
    <col min="4" max="4" width="22.08984375" customWidth="1"/>
    <col min="5" max="5" width="21.6328125" customWidth="1"/>
    <col min="6" max="6" width="17.6328125" customWidth="1"/>
    <col min="7" max="7" width="18.54296875" customWidth="1"/>
    <col min="8" max="8" width="26.36328125" customWidth="1"/>
    <col min="9" max="9" width="24.26953125" customWidth="1"/>
    <col min="10" max="10" width="25.6328125" customWidth="1"/>
    <col min="11" max="11" width="24.08984375" customWidth="1"/>
    <col min="12" max="12" width="26.08984375" customWidth="1"/>
    <col min="13" max="13" width="24" customWidth="1"/>
    <col min="14" max="14" width="26.90625" customWidth="1"/>
    <col min="15" max="15" width="15.1796875" customWidth="1"/>
    <col min="16" max="16" width="17" customWidth="1"/>
    <col min="17" max="17" width="17.6328125" customWidth="1"/>
    <col min="18" max="18" width="12.36328125" customWidth="1"/>
    <col min="19" max="19" width="13.81640625" customWidth="1"/>
    <col min="20" max="20" width="15" customWidth="1"/>
    <col min="21" max="21" width="14.6328125" customWidth="1"/>
    <col min="22" max="22" width="35.26953125" customWidth="1"/>
    <col min="23" max="23" width="28" customWidth="1"/>
    <col min="24" max="24" width="27.54296875" customWidth="1"/>
    <col min="25" max="25" width="24.81640625" customWidth="1"/>
    <col min="26" max="26" width="19.453125" customWidth="1"/>
    <col min="27" max="27" width="20.453125" customWidth="1"/>
    <col min="28" max="28" width="20.6328125" customWidth="1"/>
    <col min="29" max="29" width="18.453125" customWidth="1"/>
    <col min="30" max="30" width="16.1796875" customWidth="1"/>
    <col min="31" max="31" width="14" customWidth="1"/>
    <col min="32" max="32" width="16" customWidth="1"/>
    <col min="33" max="33" width="11.1796875" customWidth="1"/>
  </cols>
  <sheetData>
    <row r="7" spans="1:4" x14ac:dyDescent="0.35">
      <c r="A7" t="s">
        <v>118</v>
      </c>
    </row>
    <row r="8" spans="1:4" x14ac:dyDescent="0.35">
      <c r="A8" s="7" t="s">
        <v>69</v>
      </c>
      <c r="B8" s="8">
        <v>6.0499999999999998E-2</v>
      </c>
      <c r="C8" s="8" t="s">
        <v>70</v>
      </c>
      <c r="D8" s="8" t="s">
        <v>71</v>
      </c>
    </row>
    <row r="9" spans="1:4" x14ac:dyDescent="0.35">
      <c r="A9" s="7" t="s">
        <v>72</v>
      </c>
      <c r="B9" s="8">
        <f>0.00000763</f>
        <v>7.6299999999999998E-6</v>
      </c>
      <c r="C9" s="8" t="s">
        <v>73</v>
      </c>
      <c r="D9" s="8" t="s">
        <v>74</v>
      </c>
    </row>
    <row r="10" spans="1:4" x14ac:dyDescent="0.35">
      <c r="A10" s="7" t="s">
        <v>82</v>
      </c>
      <c r="B10" s="8">
        <f>0.0000916</f>
        <v>9.1600000000000004E-5</v>
      </c>
      <c r="C10" s="8" t="s">
        <v>83</v>
      </c>
      <c r="D10" s="8" t="s">
        <v>84</v>
      </c>
    </row>
    <row r="11" spans="1:4" x14ac:dyDescent="0.35">
      <c r="A11" s="9" t="s">
        <v>66</v>
      </c>
      <c r="B11">
        <v>1.19</v>
      </c>
      <c r="C11" s="10" t="s">
        <v>104</v>
      </c>
      <c r="D11" s="10" t="s">
        <v>105</v>
      </c>
    </row>
    <row r="13" spans="1:4" x14ac:dyDescent="0.35">
      <c r="A13" t="s">
        <v>119</v>
      </c>
    </row>
    <row r="14" spans="1:4" x14ac:dyDescent="0.35">
      <c r="A14" s="7" t="s">
        <v>69</v>
      </c>
      <c r="B14" s="8">
        <f>0.069</f>
        <v>6.9000000000000006E-2</v>
      </c>
      <c r="C14" s="8" t="s">
        <v>70</v>
      </c>
      <c r="D14" s="8" t="s">
        <v>71</v>
      </c>
    </row>
    <row r="15" spans="1:4" x14ac:dyDescent="0.35">
      <c r="A15" s="7" t="s">
        <v>72</v>
      </c>
      <c r="B15" s="8">
        <f>0.0000115</f>
        <v>1.15E-5</v>
      </c>
      <c r="C15" s="8" t="s">
        <v>73</v>
      </c>
      <c r="D15" s="8" t="s">
        <v>74</v>
      </c>
    </row>
    <row r="16" spans="1:4" x14ac:dyDescent="0.35">
      <c r="A16" s="7" t="s">
        <v>82</v>
      </c>
      <c r="B16" s="8">
        <f>0.000125</f>
        <v>1.25E-4</v>
      </c>
      <c r="C16" s="8" t="s">
        <v>83</v>
      </c>
      <c r="D16" s="8" t="s">
        <v>84</v>
      </c>
    </row>
    <row r="17" spans="1:4" x14ac:dyDescent="0.35">
      <c r="A17" s="9" t="s">
        <v>66</v>
      </c>
      <c r="B17">
        <v>2.1800000000000002</v>
      </c>
      <c r="C17" s="10" t="s">
        <v>104</v>
      </c>
      <c r="D17" s="10" t="s">
        <v>105</v>
      </c>
    </row>
    <row r="18" spans="1:4" x14ac:dyDescent="0.35">
      <c r="A18" s="6" t="s">
        <v>124</v>
      </c>
      <c r="B18">
        <f>0.0257*1000</f>
        <v>25.7</v>
      </c>
      <c r="C18" s="13" t="s">
        <v>52</v>
      </c>
      <c r="D18" s="13" t="s">
        <v>125</v>
      </c>
    </row>
    <row r="19" spans="1:4" x14ac:dyDescent="0.35">
      <c r="A19" s="6" t="s">
        <v>127</v>
      </c>
      <c r="B19">
        <f>B18-6.4</f>
        <v>19.299999999999997</v>
      </c>
      <c r="C19" s="13" t="s">
        <v>52</v>
      </c>
      <c r="D19" s="13" t="s">
        <v>126</v>
      </c>
    </row>
    <row r="22" spans="1:4" x14ac:dyDescent="0.35">
      <c r="A22" s="7" t="s">
        <v>67</v>
      </c>
      <c r="B22" s="8">
        <v>0.13300000000000001</v>
      </c>
      <c r="C22" s="8" t="s">
        <v>68</v>
      </c>
      <c r="D22" t="s">
        <v>109</v>
      </c>
    </row>
    <row r="24" spans="1:4" x14ac:dyDescent="0.35">
      <c r="A24" s="6" t="s">
        <v>96</v>
      </c>
      <c r="B24">
        <f>0.0009</f>
        <v>8.9999999999999998E-4</v>
      </c>
      <c r="C24" t="s">
        <v>21</v>
      </c>
      <c r="D24" t="s">
        <v>108</v>
      </c>
    </row>
    <row r="25" spans="1:4" x14ac:dyDescent="0.35">
      <c r="A25" s="6" t="s">
        <v>97</v>
      </c>
      <c r="B25">
        <f>4*PI()*10^-7</f>
        <v>1.2566370614359173E-6</v>
      </c>
      <c r="C25" t="s">
        <v>98</v>
      </c>
      <c r="D25" t="s">
        <v>98</v>
      </c>
    </row>
    <row r="26" spans="1:4" x14ac:dyDescent="0.35">
      <c r="A26" s="6" t="s">
        <v>100</v>
      </c>
      <c r="B26">
        <v>3</v>
      </c>
      <c r="C26" t="s">
        <v>23</v>
      </c>
      <c r="D26" t="s">
        <v>107</v>
      </c>
    </row>
    <row r="29" spans="1:4" x14ac:dyDescent="0.35">
      <c r="A29" s="6" t="s">
        <v>116</v>
      </c>
      <c r="B29">
        <v>0.3</v>
      </c>
      <c r="C29" t="s">
        <v>117</v>
      </c>
    </row>
    <row r="31" spans="1:4" x14ac:dyDescent="0.35">
      <c r="A31" t="s">
        <v>141</v>
      </c>
      <c r="B31">
        <v>0.45900000000000002</v>
      </c>
      <c r="C31" t="s">
        <v>52</v>
      </c>
    </row>
    <row r="35" spans="1:36" x14ac:dyDescent="0.35">
      <c r="A35" s="11" t="s">
        <v>75</v>
      </c>
      <c r="B35" s="11" t="s">
        <v>85</v>
      </c>
      <c r="C35" s="11" t="s">
        <v>76</v>
      </c>
      <c r="D35" s="11" t="s">
        <v>77</v>
      </c>
      <c r="E35" s="11" t="s">
        <v>78</v>
      </c>
      <c r="F35" s="11" t="s">
        <v>86</v>
      </c>
      <c r="G35" s="11" t="s">
        <v>87</v>
      </c>
      <c r="H35" s="11" t="s">
        <v>114</v>
      </c>
      <c r="I35" s="11" t="s">
        <v>88</v>
      </c>
      <c r="J35" s="11" t="s">
        <v>89</v>
      </c>
      <c r="K35" s="11" t="s">
        <v>90</v>
      </c>
      <c r="L35" s="11" t="s">
        <v>91</v>
      </c>
      <c r="M35" s="11" t="s">
        <v>92</v>
      </c>
      <c r="N35" s="11" t="s">
        <v>93</v>
      </c>
      <c r="O35" s="11" t="s">
        <v>94</v>
      </c>
      <c r="P35" s="11" t="s">
        <v>95</v>
      </c>
      <c r="Q35" s="11" t="s">
        <v>99</v>
      </c>
      <c r="R35" s="11" t="s">
        <v>101</v>
      </c>
      <c r="S35" s="11" t="s">
        <v>102</v>
      </c>
      <c r="T35" s="11" t="s">
        <v>103</v>
      </c>
      <c r="U35" s="11" t="s">
        <v>106</v>
      </c>
      <c r="V35" s="9" t="s">
        <v>115</v>
      </c>
    </row>
    <row r="36" spans="1:36" x14ac:dyDescent="0.35">
      <c r="A36" s="8">
        <v>30</v>
      </c>
      <c r="B36" s="8">
        <f>A36/1000</f>
        <v>0.03</v>
      </c>
      <c r="C36" s="8">
        <v>3000</v>
      </c>
      <c r="D36" s="8">
        <f>C36/2</f>
        <v>1500</v>
      </c>
      <c r="E36" s="8">
        <f t="shared" ref="E36:E43" si="0">D36*$B$9</f>
        <v>1.1445E-2</v>
      </c>
      <c r="F36" s="8">
        <f>ROUNDUP(('100kHz'!$B$11*'100kHz'!$B$22)/('core and copper loss - N27'!$B$16*'core and copper loss - N27'!B49),0)</f>
        <v>215</v>
      </c>
      <c r="G36" s="8">
        <f>ROUNDUP(F36/3.26,0)</f>
        <v>66</v>
      </c>
      <c r="H36" s="8">
        <f>ROUNDUP(F36/'100kHz'!$B$43,0)</f>
        <v>42</v>
      </c>
      <c r="I36" s="8">
        <f t="shared" ref="I36:J43" si="1">F36*$B$8</f>
        <v>13.0075</v>
      </c>
      <c r="J36" s="8">
        <f t="shared" si="1"/>
        <v>3.9929999999999999</v>
      </c>
      <c r="K36" s="8">
        <f>'100kHz'!$B$30/'100kHz'!$B$38</f>
        <v>0.3666666666666667</v>
      </c>
      <c r="L36" s="8">
        <f>'100kHz'!$B$31/'100kHz'!$B$39</f>
        <v>0.5</v>
      </c>
      <c r="M36" s="8">
        <f>I36*$B$22*'core and copper loss - N27'!K36*'core and copper loss - N27'!K36*'100kHz'!$B$38</f>
        <v>0.69776565833333348</v>
      </c>
      <c r="N36" s="8">
        <f>J36*$B$22*L36*L36*'100kHz'!$B$39</f>
        <v>1.8587415</v>
      </c>
      <c r="O36" s="8">
        <f>N36+M36</f>
        <v>2.5565071583333334</v>
      </c>
      <c r="P36" s="8">
        <f t="shared" ref="P36:P43" si="2">O36+E36</f>
        <v>2.5679521583333336</v>
      </c>
      <c r="Q36" s="8">
        <f t="shared" ref="Q36:Q43" si="3">($B$25*F36*F36*$B$10)/$B$24</f>
        <v>5.9120724576695281E-3</v>
      </c>
      <c r="R36" s="8">
        <f>Q36*1000</f>
        <v>5.9120724576695283</v>
      </c>
      <c r="S36" s="8">
        <f t="shared" ref="S36:S43" si="4">($B$25*F36*$B$26)/Q36</f>
        <v>0.13709759317558645</v>
      </c>
      <c r="T36" s="8">
        <f t="shared" ref="T36:T43" si="5">(S36+B36*0.5)*1000</f>
        <v>152.09759317558647</v>
      </c>
      <c r="U36" s="8">
        <f t="shared" ref="U36:U43" si="6">(23.5*P36)/SQRT($B$11)</f>
        <v>55.319890273636176</v>
      </c>
      <c r="V36" s="8">
        <f t="shared" ref="V36:V43" si="7">($B$29*Q36)/($B$25*F36)</f>
        <v>6.5646666666666667</v>
      </c>
    </row>
    <row r="37" spans="1:36" x14ac:dyDescent="0.35">
      <c r="A37" s="8">
        <f>A36+10</f>
        <v>40</v>
      </c>
      <c r="B37" s="8">
        <f t="shared" ref="B37:B43" si="8">A37/1000</f>
        <v>0.04</v>
      </c>
      <c r="C37" s="8">
        <v>5000</v>
      </c>
      <c r="D37" s="8">
        <f t="shared" ref="D37:D43" si="9">C37/2</f>
        <v>2500</v>
      </c>
      <c r="E37" s="8">
        <f t="shared" si="0"/>
        <v>1.9074999999999998E-2</v>
      </c>
      <c r="F37" s="8">
        <f>ROUNDUP(('100kHz'!$B$11*'100kHz'!$B$22)/('core and copper loss - N27'!$B$10*'core and copper loss - N27'!B37),0)</f>
        <v>220</v>
      </c>
      <c r="G37" s="8">
        <f t="shared" ref="G37:G43" si="10">ROUNDUP(F37/3.26,0)</f>
        <v>68</v>
      </c>
      <c r="H37" s="8">
        <f>ROUNDUP(F37/'100kHz'!$B$43,0)</f>
        <v>43</v>
      </c>
      <c r="I37" s="8">
        <f t="shared" si="1"/>
        <v>13.309999999999999</v>
      </c>
      <c r="J37" s="8">
        <f t="shared" si="1"/>
        <v>4.1139999999999999</v>
      </c>
      <c r="K37" s="8">
        <f>'100kHz'!$B$30/'100kHz'!$B$38</f>
        <v>0.3666666666666667</v>
      </c>
      <c r="L37" s="8">
        <f>'100kHz'!$B$31/'100kHz'!$B$39</f>
        <v>0.5</v>
      </c>
      <c r="M37" s="8">
        <f>I37*$B$22*'core and copper loss - N27'!K37*'core and copper loss - N27'!K37*'100kHz'!$B$38</f>
        <v>0.71399276666666678</v>
      </c>
      <c r="N37" s="8">
        <f>J37*$B$22*L37*L37*'100kHz'!$B$39</f>
        <v>1.9150670000000001</v>
      </c>
      <c r="O37" s="8">
        <f t="shared" ref="O37:O43" si="11">N37+M37</f>
        <v>2.6290597666666669</v>
      </c>
      <c r="P37" s="8">
        <f t="shared" si="2"/>
        <v>2.6481347666666668</v>
      </c>
      <c r="Q37" s="8">
        <f t="shared" si="3"/>
        <v>6.1902500151693922E-3</v>
      </c>
      <c r="R37" s="8">
        <f t="shared" ref="R37:R43" si="12">Q37*1000</f>
        <v>6.1902500151693927</v>
      </c>
      <c r="S37" s="8">
        <f t="shared" si="4"/>
        <v>0.13398173878523223</v>
      </c>
      <c r="T37" s="8">
        <f t="shared" si="5"/>
        <v>153.98173878523221</v>
      </c>
      <c r="U37" s="8">
        <f t="shared" si="6"/>
        <v>57.047217272489931</v>
      </c>
      <c r="V37" s="8">
        <f t="shared" si="7"/>
        <v>6.7173333333333334</v>
      </c>
    </row>
    <row r="38" spans="1:36" x14ac:dyDescent="0.35">
      <c r="A38" s="8">
        <f>A37+10</f>
        <v>50</v>
      </c>
      <c r="B38" s="8">
        <f>A38/1000</f>
        <v>0.05</v>
      </c>
      <c r="C38" s="8">
        <v>8000</v>
      </c>
      <c r="D38" s="8">
        <f>C38/2</f>
        <v>4000</v>
      </c>
      <c r="E38" s="8">
        <f t="shared" si="0"/>
        <v>3.0519999999999999E-2</v>
      </c>
      <c r="F38" s="8">
        <f>ROUNDUP(('100kHz'!$B$11*'100kHz'!$B$22)/('core and copper loss - N27'!$B$10*'core and copper loss - N27'!B38),0)</f>
        <v>176</v>
      </c>
      <c r="G38" s="8">
        <f>ROUNDUP(F38/3.26,0)</f>
        <v>54</v>
      </c>
      <c r="H38" s="8">
        <f>ROUNDUP(F38/'100kHz'!$B$43,0)</f>
        <v>34</v>
      </c>
      <c r="I38" s="8">
        <f t="shared" si="1"/>
        <v>10.648</v>
      </c>
      <c r="J38" s="8">
        <f t="shared" si="1"/>
        <v>3.2669999999999999</v>
      </c>
      <c r="K38" s="8">
        <f>'100kHz'!$B$30/'100kHz'!$B$38</f>
        <v>0.3666666666666667</v>
      </c>
      <c r="L38" s="8">
        <f>'100kHz'!$B$31/'100kHz'!$B$39</f>
        <v>0.5</v>
      </c>
      <c r="M38" s="8">
        <f>I38*$B$22*'core and copper loss - N27'!K38*'core and copper loss - N27'!K38*'100kHz'!$B$38</f>
        <v>0.57119421333333353</v>
      </c>
      <c r="N38" s="8">
        <f>J38*$B$22*L38*L38*'100kHz'!$B$39</f>
        <v>1.5207885000000001</v>
      </c>
      <c r="O38" s="8">
        <f>N38+M38</f>
        <v>2.0919827133333335</v>
      </c>
      <c r="P38" s="8">
        <f t="shared" si="2"/>
        <v>2.1225027133333336</v>
      </c>
      <c r="Q38" s="8">
        <f t="shared" si="3"/>
        <v>3.9617600097084111E-3</v>
      </c>
      <c r="R38" s="8">
        <f>Q38*1000</f>
        <v>3.9617600097084109</v>
      </c>
      <c r="S38" s="8">
        <f t="shared" si="4"/>
        <v>0.16747717348154029</v>
      </c>
      <c r="T38" s="8">
        <f t="shared" si="5"/>
        <v>192.47717348154029</v>
      </c>
      <c r="U38" s="8">
        <f t="shared" si="6"/>
        <v>45.723833610397733</v>
      </c>
      <c r="V38" s="8">
        <f t="shared" si="7"/>
        <v>5.3738666666666663</v>
      </c>
    </row>
    <row r="39" spans="1:36" x14ac:dyDescent="0.35">
      <c r="A39" s="8">
        <f>A38+10</f>
        <v>60</v>
      </c>
      <c r="B39" s="8">
        <f t="shared" si="8"/>
        <v>0.06</v>
      </c>
      <c r="C39" s="8">
        <v>12000</v>
      </c>
      <c r="D39" s="8">
        <f t="shared" si="9"/>
        <v>6000</v>
      </c>
      <c r="E39" s="8">
        <f t="shared" si="0"/>
        <v>4.5780000000000001E-2</v>
      </c>
      <c r="F39" s="8">
        <f>ROUNDUP(('100kHz'!$B$11*'100kHz'!$B$22)/('core and copper loss - N27'!$B$10*'core and copper loss - N27'!B39),0)</f>
        <v>147</v>
      </c>
      <c r="G39" s="8">
        <f t="shared" si="10"/>
        <v>46</v>
      </c>
      <c r="H39" s="8">
        <f>ROUNDUP(F39/'100kHz'!$B$43,0)</f>
        <v>29</v>
      </c>
      <c r="I39" s="8">
        <f t="shared" si="1"/>
        <v>8.8934999999999995</v>
      </c>
      <c r="J39" s="8">
        <f t="shared" si="1"/>
        <v>2.7829999999999999</v>
      </c>
      <c r="K39" s="8">
        <f>'100kHz'!$B$30/'100kHz'!$B$38</f>
        <v>0.3666666666666667</v>
      </c>
      <c r="L39" s="8">
        <f>'100kHz'!$B$31/'100kHz'!$B$39</f>
        <v>0.5</v>
      </c>
      <c r="M39" s="8">
        <f>I39*$B$22*'core and copper loss - N27'!K39*'core and copper loss - N27'!K39*'100kHz'!$B$38</f>
        <v>0.47707698500000006</v>
      </c>
      <c r="N39" s="8">
        <f>J39*$B$22*L39*L39*'100kHz'!$B$39</f>
        <v>1.2954865</v>
      </c>
      <c r="O39" s="8">
        <f t="shared" si="11"/>
        <v>1.772563485</v>
      </c>
      <c r="P39" s="8">
        <f t="shared" si="2"/>
        <v>1.818343485</v>
      </c>
      <c r="Q39" s="8">
        <f t="shared" si="3"/>
        <v>2.7637419954089962E-3</v>
      </c>
      <c r="R39" s="8">
        <f t="shared" si="12"/>
        <v>2.7637419954089961</v>
      </c>
      <c r="S39" s="8">
        <f t="shared" si="4"/>
        <v>0.20051688797789857</v>
      </c>
      <c r="T39" s="8">
        <f t="shared" si="5"/>
        <v>230.51688797789856</v>
      </c>
      <c r="U39" s="8">
        <f t="shared" si="6"/>
        <v>39.171509384842686</v>
      </c>
      <c r="V39" s="8">
        <f t="shared" si="7"/>
        <v>4.4884000000000004</v>
      </c>
    </row>
    <row r="40" spans="1:36" x14ac:dyDescent="0.35">
      <c r="A40" s="8">
        <f t="shared" ref="A40:A42" si="13">A39+10</f>
        <v>70</v>
      </c>
      <c r="B40" s="8">
        <f t="shared" si="8"/>
        <v>7.0000000000000007E-2</v>
      </c>
      <c r="C40" s="8">
        <v>16000</v>
      </c>
      <c r="D40" s="8">
        <f t="shared" si="9"/>
        <v>8000</v>
      </c>
      <c r="E40" s="8">
        <f t="shared" si="0"/>
        <v>6.1039999999999997E-2</v>
      </c>
      <c r="F40" s="8">
        <f>ROUNDUP(('100kHz'!$B$11*'100kHz'!$B$22)/('core and copper loss - N27'!$B$10*'core and copper loss - N27'!B40),0)</f>
        <v>126</v>
      </c>
      <c r="G40" s="8">
        <f t="shared" si="10"/>
        <v>39</v>
      </c>
      <c r="H40" s="8">
        <f>ROUNDUP(F40/'100kHz'!$B$43,0)</f>
        <v>25</v>
      </c>
      <c r="I40" s="8">
        <f t="shared" si="1"/>
        <v>7.6229999999999993</v>
      </c>
      <c r="J40" s="8">
        <f t="shared" si="1"/>
        <v>2.3594999999999997</v>
      </c>
      <c r="K40" s="8">
        <f>'100kHz'!$B$30/'100kHz'!$B$38</f>
        <v>0.3666666666666667</v>
      </c>
      <c r="L40" s="8">
        <f>'100kHz'!$B$31/'100kHz'!$B$39</f>
        <v>0.5</v>
      </c>
      <c r="M40" s="8">
        <f>I40*$B$22*'core and copper loss - N27'!K40*'core and copper loss - N27'!K40*'100kHz'!$B$38</f>
        <v>0.40892313000000008</v>
      </c>
      <c r="N40" s="8">
        <f>J40*$B$22*L40*L40*'100kHz'!$B$39</f>
        <v>1.0983472499999998</v>
      </c>
      <c r="O40" s="8">
        <f t="shared" si="11"/>
        <v>1.5072703799999998</v>
      </c>
      <c r="P40" s="8">
        <f t="shared" si="2"/>
        <v>1.5683103799999998</v>
      </c>
      <c r="Q40" s="8">
        <f t="shared" si="3"/>
        <v>2.0305043231576298E-3</v>
      </c>
      <c r="R40" s="8">
        <f t="shared" si="12"/>
        <v>2.0305043231576296</v>
      </c>
      <c r="S40" s="8">
        <f t="shared" si="4"/>
        <v>0.23393636930754833</v>
      </c>
      <c r="T40" s="8">
        <f t="shared" si="5"/>
        <v>268.93636930754832</v>
      </c>
      <c r="U40" s="8">
        <f t="shared" si="6"/>
        <v>33.785192553163952</v>
      </c>
      <c r="V40" s="8">
        <f t="shared" si="7"/>
        <v>3.8472000000000004</v>
      </c>
    </row>
    <row r="41" spans="1:36" x14ac:dyDescent="0.35">
      <c r="A41" s="12">
        <f>A40+10</f>
        <v>80</v>
      </c>
      <c r="B41" s="12">
        <f t="shared" si="8"/>
        <v>0.08</v>
      </c>
      <c r="C41" s="12">
        <v>20000</v>
      </c>
      <c r="D41" s="12">
        <f t="shared" si="9"/>
        <v>10000</v>
      </c>
      <c r="E41" s="12">
        <f t="shared" si="0"/>
        <v>7.6299999999999993E-2</v>
      </c>
      <c r="F41" s="12">
        <f>ROUNDUP(('100kHz'!$B$11*'100kHz'!$B$22)/('core and copper loss - N27'!$B$10*'core and copper loss - N27'!B41),0)</f>
        <v>110</v>
      </c>
      <c r="G41" s="12">
        <f t="shared" si="10"/>
        <v>34</v>
      </c>
      <c r="H41" s="12">
        <f>ROUNDUP(F41/'100kHz'!$B$43,0)</f>
        <v>22</v>
      </c>
      <c r="I41" s="12">
        <f t="shared" si="1"/>
        <v>6.6549999999999994</v>
      </c>
      <c r="J41" s="12">
        <f t="shared" si="1"/>
        <v>2.0569999999999999</v>
      </c>
      <c r="K41" s="12">
        <f>'100kHz'!$B$30/'100kHz'!$B$38</f>
        <v>0.3666666666666667</v>
      </c>
      <c r="L41" s="12">
        <f>'100kHz'!$B$31/'100kHz'!$B$39</f>
        <v>0.5</v>
      </c>
      <c r="M41" s="12">
        <f>I41*$B$22*'core and copper loss - N27'!K41*'core and copper loss - N27'!K41*'100kHz'!$B$38</f>
        <v>0.35699638333333339</v>
      </c>
      <c r="N41" s="12">
        <f>J41*$B$22*L41*L41*'100kHz'!$B$39</f>
        <v>0.95753350000000004</v>
      </c>
      <c r="O41" s="12">
        <f t="shared" si="11"/>
        <v>1.3145298833333334</v>
      </c>
      <c r="P41" s="12">
        <f t="shared" si="2"/>
        <v>1.3908298833333335</v>
      </c>
      <c r="Q41" s="12">
        <f t="shared" si="3"/>
        <v>1.5475625037923481E-3</v>
      </c>
      <c r="R41" s="12">
        <f t="shared" si="12"/>
        <v>1.5475625037923482</v>
      </c>
      <c r="S41" s="12">
        <f t="shared" si="4"/>
        <v>0.26796347757046446</v>
      </c>
      <c r="T41" s="12">
        <f t="shared" si="5"/>
        <v>307.96347757046442</v>
      </c>
      <c r="U41" s="12">
        <f t="shared" si="6"/>
        <v>29.961834096329348</v>
      </c>
      <c r="V41" s="12">
        <f t="shared" si="7"/>
        <v>3.3586666666666667</v>
      </c>
    </row>
    <row r="42" spans="1:36" x14ac:dyDescent="0.35">
      <c r="A42" s="8">
        <f t="shared" si="13"/>
        <v>90</v>
      </c>
      <c r="B42" s="8">
        <f t="shared" si="8"/>
        <v>0.09</v>
      </c>
      <c r="C42" s="8">
        <v>28000</v>
      </c>
      <c r="D42" s="8">
        <f t="shared" si="9"/>
        <v>14000</v>
      </c>
      <c r="E42" s="8">
        <f t="shared" si="0"/>
        <v>0.10682</v>
      </c>
      <c r="F42" s="8">
        <f>ROUNDUP(('100kHz'!$B$11*'100kHz'!$B$22)/('core and copper loss - N27'!$B$10*'core and copper loss - N27'!B42),0)</f>
        <v>98</v>
      </c>
      <c r="G42" s="8">
        <f t="shared" si="10"/>
        <v>31</v>
      </c>
      <c r="H42" s="8">
        <f>ROUNDUP(F42/'100kHz'!$B$43,0)</f>
        <v>19</v>
      </c>
      <c r="I42" s="8">
        <f t="shared" si="1"/>
        <v>5.9290000000000003</v>
      </c>
      <c r="J42" s="8">
        <f t="shared" si="1"/>
        <v>1.8754999999999999</v>
      </c>
      <c r="K42" s="8">
        <f>'100kHz'!$B$30/'100kHz'!$B$38</f>
        <v>0.3666666666666667</v>
      </c>
      <c r="L42" s="8">
        <f>'100kHz'!$B$31/'100kHz'!$B$39</f>
        <v>0.5</v>
      </c>
      <c r="M42" s="8">
        <f>I42*$B$22*'core and copper loss - N27'!K42*'core and copper loss - N27'!K42*'100kHz'!$B$38</f>
        <v>0.31805132333333341</v>
      </c>
      <c r="N42" s="8">
        <f>J42*$B$22*L42*L42*'100kHz'!$B$39</f>
        <v>0.87304524999999999</v>
      </c>
      <c r="O42" s="8">
        <f t="shared" si="11"/>
        <v>1.1910965733333334</v>
      </c>
      <c r="P42" s="8">
        <f t="shared" si="2"/>
        <v>1.2979165733333333</v>
      </c>
      <c r="Q42" s="8">
        <f t="shared" si="3"/>
        <v>1.2283297757373316E-3</v>
      </c>
      <c r="R42" s="8">
        <f t="shared" si="12"/>
        <v>1.2283297757373315</v>
      </c>
      <c r="S42" s="8">
        <f t="shared" si="4"/>
        <v>0.3007753319668478</v>
      </c>
      <c r="T42" s="8">
        <f t="shared" si="5"/>
        <v>345.77533196684777</v>
      </c>
      <c r="U42" s="8">
        <f t="shared" si="6"/>
        <v>27.960257043002809</v>
      </c>
      <c r="V42" s="8">
        <f t="shared" si="7"/>
        <v>2.9922666666666671</v>
      </c>
    </row>
    <row r="43" spans="1:36" x14ac:dyDescent="0.35">
      <c r="A43" s="8">
        <v>100</v>
      </c>
      <c r="B43" s="8">
        <f t="shared" si="8"/>
        <v>0.1</v>
      </c>
      <c r="C43" s="8">
        <v>350000</v>
      </c>
      <c r="D43" s="8">
        <f t="shared" si="9"/>
        <v>175000</v>
      </c>
      <c r="E43" s="8">
        <f t="shared" si="0"/>
        <v>1.33525</v>
      </c>
      <c r="F43" s="8">
        <f>ROUNDUP(('100kHz'!$B$11*'100kHz'!$B$22)/('core and copper loss - N27'!$B$10*'core and copper loss - N27'!B43),0)</f>
        <v>88</v>
      </c>
      <c r="G43" s="8">
        <f t="shared" si="10"/>
        <v>27</v>
      </c>
      <c r="H43" s="8">
        <f>ROUNDUP(F43/'100kHz'!$B$43,0)</f>
        <v>17</v>
      </c>
      <c r="I43" s="8">
        <f t="shared" si="1"/>
        <v>5.3239999999999998</v>
      </c>
      <c r="J43" s="8">
        <f t="shared" si="1"/>
        <v>1.6335</v>
      </c>
      <c r="K43" s="8">
        <f>'100kHz'!$B$30/'100kHz'!$B$38</f>
        <v>0.3666666666666667</v>
      </c>
      <c r="L43" s="8">
        <f>'100kHz'!$B$31/'100kHz'!$B$39</f>
        <v>0.5</v>
      </c>
      <c r="M43" s="8">
        <f>I43*$B$22*'core and copper loss - N27'!K43*'core and copper loss - N27'!K43*'100kHz'!$B$38</f>
        <v>0.28559710666666677</v>
      </c>
      <c r="N43" s="8">
        <f>J43*$B$22*L43*L43*'100kHz'!$B$39</f>
        <v>0.76039425000000005</v>
      </c>
      <c r="O43" s="8">
        <f t="shared" si="11"/>
        <v>1.0459913566666668</v>
      </c>
      <c r="P43" s="8">
        <f t="shared" si="2"/>
        <v>2.381241356666667</v>
      </c>
      <c r="Q43" s="8">
        <f t="shared" si="3"/>
        <v>9.9044000242710277E-4</v>
      </c>
      <c r="R43" s="8">
        <f t="shared" si="12"/>
        <v>0.99044000242710273</v>
      </c>
      <c r="S43" s="8">
        <f t="shared" si="4"/>
        <v>0.33495434696308057</v>
      </c>
      <c r="T43" s="8">
        <f t="shared" si="5"/>
        <v>384.95434696308058</v>
      </c>
      <c r="U43" s="8">
        <f t="shared" si="6"/>
        <v>51.297688758867181</v>
      </c>
      <c r="V43" s="8">
        <f t="shared" si="7"/>
        <v>2.6869333333333332</v>
      </c>
    </row>
    <row r="44" spans="1:36" x14ac:dyDescent="0.35">
      <c r="AJ44" s="9"/>
    </row>
    <row r="47" spans="1:36" x14ac:dyDescent="0.35">
      <c r="A47" s="8" t="s">
        <v>119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36" x14ac:dyDescent="0.35">
      <c r="A48" s="7" t="s">
        <v>75</v>
      </c>
      <c r="B48" s="7" t="s">
        <v>85</v>
      </c>
      <c r="C48" s="7" t="s">
        <v>76</v>
      </c>
      <c r="D48" s="7" t="s">
        <v>77</v>
      </c>
      <c r="E48" s="7" t="s">
        <v>78</v>
      </c>
      <c r="F48" s="7" t="s">
        <v>86</v>
      </c>
      <c r="G48" s="7" t="s">
        <v>87</v>
      </c>
      <c r="H48" s="7" t="s">
        <v>114</v>
      </c>
      <c r="I48" s="7" t="s">
        <v>88</v>
      </c>
      <c r="J48" s="7" t="s">
        <v>89</v>
      </c>
      <c r="K48" s="7" t="s">
        <v>90</v>
      </c>
      <c r="L48" s="7" t="s">
        <v>91</v>
      </c>
      <c r="M48" s="7" t="s">
        <v>92</v>
      </c>
      <c r="N48" s="7" t="s">
        <v>93</v>
      </c>
      <c r="O48" s="7" t="s">
        <v>94</v>
      </c>
      <c r="P48" s="7" t="s">
        <v>95</v>
      </c>
      <c r="Q48" s="7" t="s">
        <v>99</v>
      </c>
      <c r="R48" s="7" t="s">
        <v>101</v>
      </c>
      <c r="S48" s="7" t="s">
        <v>102</v>
      </c>
      <c r="T48" s="7" t="s">
        <v>103</v>
      </c>
      <c r="U48" s="7" t="s">
        <v>106</v>
      </c>
      <c r="V48" s="7" t="s">
        <v>115</v>
      </c>
      <c r="W48" s="9" t="s">
        <v>128</v>
      </c>
      <c r="X48" s="9" t="s">
        <v>129</v>
      </c>
      <c r="Y48" s="9" t="s">
        <v>130</v>
      </c>
      <c r="Z48" s="9" t="s">
        <v>131</v>
      </c>
      <c r="AA48" s="9" t="s">
        <v>132</v>
      </c>
      <c r="AB48" s="9" t="s">
        <v>133</v>
      </c>
      <c r="AC48" s="9" t="s">
        <v>134</v>
      </c>
      <c r="AD48" s="9" t="s">
        <v>135</v>
      </c>
      <c r="AE48" s="9" t="s">
        <v>136</v>
      </c>
      <c r="AF48" s="9" t="s">
        <v>137</v>
      </c>
      <c r="AG48" s="9" t="s">
        <v>138</v>
      </c>
      <c r="AH48" s="9" t="s">
        <v>139</v>
      </c>
      <c r="AI48" s="9" t="s">
        <v>140</v>
      </c>
    </row>
    <row r="49" spans="1:35" x14ac:dyDescent="0.35">
      <c r="A49" s="8">
        <v>30</v>
      </c>
      <c r="B49" s="8">
        <f>A49/1000</f>
        <v>0.03</v>
      </c>
      <c r="C49" s="8">
        <v>3000</v>
      </c>
      <c r="D49" s="8">
        <f>C49/2</f>
        <v>1500</v>
      </c>
      <c r="E49" s="8">
        <f>D49*$B$15</f>
        <v>1.7250000000000001E-2</v>
      </c>
      <c r="F49" s="8">
        <f>ROUNDUP(('100kHz'!$B$11*'100kHz'!$B$22)/('core and copper loss - N27'!$B$16*'core and copper loss - N27'!B49),0)</f>
        <v>215</v>
      </c>
      <c r="G49" s="8">
        <f>ROUNDUP(F49/3.26,0)</f>
        <v>66</v>
      </c>
      <c r="H49" s="8">
        <f>ROUNDUP(F49/'100kHz'!$B$43,0)</f>
        <v>42</v>
      </c>
      <c r="I49" s="8">
        <f t="shared" ref="I49:J56" si="14">F49*$B$8</f>
        <v>13.0075</v>
      </c>
      <c r="J49" s="8">
        <f t="shared" si="14"/>
        <v>3.9929999999999999</v>
      </c>
      <c r="K49" s="8">
        <f>'100kHz'!$B$30/'100kHz'!$B$38</f>
        <v>0.3666666666666667</v>
      </c>
      <c r="L49" s="8">
        <f>'100kHz'!$B$31/'100kHz'!$B$39</f>
        <v>0.5</v>
      </c>
      <c r="M49" s="8">
        <f>I49*$B$22*'core and copper loss - N27'!K49*'core and copper loss - N27'!K49*'100kHz'!$B$38</f>
        <v>0.69776565833333348</v>
      </c>
      <c r="N49" s="8">
        <f>J49*$B$22*L49*L49*'100kHz'!$B$39</f>
        <v>1.8587415</v>
      </c>
      <c r="O49" s="8">
        <f>N49+M49</f>
        <v>2.5565071583333334</v>
      </c>
      <c r="P49" s="8">
        <f t="shared" ref="P49:P56" si="15">O49+E49</f>
        <v>2.5737571583333336</v>
      </c>
      <c r="Q49" s="8">
        <f t="shared" ref="Q49:Q56" si="16">($B$25*F49*F49*$B$16)/$B$24</f>
        <v>8.0677844673437884E-3</v>
      </c>
      <c r="R49" s="8">
        <f>Q49*1000</f>
        <v>8.0677844673437882</v>
      </c>
      <c r="S49" s="8">
        <f t="shared" ref="S49:S56" si="17">($B$25*F49*$B$26)/Q49</f>
        <v>0.10046511627906976</v>
      </c>
      <c r="T49" s="8">
        <f t="shared" ref="T49:T56" si="18">(S49+B49*0.5)*1000</f>
        <v>115.46511627906976</v>
      </c>
      <c r="U49" s="8">
        <f>(23.5*P49)/SQRT($B$17)</f>
        <v>40.964455160817366</v>
      </c>
      <c r="V49" s="8">
        <f>($B$29*Q49)/($B$25*F49)</f>
        <v>8.9583333333333339</v>
      </c>
      <c r="W49">
        <f>3*0.459</f>
        <v>1.377</v>
      </c>
      <c r="X49">
        <f>14*0.459</f>
        <v>6.4260000000000002</v>
      </c>
      <c r="Y49">
        <v>0.45900000000000002</v>
      </c>
      <c r="Z49">
        <f>ROUNDDOWN($B$19/W49,0)</f>
        <v>14</v>
      </c>
      <c r="AA49">
        <f>ROUNDDOWN($B$19/X49,0)</f>
        <v>3</v>
      </c>
      <c r="AB49">
        <f>ROUNDDOWN($B$19/Y49,0)</f>
        <v>42</v>
      </c>
      <c r="AC49">
        <f>ROUNDUP(F49/Z49,0)</f>
        <v>16</v>
      </c>
      <c r="AD49">
        <f>ROUNDUP(G49/AA49,0)</f>
        <v>22</v>
      </c>
      <c r="AE49">
        <f>ROUNDUP(H49/AB49,0)</f>
        <v>1</v>
      </c>
      <c r="AF49">
        <f>AC49*0.459</f>
        <v>7.3440000000000003</v>
      </c>
      <c r="AG49">
        <f>AD49*0.459</f>
        <v>10.098000000000001</v>
      </c>
      <c r="AI49">
        <f>SUM(AF49:AH49)</f>
        <v>17.442</v>
      </c>
    </row>
    <row r="50" spans="1:35" x14ac:dyDescent="0.35">
      <c r="A50" s="8">
        <f>A49+10</f>
        <v>40</v>
      </c>
      <c r="B50" s="8">
        <f t="shared" ref="B50" si="19">A50/1000</f>
        <v>0.04</v>
      </c>
      <c r="C50" s="8">
        <v>5000</v>
      </c>
      <c r="D50" s="8">
        <f t="shared" ref="D50" si="20">C50/2</f>
        <v>2500</v>
      </c>
      <c r="E50" s="8">
        <f t="shared" ref="E50:E56" si="21">D50*$B$15</f>
        <v>2.8750000000000001E-2</v>
      </c>
      <c r="F50" s="8">
        <f>ROUNDUP(('100kHz'!$B$11*'100kHz'!$B$22)/('core and copper loss - N27'!$B$16*'core and copper loss - N27'!B50),0)</f>
        <v>162</v>
      </c>
      <c r="G50" s="8">
        <f t="shared" ref="G50" si="22">ROUNDUP(F50/3.26,0)</f>
        <v>50</v>
      </c>
      <c r="H50" s="8">
        <f>ROUNDUP(F50/'100kHz'!$B$43,0)</f>
        <v>32</v>
      </c>
      <c r="I50" s="8">
        <f t="shared" si="14"/>
        <v>9.8010000000000002</v>
      </c>
      <c r="J50" s="8">
        <f t="shared" si="14"/>
        <v>3.0249999999999999</v>
      </c>
      <c r="K50" s="8">
        <f>'100kHz'!$B$30/'100kHz'!$B$38</f>
        <v>0.3666666666666667</v>
      </c>
      <c r="L50" s="8">
        <f>'100kHz'!$B$31/'100kHz'!$B$39</f>
        <v>0.5</v>
      </c>
      <c r="M50" s="8">
        <f>I50*$B$22*'core and copper loss - N27'!K50*'core and copper loss - N27'!K50*'100kHz'!$B$38</f>
        <v>0.52575831000000006</v>
      </c>
      <c r="N50" s="8">
        <f>J50*$B$22*L50*L50*'100kHz'!$B$39</f>
        <v>1.4081375</v>
      </c>
      <c r="O50" s="8">
        <f t="shared" ref="O50" si="23">N50+M50</f>
        <v>1.9338958100000001</v>
      </c>
      <c r="P50" s="8">
        <f t="shared" si="15"/>
        <v>1.9626458100000002</v>
      </c>
      <c r="Q50" s="8">
        <f t="shared" si="16"/>
        <v>4.5804420889339189E-3</v>
      </c>
      <c r="R50" s="8">
        <f t="shared" ref="R50" si="24">Q50*1000</f>
        <v>4.5804420889339186</v>
      </c>
      <c r="S50" s="8">
        <f t="shared" si="17"/>
        <v>0.13333333333333333</v>
      </c>
      <c r="T50" s="8">
        <f t="shared" si="18"/>
        <v>153.33333333333331</v>
      </c>
      <c r="U50" s="8">
        <f t="shared" ref="U50:U56" si="25">(23.5*P50)/SQRT($B$17)</f>
        <v>31.237879618904763</v>
      </c>
      <c r="V50" s="8">
        <f t="shared" ref="V50:V56" si="26">($B$29*Q50)/($B$25*F50)</f>
        <v>6.75</v>
      </c>
      <c r="W50">
        <f t="shared" ref="W50:W56" si="27">3*0.459</f>
        <v>1.377</v>
      </c>
      <c r="X50">
        <f t="shared" ref="X50:X56" si="28">14*0.459</f>
        <v>6.4260000000000002</v>
      </c>
      <c r="Y50">
        <v>0.45900000000000002</v>
      </c>
      <c r="Z50">
        <f t="shared" ref="Z50:Z56" si="29">ROUNDDOWN($B$19/W50,0)</f>
        <v>14</v>
      </c>
      <c r="AA50">
        <f t="shared" ref="AA50:AA56" si="30">ROUNDDOWN($B$19/X50,0)</f>
        <v>3</v>
      </c>
      <c r="AB50">
        <f t="shared" ref="AB50:AB56" si="31">ROUNDDOWN($B$19/Y50,0)</f>
        <v>42</v>
      </c>
      <c r="AC50">
        <f t="shared" ref="AC50:AC56" si="32">ROUNDUP(F50/Z50,0)</f>
        <v>12</v>
      </c>
      <c r="AD50">
        <f t="shared" ref="AD50:AD56" si="33">ROUNDUP(G50/AA50,0)</f>
        <v>17</v>
      </c>
      <c r="AE50">
        <f t="shared" ref="AE50:AE56" si="34">ROUNDUP(H50/AB50,0)</f>
        <v>1</v>
      </c>
      <c r="AF50">
        <f t="shared" ref="AF50:AF56" si="35">AC50*0.459</f>
        <v>5.508</v>
      </c>
      <c r="AG50">
        <f t="shared" ref="AG50:AG56" si="36">AD50*0.459</f>
        <v>7.8029999999999999</v>
      </c>
      <c r="AI50">
        <f t="shared" ref="AI50:AI56" si="37">SUM(AF50:AH50)</f>
        <v>13.311</v>
      </c>
    </row>
    <row r="51" spans="1:35" x14ac:dyDescent="0.35">
      <c r="A51" s="8">
        <f>A50+10</f>
        <v>50</v>
      </c>
      <c r="B51" s="8">
        <f>A51/1000</f>
        <v>0.05</v>
      </c>
      <c r="C51" s="8">
        <v>8000</v>
      </c>
      <c r="D51" s="8">
        <f>C51/2</f>
        <v>4000</v>
      </c>
      <c r="E51" s="8">
        <f t="shared" si="21"/>
        <v>4.5999999999999999E-2</v>
      </c>
      <c r="F51" s="8">
        <f>ROUNDUP(('100kHz'!$B$11*'100kHz'!$B$22)/('core and copper loss - N27'!$B$16*'core and copper loss - N27'!B51),0)</f>
        <v>129</v>
      </c>
      <c r="G51" s="8">
        <f>ROUNDUP(F51/3.26,0)</f>
        <v>40</v>
      </c>
      <c r="H51" s="8">
        <f>ROUNDUP(F51/'100kHz'!$B$43,0)</f>
        <v>25</v>
      </c>
      <c r="I51" s="8">
        <f t="shared" si="14"/>
        <v>7.8045</v>
      </c>
      <c r="J51" s="8">
        <f t="shared" si="14"/>
        <v>2.42</v>
      </c>
      <c r="K51" s="8">
        <f>'100kHz'!$B$30/'100kHz'!$B$38</f>
        <v>0.3666666666666667</v>
      </c>
      <c r="L51" s="8">
        <f>'100kHz'!$B$31/'100kHz'!$B$39</f>
        <v>0.5</v>
      </c>
      <c r="M51" s="8">
        <f>I51*$B$22*'core and copper loss - N27'!K51*'core and copper loss - N27'!K51*'100kHz'!$B$38</f>
        <v>0.41865939500000005</v>
      </c>
      <c r="N51" s="8">
        <f>J51*$B$22*L51*L51*'100kHz'!$B$39</f>
        <v>1.1265100000000001</v>
      </c>
      <c r="O51" s="8">
        <f>N51+M51</f>
        <v>1.5451693950000003</v>
      </c>
      <c r="P51" s="8">
        <f t="shared" si="15"/>
        <v>1.5911693950000003</v>
      </c>
      <c r="Q51" s="8">
        <f t="shared" si="16"/>
        <v>2.9044024082437643E-3</v>
      </c>
      <c r="R51" s="8">
        <f>Q51*1000</f>
        <v>2.9044024082437643</v>
      </c>
      <c r="S51" s="8">
        <f t="shared" si="17"/>
        <v>0.16744186046511628</v>
      </c>
      <c r="T51" s="8">
        <f t="shared" si="18"/>
        <v>192.44186046511626</v>
      </c>
      <c r="U51" s="8">
        <f t="shared" si="25"/>
        <v>25.325383602605065</v>
      </c>
      <c r="V51" s="8">
        <f t="shared" si="26"/>
        <v>5.375</v>
      </c>
      <c r="W51">
        <f t="shared" si="27"/>
        <v>1.377</v>
      </c>
      <c r="X51">
        <f t="shared" si="28"/>
        <v>6.4260000000000002</v>
      </c>
      <c r="Y51">
        <v>0.45900000000000002</v>
      </c>
      <c r="Z51">
        <f t="shared" si="29"/>
        <v>14</v>
      </c>
      <c r="AA51">
        <f t="shared" si="30"/>
        <v>3</v>
      </c>
      <c r="AB51">
        <f t="shared" si="31"/>
        <v>42</v>
      </c>
      <c r="AC51">
        <f t="shared" si="32"/>
        <v>10</v>
      </c>
      <c r="AD51">
        <f t="shared" si="33"/>
        <v>14</v>
      </c>
      <c r="AE51">
        <f t="shared" si="34"/>
        <v>1</v>
      </c>
      <c r="AF51">
        <f t="shared" si="35"/>
        <v>4.59</v>
      </c>
      <c r="AG51">
        <f t="shared" si="36"/>
        <v>6.4260000000000002</v>
      </c>
      <c r="AI51">
        <f t="shared" si="37"/>
        <v>11.016</v>
      </c>
    </row>
    <row r="52" spans="1:35" x14ac:dyDescent="0.35">
      <c r="A52" s="8">
        <f>A51+10</f>
        <v>60</v>
      </c>
      <c r="B52" s="8">
        <f t="shared" ref="B52:B56" si="38">A52/1000</f>
        <v>0.06</v>
      </c>
      <c r="C52" s="8">
        <v>12000</v>
      </c>
      <c r="D52" s="8">
        <f t="shared" ref="D52:D56" si="39">C52/2</f>
        <v>6000</v>
      </c>
      <c r="E52" s="8">
        <f t="shared" si="21"/>
        <v>6.9000000000000006E-2</v>
      </c>
      <c r="F52" s="8">
        <f>ROUNDUP(('100kHz'!$B$11*'100kHz'!$B$22)/('core and copper loss - N27'!$B$16*'core and copper loss - N27'!B52),0)</f>
        <v>108</v>
      </c>
      <c r="G52" s="8">
        <f t="shared" ref="G52:G56" si="40">ROUNDUP(F52/3.26,0)</f>
        <v>34</v>
      </c>
      <c r="H52" s="8">
        <f>ROUNDUP(F52/'100kHz'!$B$43,0)</f>
        <v>21</v>
      </c>
      <c r="I52" s="8">
        <f t="shared" si="14"/>
        <v>6.5339999999999998</v>
      </c>
      <c r="J52" s="8">
        <f t="shared" si="14"/>
        <v>2.0569999999999999</v>
      </c>
      <c r="K52" s="8">
        <f>'100kHz'!$B$30/'100kHz'!$B$38</f>
        <v>0.3666666666666667</v>
      </c>
      <c r="L52" s="8">
        <f>'100kHz'!$B$31/'100kHz'!$B$39</f>
        <v>0.5</v>
      </c>
      <c r="M52" s="8">
        <f>I52*$B$22*'core and copper loss - N27'!K52*'core and copper loss - N27'!K52*'100kHz'!$B$38</f>
        <v>0.35050554000000012</v>
      </c>
      <c r="N52" s="8">
        <f>J52*$B$22*L52*L52*'100kHz'!$B$39</f>
        <v>0.95753350000000004</v>
      </c>
      <c r="O52" s="8">
        <f t="shared" ref="O52:O56" si="41">N52+M52</f>
        <v>1.3080390400000002</v>
      </c>
      <c r="P52" s="8">
        <f t="shared" si="15"/>
        <v>1.3770390400000001</v>
      </c>
      <c r="Q52" s="8">
        <f t="shared" si="16"/>
        <v>2.0357520395261862E-3</v>
      </c>
      <c r="R52" s="8">
        <f t="shared" ref="R52:R56" si="42">Q52*1000</f>
        <v>2.0357520395261863</v>
      </c>
      <c r="S52" s="8">
        <f t="shared" si="17"/>
        <v>0.19999999999999996</v>
      </c>
      <c r="T52" s="8">
        <f t="shared" si="18"/>
        <v>229.99999999999994</v>
      </c>
      <c r="U52" s="8">
        <f t="shared" si="25"/>
        <v>21.917240259490416</v>
      </c>
      <c r="V52" s="8">
        <f t="shared" si="26"/>
        <v>4.5000000000000009</v>
      </c>
      <c r="W52">
        <f t="shared" si="27"/>
        <v>1.377</v>
      </c>
      <c r="X52">
        <f t="shared" si="28"/>
        <v>6.4260000000000002</v>
      </c>
      <c r="Y52">
        <v>0.45900000000000002</v>
      </c>
      <c r="Z52">
        <f t="shared" si="29"/>
        <v>14</v>
      </c>
      <c r="AA52">
        <f t="shared" si="30"/>
        <v>3</v>
      </c>
      <c r="AB52">
        <f t="shared" si="31"/>
        <v>42</v>
      </c>
      <c r="AC52">
        <f t="shared" si="32"/>
        <v>8</v>
      </c>
      <c r="AD52">
        <f t="shared" si="33"/>
        <v>12</v>
      </c>
      <c r="AE52">
        <f t="shared" si="34"/>
        <v>1</v>
      </c>
      <c r="AF52">
        <f t="shared" si="35"/>
        <v>3.6720000000000002</v>
      </c>
      <c r="AG52">
        <f t="shared" si="36"/>
        <v>5.508</v>
      </c>
      <c r="AI52">
        <f t="shared" si="37"/>
        <v>9.18</v>
      </c>
    </row>
    <row r="53" spans="1:35" x14ac:dyDescent="0.35">
      <c r="A53" s="8">
        <f t="shared" ref="A53:A55" si="43">A52+10</f>
        <v>70</v>
      </c>
      <c r="B53" s="8">
        <f t="shared" si="38"/>
        <v>7.0000000000000007E-2</v>
      </c>
      <c r="C53" s="8">
        <v>16000</v>
      </c>
      <c r="D53" s="8">
        <f t="shared" si="39"/>
        <v>8000</v>
      </c>
      <c r="E53" s="8">
        <f t="shared" si="21"/>
        <v>9.1999999999999998E-2</v>
      </c>
      <c r="F53" s="8">
        <f>ROUNDUP(('100kHz'!$B$11*'100kHz'!$B$22)/('core and copper loss - N27'!$B$16*'core and copper loss - N27'!B53),0)</f>
        <v>93</v>
      </c>
      <c r="G53" s="8">
        <f t="shared" si="40"/>
        <v>29</v>
      </c>
      <c r="H53" s="8">
        <f>ROUNDUP(F53/'100kHz'!$B$43,0)</f>
        <v>18</v>
      </c>
      <c r="I53" s="8">
        <f t="shared" si="14"/>
        <v>5.6265000000000001</v>
      </c>
      <c r="J53" s="8">
        <f t="shared" si="14"/>
        <v>1.7544999999999999</v>
      </c>
      <c r="K53" s="8">
        <f>'100kHz'!$B$30/'100kHz'!$B$38</f>
        <v>0.3666666666666667</v>
      </c>
      <c r="L53" s="8">
        <f>'100kHz'!$B$31/'100kHz'!$B$39</f>
        <v>0.5</v>
      </c>
      <c r="M53" s="8">
        <f>I53*$B$22*'core and copper loss - N27'!K53*'core and copper loss - N27'!K53*'100kHz'!$B$38</f>
        <v>0.30182421500000006</v>
      </c>
      <c r="N53" s="8">
        <f>J53*$B$22*L53*L53*'100kHz'!$B$39</f>
        <v>0.81671975000000008</v>
      </c>
      <c r="O53" s="8">
        <f t="shared" si="41"/>
        <v>1.1185439650000002</v>
      </c>
      <c r="P53" s="8">
        <f t="shared" si="15"/>
        <v>1.2105439650000003</v>
      </c>
      <c r="Q53" s="8">
        <f t="shared" si="16"/>
        <v>1.5095352700498959E-3</v>
      </c>
      <c r="R53" s="8">
        <f t="shared" si="42"/>
        <v>1.5095352700498958</v>
      </c>
      <c r="S53" s="8">
        <f t="shared" si="17"/>
        <v>0.23225806451612899</v>
      </c>
      <c r="T53" s="8">
        <f t="shared" si="18"/>
        <v>267.25806451612897</v>
      </c>
      <c r="U53" s="8">
        <f t="shared" si="25"/>
        <v>19.267269957416143</v>
      </c>
      <c r="V53" s="8">
        <f t="shared" si="26"/>
        <v>3.8750000000000004</v>
      </c>
      <c r="W53">
        <f t="shared" si="27"/>
        <v>1.377</v>
      </c>
      <c r="X53">
        <f t="shared" si="28"/>
        <v>6.4260000000000002</v>
      </c>
      <c r="Y53">
        <v>0.45900000000000002</v>
      </c>
      <c r="Z53">
        <f t="shared" si="29"/>
        <v>14</v>
      </c>
      <c r="AA53">
        <f t="shared" si="30"/>
        <v>3</v>
      </c>
      <c r="AB53">
        <f t="shared" si="31"/>
        <v>42</v>
      </c>
      <c r="AC53">
        <f t="shared" si="32"/>
        <v>7</v>
      </c>
      <c r="AD53">
        <f t="shared" si="33"/>
        <v>10</v>
      </c>
      <c r="AE53">
        <f t="shared" si="34"/>
        <v>1</v>
      </c>
      <c r="AF53">
        <f t="shared" si="35"/>
        <v>3.2130000000000001</v>
      </c>
      <c r="AG53">
        <f t="shared" si="36"/>
        <v>4.59</v>
      </c>
      <c r="AI53">
        <f t="shared" si="37"/>
        <v>7.8029999999999999</v>
      </c>
    </row>
    <row r="54" spans="1:35" x14ac:dyDescent="0.35">
      <c r="A54" s="12">
        <f>A53+10</f>
        <v>80</v>
      </c>
      <c r="B54" s="12">
        <f t="shared" si="38"/>
        <v>0.08</v>
      </c>
      <c r="C54" s="12">
        <v>20000</v>
      </c>
      <c r="D54" s="12">
        <f t="shared" si="39"/>
        <v>10000</v>
      </c>
      <c r="E54" s="12">
        <f t="shared" si="21"/>
        <v>0.115</v>
      </c>
      <c r="F54" s="12">
        <f>ROUNDUP(('100kHz'!$B$11*'100kHz'!$B$22)/('core and copper loss - N27'!$B$16*'core and copper loss - N27'!B54),0)</f>
        <v>81</v>
      </c>
      <c r="G54" s="12">
        <f t="shared" si="40"/>
        <v>25</v>
      </c>
      <c r="H54" s="12">
        <f>ROUNDUP(F54/'100kHz'!$B$43,0)</f>
        <v>16</v>
      </c>
      <c r="I54" s="12">
        <f t="shared" si="14"/>
        <v>4.9005000000000001</v>
      </c>
      <c r="J54" s="12">
        <f t="shared" si="14"/>
        <v>1.5125</v>
      </c>
      <c r="K54" s="12">
        <f>'100kHz'!$B$30/'100kHz'!$B$38</f>
        <v>0.3666666666666667</v>
      </c>
      <c r="L54" s="12">
        <f>'100kHz'!$B$31/'100kHz'!$B$39</f>
        <v>0.5</v>
      </c>
      <c r="M54" s="12">
        <f>I54*$B$22*'core and copper loss - N27'!K54*'core and copper loss - N27'!K54*'100kHz'!$B$38</f>
        <v>0.26287915500000003</v>
      </c>
      <c r="N54" s="12">
        <f>J54*$B$22*L54*L54*'100kHz'!$B$39</f>
        <v>0.70406875000000002</v>
      </c>
      <c r="O54" s="12">
        <f t="shared" si="41"/>
        <v>0.96694790500000005</v>
      </c>
      <c r="P54" s="12">
        <f t="shared" si="15"/>
        <v>1.081947905</v>
      </c>
      <c r="Q54" s="12">
        <f t="shared" si="16"/>
        <v>1.1451105222334797E-3</v>
      </c>
      <c r="R54" s="12">
        <f t="shared" si="42"/>
        <v>1.1451105222334796</v>
      </c>
      <c r="S54" s="12">
        <f t="shared" si="17"/>
        <v>0.26666666666666666</v>
      </c>
      <c r="T54" s="12">
        <f t="shared" si="18"/>
        <v>306.66666666666663</v>
      </c>
      <c r="U54" s="12">
        <f t="shared" si="25"/>
        <v>17.220508274142549</v>
      </c>
      <c r="V54" s="12">
        <f t="shared" si="26"/>
        <v>3.375</v>
      </c>
      <c r="W54">
        <f t="shared" si="27"/>
        <v>1.377</v>
      </c>
      <c r="X54">
        <f t="shared" si="28"/>
        <v>6.4260000000000002</v>
      </c>
      <c r="Y54">
        <v>0.45900000000000002</v>
      </c>
      <c r="Z54" s="14">
        <f t="shared" si="29"/>
        <v>14</v>
      </c>
      <c r="AA54" s="14">
        <f t="shared" si="30"/>
        <v>3</v>
      </c>
      <c r="AB54" s="14">
        <f t="shared" si="31"/>
        <v>42</v>
      </c>
      <c r="AC54" s="14">
        <f t="shared" si="32"/>
        <v>6</v>
      </c>
      <c r="AD54" s="14">
        <f t="shared" si="33"/>
        <v>9</v>
      </c>
      <c r="AE54" s="14">
        <f t="shared" si="34"/>
        <v>1</v>
      </c>
      <c r="AF54">
        <f t="shared" si="35"/>
        <v>2.754</v>
      </c>
      <c r="AG54">
        <f t="shared" si="36"/>
        <v>4.1310000000000002</v>
      </c>
      <c r="AH54" s="14">
        <f>AE54*0.459</f>
        <v>0.45900000000000002</v>
      </c>
      <c r="AI54" s="14">
        <f t="shared" si="37"/>
        <v>7.3439999999999994</v>
      </c>
    </row>
    <row r="55" spans="1:35" x14ac:dyDescent="0.35">
      <c r="A55" s="8">
        <f t="shared" si="43"/>
        <v>90</v>
      </c>
      <c r="B55" s="8">
        <f t="shared" si="38"/>
        <v>0.09</v>
      </c>
      <c r="C55" s="8">
        <v>28000</v>
      </c>
      <c r="D55" s="8">
        <f t="shared" si="39"/>
        <v>14000</v>
      </c>
      <c r="E55" s="8">
        <f t="shared" si="21"/>
        <v>0.161</v>
      </c>
      <c r="F55" s="8">
        <f>ROUNDUP(('100kHz'!$B$11*'100kHz'!$B$22)/('core and copper loss - N27'!$B$16*'core and copper loss - N27'!B55),0)</f>
        <v>72</v>
      </c>
      <c r="G55" s="8">
        <f t="shared" si="40"/>
        <v>23</v>
      </c>
      <c r="H55" s="8">
        <f>ROUNDUP(F55/'100kHz'!$B$43,0)</f>
        <v>14</v>
      </c>
      <c r="I55" s="8">
        <f t="shared" si="14"/>
        <v>4.3559999999999999</v>
      </c>
      <c r="J55" s="8">
        <f t="shared" si="14"/>
        <v>1.3915</v>
      </c>
      <c r="K55" s="8">
        <f>'100kHz'!$B$30/'100kHz'!$B$38</f>
        <v>0.3666666666666667</v>
      </c>
      <c r="L55" s="8">
        <f>'100kHz'!$B$31/'100kHz'!$B$39</f>
        <v>0.5</v>
      </c>
      <c r="M55" s="8">
        <f>I55*$B$22*'core and copper loss - N27'!K55*'core and copper loss - N27'!K55*'100kHz'!$B$38</f>
        <v>0.23367036000000002</v>
      </c>
      <c r="N55" s="8">
        <f>J55*$B$22*L55*L55*'100kHz'!$B$39</f>
        <v>0.64774324999999999</v>
      </c>
      <c r="O55" s="8">
        <f t="shared" si="41"/>
        <v>0.88141361000000007</v>
      </c>
      <c r="P55" s="8">
        <f t="shared" si="15"/>
        <v>1.0424136100000001</v>
      </c>
      <c r="Q55" s="8">
        <f t="shared" si="16"/>
        <v>9.047786842338604E-4</v>
      </c>
      <c r="R55" s="8">
        <f t="shared" si="42"/>
        <v>0.90477868423386043</v>
      </c>
      <c r="S55" s="8">
        <f t="shared" si="17"/>
        <v>0.3</v>
      </c>
      <c r="T55" s="8">
        <f t="shared" si="18"/>
        <v>345</v>
      </c>
      <c r="U55" s="8">
        <f t="shared" si="25"/>
        <v>16.591272198159864</v>
      </c>
      <c r="V55" s="8">
        <f t="shared" si="26"/>
        <v>3</v>
      </c>
      <c r="W55">
        <f t="shared" si="27"/>
        <v>1.377</v>
      </c>
      <c r="X55">
        <f t="shared" si="28"/>
        <v>6.4260000000000002</v>
      </c>
      <c r="Y55">
        <v>0.45900000000000002</v>
      </c>
      <c r="Z55">
        <f t="shared" si="29"/>
        <v>14</v>
      </c>
      <c r="AA55">
        <f t="shared" si="30"/>
        <v>3</v>
      </c>
      <c r="AB55">
        <f t="shared" si="31"/>
        <v>42</v>
      </c>
      <c r="AC55">
        <f t="shared" si="32"/>
        <v>6</v>
      </c>
      <c r="AD55">
        <f t="shared" si="33"/>
        <v>8</v>
      </c>
      <c r="AE55">
        <f t="shared" si="34"/>
        <v>1</v>
      </c>
      <c r="AF55">
        <f t="shared" si="35"/>
        <v>2.754</v>
      </c>
      <c r="AG55">
        <f t="shared" si="36"/>
        <v>3.6720000000000002</v>
      </c>
      <c r="AI55">
        <f t="shared" si="37"/>
        <v>6.4260000000000002</v>
      </c>
    </row>
    <row r="56" spans="1:35" x14ac:dyDescent="0.35">
      <c r="A56" s="8">
        <v>100</v>
      </c>
      <c r="B56" s="8">
        <f t="shared" si="38"/>
        <v>0.1</v>
      </c>
      <c r="C56" s="8">
        <v>350000</v>
      </c>
      <c r="D56" s="8">
        <f t="shared" si="39"/>
        <v>175000</v>
      </c>
      <c r="E56" s="8">
        <f t="shared" si="21"/>
        <v>2.0125000000000002</v>
      </c>
      <c r="F56" s="8">
        <f>ROUNDUP(('100kHz'!$B$11*'100kHz'!$B$22)/('core and copper loss - N27'!$B$16*'core and copper loss - N27'!B56),0)</f>
        <v>65</v>
      </c>
      <c r="G56" s="8">
        <f t="shared" si="40"/>
        <v>20</v>
      </c>
      <c r="H56" s="8">
        <f>ROUNDUP(F56/'100kHz'!$B$43,0)</f>
        <v>13</v>
      </c>
      <c r="I56" s="8">
        <f t="shared" si="14"/>
        <v>3.9325000000000001</v>
      </c>
      <c r="J56" s="8">
        <f t="shared" si="14"/>
        <v>1.21</v>
      </c>
      <c r="K56" s="8">
        <f>'100kHz'!$B$30/'100kHz'!$B$38</f>
        <v>0.3666666666666667</v>
      </c>
      <c r="L56" s="8">
        <f>'100kHz'!$B$31/'100kHz'!$B$39</f>
        <v>0.5</v>
      </c>
      <c r="M56" s="8">
        <f>I56*$B$22*'core and copper loss - N27'!K56*'core and copper loss - N27'!K56*'100kHz'!$B$38</f>
        <v>0.2109524083333334</v>
      </c>
      <c r="N56" s="8">
        <f>J56*$B$22*L56*L56*'100kHz'!$B$39</f>
        <v>0.56325500000000006</v>
      </c>
      <c r="O56" s="8">
        <f t="shared" si="41"/>
        <v>0.77420740833333346</v>
      </c>
      <c r="P56" s="8">
        <f t="shared" si="15"/>
        <v>2.7867074083333336</v>
      </c>
      <c r="Q56" s="8">
        <f t="shared" si="16"/>
        <v>7.3740160896760426E-4</v>
      </c>
      <c r="R56" s="8">
        <f t="shared" si="42"/>
        <v>0.73740160896760421</v>
      </c>
      <c r="S56" s="8">
        <f t="shared" si="17"/>
        <v>0.33230769230769225</v>
      </c>
      <c r="T56" s="8">
        <f t="shared" si="18"/>
        <v>382.30769230769226</v>
      </c>
      <c r="U56" s="8">
        <f t="shared" si="25"/>
        <v>44.353815706883331</v>
      </c>
      <c r="V56" s="8">
        <f t="shared" si="26"/>
        <v>2.7083333333333335</v>
      </c>
      <c r="W56">
        <f t="shared" si="27"/>
        <v>1.377</v>
      </c>
      <c r="X56">
        <f t="shared" si="28"/>
        <v>6.4260000000000002</v>
      </c>
      <c r="Y56">
        <v>0.45900000000000002</v>
      </c>
      <c r="Z56">
        <f t="shared" si="29"/>
        <v>14</v>
      </c>
      <c r="AA56">
        <f t="shared" si="30"/>
        <v>3</v>
      </c>
      <c r="AB56">
        <f t="shared" si="31"/>
        <v>42</v>
      </c>
      <c r="AC56">
        <f t="shared" si="32"/>
        <v>5</v>
      </c>
      <c r="AD56">
        <f t="shared" si="33"/>
        <v>7</v>
      </c>
      <c r="AE56">
        <f t="shared" si="34"/>
        <v>1</v>
      </c>
      <c r="AF56">
        <f t="shared" si="35"/>
        <v>2.2949999999999999</v>
      </c>
      <c r="AG56">
        <f t="shared" si="36"/>
        <v>3.2130000000000001</v>
      </c>
      <c r="AI56">
        <f t="shared" si="37"/>
        <v>5.508</v>
      </c>
    </row>
    <row r="58" spans="1:35" x14ac:dyDescent="0.35">
      <c r="A58" t="s">
        <v>146</v>
      </c>
    </row>
    <row r="59" spans="1:35" x14ac:dyDescent="0.35">
      <c r="B59" t="s">
        <v>142</v>
      </c>
      <c r="C59" t="s">
        <v>143</v>
      </c>
      <c r="D59" t="s">
        <v>144</v>
      </c>
      <c r="E59" t="s">
        <v>145</v>
      </c>
      <c r="F59" t="s">
        <v>147</v>
      </c>
      <c r="G59" t="s">
        <v>148</v>
      </c>
      <c r="H59" t="s">
        <v>149</v>
      </c>
      <c r="I59" t="s">
        <v>150</v>
      </c>
      <c r="J59" t="s">
        <v>151</v>
      </c>
      <c r="K59" t="s">
        <v>152</v>
      </c>
      <c r="L59" t="s">
        <v>153</v>
      </c>
      <c r="M59" t="s">
        <v>154</v>
      </c>
      <c r="N59" t="s">
        <v>155</v>
      </c>
      <c r="O59" t="s">
        <v>156</v>
      </c>
      <c r="P59" t="s">
        <v>157</v>
      </c>
      <c r="Q59" t="s">
        <v>158</v>
      </c>
    </row>
    <row r="60" spans="1:35" x14ac:dyDescent="0.35">
      <c r="B60">
        <v>115</v>
      </c>
      <c r="C60">
        <f>ROUNDUP(SQRT(($B$24*10^9)/B60),0)</f>
        <v>89</v>
      </c>
      <c r="D60">
        <f>ROUNDUP(C60/'100kHz'!$B$13,0)</f>
        <v>35</v>
      </c>
      <c r="E60">
        <f>ROUNDUP(B60/'100kHz'!$B$43,0)</f>
        <v>23</v>
      </c>
      <c r="F60">
        <f>($B$29*0.002)/($B$25*C60)</f>
        <v>5.3647733626481573</v>
      </c>
      <c r="G60">
        <f>0.459*3</f>
        <v>1.377</v>
      </c>
      <c r="H60">
        <f>14*0.459</f>
        <v>6.4260000000000002</v>
      </c>
      <c r="I60">
        <v>0.45900000000000002</v>
      </c>
      <c r="J60">
        <f>ROUNDDOWN($B$19/G60,0)</f>
        <v>14</v>
      </c>
      <c r="K60">
        <f>ROUNDDOWN($B$19/H60,0)</f>
        <v>3</v>
      </c>
      <c r="L60">
        <f>ROUNDDOWN($B$19/I60,0)</f>
        <v>42</v>
      </c>
      <c r="M60">
        <f>C60/J60</f>
        <v>6.3571428571428568</v>
      </c>
      <c r="N60">
        <f>D60/K60</f>
        <v>11.666666666666666</v>
      </c>
      <c r="O60">
        <f>E60/L60</f>
        <v>0.54761904761904767</v>
      </c>
      <c r="P60">
        <f>M60+N60+O60</f>
        <v>18.571428571428569</v>
      </c>
      <c r="Q60">
        <f>P60*0.459</f>
        <v>8.524285714285714</v>
      </c>
    </row>
    <row r="64" spans="1:35" x14ac:dyDescent="0.35">
      <c r="A64" s="16" t="s">
        <v>159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x14ac:dyDescent="0.35">
      <c r="A65" s="16" t="s">
        <v>161</v>
      </c>
      <c r="B65" s="16" t="s">
        <v>165</v>
      </c>
      <c r="C65" s="16" t="s">
        <v>142</v>
      </c>
      <c r="D65" s="16" t="s">
        <v>143</v>
      </c>
      <c r="E65" s="16" t="s">
        <v>144</v>
      </c>
      <c r="F65" s="16" t="s">
        <v>145</v>
      </c>
      <c r="G65" s="16" t="s">
        <v>160</v>
      </c>
      <c r="H65" s="16" t="s">
        <v>148</v>
      </c>
      <c r="I65" s="16" t="s">
        <v>149</v>
      </c>
      <c r="J65" s="16" t="s">
        <v>150</v>
      </c>
      <c r="K65" s="16" t="s">
        <v>151</v>
      </c>
      <c r="L65" s="16" t="s">
        <v>152</v>
      </c>
      <c r="M65" s="16" t="s">
        <v>153</v>
      </c>
      <c r="N65" s="16" t="s">
        <v>154</v>
      </c>
      <c r="O65" s="16" t="s">
        <v>155</v>
      </c>
      <c r="P65" s="16" t="s">
        <v>156</v>
      </c>
      <c r="Q65" s="16" t="s">
        <v>162</v>
      </c>
      <c r="R65" s="16" t="s">
        <v>163</v>
      </c>
    </row>
    <row r="66" spans="1:18" x14ac:dyDescent="0.35">
      <c r="A66" s="15">
        <f>(32.3-17.7)/2</f>
        <v>7.2999999999999989</v>
      </c>
      <c r="B66" s="15">
        <f>29.5-6.4</f>
        <v>23.1</v>
      </c>
      <c r="C66" s="15">
        <v>262</v>
      </c>
      <c r="D66" s="15">
        <f>ROUNDUP(SQRT((B24*1000000000)/C66),0)</f>
        <v>59</v>
      </c>
      <c r="E66" s="15">
        <f>ROUNDUP(D66/'100kHz'!B13,0)</f>
        <v>23</v>
      </c>
      <c r="F66" s="15">
        <f>ROUNDUP(D66/'100kHz'!B43,0)</f>
        <v>12</v>
      </c>
      <c r="G66" s="15">
        <f>(B29*0.001)/(B25*D66)</f>
        <v>4.046312112505813</v>
      </c>
      <c r="H66" s="15">
        <f>0.459*3</f>
        <v>1.377</v>
      </c>
      <c r="I66" s="15">
        <f>14*0.459</f>
        <v>6.4260000000000002</v>
      </c>
      <c r="J66" s="15">
        <v>0.45900000000000002</v>
      </c>
      <c r="K66" s="15">
        <f>ROUNDDOWN(B66/H66,0)</f>
        <v>16</v>
      </c>
      <c r="L66" s="15">
        <f>ROUNDDOWN(B66/I66,0)</f>
        <v>3</v>
      </c>
      <c r="M66" s="15">
        <f>ROUNDDOWN(B66/J66,0)</f>
        <v>50</v>
      </c>
      <c r="N66" s="15">
        <f>D66/K66</f>
        <v>3.6875</v>
      </c>
      <c r="O66" s="15">
        <f>E66/L66</f>
        <v>7.666666666666667</v>
      </c>
      <c r="P66" s="15">
        <f>F66/M66</f>
        <v>0.24</v>
      </c>
      <c r="Q66" s="15">
        <f>SUM(N66:P66)</f>
        <v>11.594166666666668</v>
      </c>
      <c r="R66" s="15">
        <f>Q66*0.459</f>
        <v>5.3217225000000008</v>
      </c>
    </row>
    <row r="72" spans="1:18" x14ac:dyDescent="0.35">
      <c r="A72" s="17" t="s">
        <v>164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x14ac:dyDescent="0.35">
      <c r="A73" s="16" t="s">
        <v>161</v>
      </c>
      <c r="B73" s="16" t="s">
        <v>165</v>
      </c>
      <c r="C73" s="16" t="s">
        <v>142</v>
      </c>
      <c r="D73" s="16" t="s">
        <v>143</v>
      </c>
      <c r="E73" s="16" t="s">
        <v>144</v>
      </c>
      <c r="F73" s="16" t="s">
        <v>145</v>
      </c>
      <c r="G73" s="16" t="s">
        <v>160</v>
      </c>
      <c r="H73" s="16" t="s">
        <v>148</v>
      </c>
      <c r="I73" s="16" t="s">
        <v>149</v>
      </c>
      <c r="J73" s="16" t="s">
        <v>150</v>
      </c>
      <c r="K73" s="16" t="s">
        <v>151</v>
      </c>
      <c r="L73" s="16" t="s">
        <v>152</v>
      </c>
      <c r="M73" s="16" t="s">
        <v>153</v>
      </c>
      <c r="N73" s="16" t="s">
        <v>154</v>
      </c>
      <c r="O73" s="16" t="s">
        <v>155</v>
      </c>
      <c r="P73" s="16" t="s">
        <v>156</v>
      </c>
      <c r="Q73" s="16" t="s">
        <v>162</v>
      </c>
      <c r="R73" s="16" t="s">
        <v>163</v>
      </c>
    </row>
    <row r="74" spans="1:18" x14ac:dyDescent="0.35">
      <c r="A74" s="8">
        <f>(29.1-15.1)/2</f>
        <v>7.0000000000000009</v>
      </c>
      <c r="B74" s="8">
        <f>25.7-6.4</f>
        <v>19.299999999999997</v>
      </c>
      <c r="C74" s="8">
        <v>196</v>
      </c>
      <c r="D74" s="8">
        <f>ROUNDUP(SQRT((B24*1000000000)/C74),0)</f>
        <v>68</v>
      </c>
      <c r="E74" s="8">
        <f>ROUNDUP(D74/'100kHz'!B13,0)</f>
        <v>27</v>
      </c>
      <c r="F74" s="8">
        <f>ROUNDUP(D74/'100kHz'!B43,0)</f>
        <v>14</v>
      </c>
      <c r="G74" s="8">
        <f>(B29*0.001)/(B25*D74)</f>
        <v>3.5107708034976906</v>
      </c>
      <c r="H74" s="8">
        <f>0.459*3</f>
        <v>1.377</v>
      </c>
      <c r="I74" s="8">
        <f>14*0.459</f>
        <v>6.4260000000000002</v>
      </c>
      <c r="J74" s="8">
        <v>0.45900000000000002</v>
      </c>
      <c r="K74" s="8">
        <f>ROUNDDOWN(B74/H74,0)</f>
        <v>14</v>
      </c>
      <c r="L74" s="8">
        <f>ROUNDDOWN(B74/I74,0)</f>
        <v>3</v>
      </c>
      <c r="M74" s="8">
        <f>ROUNDDOWN(B74/J74,0)</f>
        <v>42</v>
      </c>
      <c r="N74" s="8">
        <f>D74/K74</f>
        <v>4.8571428571428568</v>
      </c>
      <c r="O74" s="8">
        <f t="shared" ref="O74:P74" si="44">E74/L74</f>
        <v>9</v>
      </c>
      <c r="P74" s="8">
        <f t="shared" si="44"/>
        <v>0.33333333333333331</v>
      </c>
      <c r="Q74" s="8">
        <f>SUM(N74:P74)</f>
        <v>14.190476190476192</v>
      </c>
      <c r="R74" s="8">
        <f>Q74*0.459</f>
        <v>6.5134285714285722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5896027-3454-42C8-BCD4-E7B98CDAB80D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'core and copper loss - N27'!A36:A36</xm:f>
              <xm:sqref>E36</xm:sqref>
            </x14:sparkline>
            <x14:sparkline>
              <xm:f>'core and copper loss - N27'!A37:A37</xm:f>
              <xm:sqref>E37</xm:sqref>
            </x14:sparkline>
            <x14:sparkline>
              <xm:f>'core and copper loss - N27'!A38:A38</xm:f>
              <xm:sqref>E38</xm:sqref>
            </x14:sparkline>
            <x14:sparkline>
              <xm:f>'core and copper loss - N27'!A39:A39</xm:f>
              <xm:sqref>E39</xm:sqref>
            </x14:sparkline>
            <x14:sparkline>
              <xm:f>'core and copper loss - N27'!A40:A40</xm:f>
              <xm:sqref>E40</xm:sqref>
            </x14:sparkline>
            <x14:sparkline>
              <xm:f>'core and copper loss - N27'!A41:A41</xm:f>
              <xm:sqref>E41</xm:sqref>
            </x14:sparkline>
            <x14:sparkline>
              <xm:f>'core and copper loss - N27'!A42:A42</xm:f>
              <xm:sqref>E42</xm:sqref>
            </x14:sparkline>
            <x14:sparkline>
              <xm:f>'core and copper loss - N27'!A43:A43</xm:f>
              <xm:sqref>E43</xm:sqref>
            </x14:sparkline>
          </x14:sparklines>
        </x14:sparklineGroup>
        <x14:sparklineGroup displayEmptyCellsAs="gap" xr2:uid="{58195D6E-58EF-430C-BABE-6889B953567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'core and copper loss - N27'!A49:A49</xm:f>
              <xm:sqref>E49</xm:sqref>
            </x14:sparkline>
            <x14:sparkline>
              <xm:f>'core and copper loss - N27'!A50:A50</xm:f>
              <xm:sqref>E50</xm:sqref>
            </x14:sparkline>
            <x14:sparkline>
              <xm:f>'core and copper loss - N27'!A51:A51</xm:f>
              <xm:sqref>E51</xm:sqref>
            </x14:sparkline>
            <x14:sparkline>
              <xm:f>'core and copper loss - N27'!A52:A52</xm:f>
              <xm:sqref>E52</xm:sqref>
            </x14:sparkline>
            <x14:sparkline>
              <xm:f>'core and copper loss - N27'!A53:A53</xm:f>
              <xm:sqref>E53</xm:sqref>
            </x14:sparkline>
            <x14:sparkline>
              <xm:f>'core and copper loss - N27'!A54:A54</xm:f>
              <xm:sqref>E54</xm:sqref>
            </x14:sparkline>
            <x14:sparkline>
              <xm:f>'core and copper loss - N27'!A55:A55</xm:f>
              <xm:sqref>E55</xm:sqref>
            </x14:sparkline>
            <x14:sparkline>
              <xm:f>'core and copper loss - N27'!A56:A56</xm:f>
              <xm:sqref>E56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048A-3679-49EC-84A3-0B01C90754DF}">
  <dimension ref="A1:B4"/>
  <sheetViews>
    <sheetView topLeftCell="A16" workbookViewId="0">
      <selection activeCell="C7" sqref="C7"/>
    </sheetView>
  </sheetViews>
  <sheetFormatPr defaultRowHeight="14.5" x14ac:dyDescent="0.35"/>
  <cols>
    <col min="1" max="1" width="27.08984375" customWidth="1"/>
  </cols>
  <sheetData>
    <row r="1" spans="1:2" x14ac:dyDescent="0.35">
      <c r="A1" t="s">
        <v>167</v>
      </c>
      <c r="B1" t="s">
        <v>166</v>
      </c>
    </row>
    <row r="4" spans="1:2" x14ac:dyDescent="0.35">
      <c r="A4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3FCA-E224-45E5-80F2-8CA49C5C45B4}">
  <dimension ref="A1:J200"/>
  <sheetViews>
    <sheetView tabSelected="1" topLeftCell="A184" zoomScale="70" zoomScaleNormal="70" workbookViewId="0">
      <selection activeCell="G193" sqref="G193"/>
    </sheetView>
  </sheetViews>
  <sheetFormatPr defaultRowHeight="14.5" x14ac:dyDescent="0.35"/>
  <cols>
    <col min="1" max="1" width="25.6328125" customWidth="1"/>
    <col min="3" max="3" width="11.26953125" customWidth="1"/>
    <col min="5" max="5" width="10.90625" customWidth="1"/>
    <col min="6" max="6" width="21.08984375" customWidth="1"/>
    <col min="7" max="7" width="24.453125" customWidth="1"/>
    <col min="8" max="8" width="21.81640625" customWidth="1"/>
    <col min="9" max="9" width="24.81640625" customWidth="1"/>
    <col min="10" max="10" width="29.36328125" customWidth="1"/>
  </cols>
  <sheetData>
    <row r="1" spans="1:10" x14ac:dyDescent="0.35">
      <c r="A1" s="19" t="s">
        <v>209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35">
      <c r="A2" s="16" t="s">
        <v>184</v>
      </c>
      <c r="B2" s="16" t="s">
        <v>188</v>
      </c>
      <c r="C2" s="16" t="s">
        <v>185</v>
      </c>
      <c r="D2" s="16" t="s">
        <v>186</v>
      </c>
      <c r="E2" s="16" t="s">
        <v>187</v>
      </c>
      <c r="F2" s="16" t="s">
        <v>184</v>
      </c>
      <c r="G2" s="16" t="s">
        <v>205</v>
      </c>
      <c r="H2" s="16" t="s">
        <v>206</v>
      </c>
      <c r="I2" s="16" t="s">
        <v>207</v>
      </c>
      <c r="J2" s="16" t="s">
        <v>208</v>
      </c>
    </row>
    <row r="3" spans="1:10" x14ac:dyDescent="0.35">
      <c r="A3" s="18">
        <v>50</v>
      </c>
      <c r="B3" s="18">
        <v>1.9292199999999999</v>
      </c>
      <c r="C3" s="18">
        <v>1.8942099999999999</v>
      </c>
      <c r="D3" s="18">
        <v>4.3806000000000003</v>
      </c>
      <c r="E3" s="18">
        <v>4.1094600000000003</v>
      </c>
      <c r="F3" s="18">
        <v>50</v>
      </c>
      <c r="G3" s="18">
        <f t="shared" ref="G3:G10" si="0">B3/$B$10</f>
        <v>0.67924063289980496</v>
      </c>
      <c r="H3" s="18">
        <f t="shared" ref="H3:H10" si="1">C3/$C$3</f>
        <v>1</v>
      </c>
      <c r="I3" s="18">
        <f t="shared" ref="I3:I10" si="2">D3/$D$3</f>
        <v>1</v>
      </c>
      <c r="J3" s="18">
        <f t="shared" ref="J3:J10" si="3">E3/$E$3</f>
        <v>1</v>
      </c>
    </row>
    <row r="4" spans="1:10" x14ac:dyDescent="0.35">
      <c r="A4" s="18">
        <f>A3+100</f>
        <v>150</v>
      </c>
      <c r="B4" s="18">
        <v>2.26153</v>
      </c>
      <c r="C4" s="18">
        <v>1.6694</v>
      </c>
      <c r="D4" s="18">
        <v>3.88212</v>
      </c>
      <c r="E4" s="18">
        <v>3.7432400000000001</v>
      </c>
      <c r="F4" s="18">
        <f>F3+100</f>
        <v>150</v>
      </c>
      <c r="G4" s="18">
        <f t="shared" si="0"/>
        <v>0.79624048502601885</v>
      </c>
      <c r="H4" s="18">
        <f t="shared" si="1"/>
        <v>0.88131727738740695</v>
      </c>
      <c r="I4" s="18">
        <f t="shared" si="2"/>
        <v>0.88620736885358165</v>
      </c>
      <c r="J4" s="18">
        <f t="shared" si="3"/>
        <v>0.91088366841385482</v>
      </c>
    </row>
    <row r="5" spans="1:10" x14ac:dyDescent="0.35">
      <c r="A5" s="18">
        <f t="shared" ref="A5:A10" si="4">A4+100</f>
        <v>250</v>
      </c>
      <c r="B5" s="18">
        <v>2.4597899999999999</v>
      </c>
      <c r="C5" s="18">
        <v>1.6333500000000001</v>
      </c>
      <c r="D5" s="18">
        <v>3.82254</v>
      </c>
      <c r="E5" s="18">
        <v>3.68201</v>
      </c>
      <c r="F5" s="18">
        <f t="shared" ref="F5:F10" si="5">F4+100</f>
        <v>250</v>
      </c>
      <c r="G5" s="18">
        <f t="shared" si="0"/>
        <v>0.86604395372254661</v>
      </c>
      <c r="H5" s="18">
        <f t="shared" si="1"/>
        <v>0.86228559663395299</v>
      </c>
      <c r="I5" s="18">
        <f t="shared" si="2"/>
        <v>0.87260649226133402</v>
      </c>
      <c r="J5" s="18">
        <f t="shared" si="3"/>
        <v>0.89598390056114419</v>
      </c>
    </row>
    <row r="6" spans="1:10" x14ac:dyDescent="0.35">
      <c r="A6" s="18">
        <f t="shared" si="4"/>
        <v>350</v>
      </c>
      <c r="B6" s="18">
        <v>2.5930399999999998</v>
      </c>
      <c r="C6" s="18">
        <v>1.61826</v>
      </c>
      <c r="D6" s="18">
        <v>3.7991899999999998</v>
      </c>
      <c r="E6" s="18">
        <v>3.6561900000000001</v>
      </c>
      <c r="F6" s="18">
        <f t="shared" si="5"/>
        <v>350</v>
      </c>
      <c r="G6" s="18">
        <f t="shared" si="0"/>
        <v>0.91295867279756082</v>
      </c>
      <c r="H6" s="18">
        <f t="shared" si="1"/>
        <v>0.85431921487057938</v>
      </c>
      <c r="I6" s="18">
        <f t="shared" si="2"/>
        <v>0.86727617221385189</v>
      </c>
      <c r="J6" s="18">
        <f t="shared" si="3"/>
        <v>0.88970083660626942</v>
      </c>
    </row>
    <row r="7" spans="1:10" x14ac:dyDescent="0.35">
      <c r="A7" s="18">
        <f t="shared" si="4"/>
        <v>450</v>
      </c>
      <c r="B7" s="18">
        <v>2.6873300000000002</v>
      </c>
      <c r="C7" s="18">
        <v>1.60998</v>
      </c>
      <c r="D7" s="18">
        <v>3.7867199999999999</v>
      </c>
      <c r="E7" s="18">
        <v>3.6419700000000002</v>
      </c>
      <c r="F7" s="18">
        <f t="shared" si="5"/>
        <v>450</v>
      </c>
      <c r="G7" s="18">
        <f t="shared" si="0"/>
        <v>0.9461563378000607</v>
      </c>
      <c r="H7" s="18">
        <f t="shared" si="1"/>
        <v>0.84994799942984145</v>
      </c>
      <c r="I7" s="18">
        <f t="shared" si="2"/>
        <v>0.86442953020134217</v>
      </c>
      <c r="J7" s="18">
        <f t="shared" si="3"/>
        <v>0.88624052795257768</v>
      </c>
    </row>
    <row r="8" spans="1:10" x14ac:dyDescent="0.35">
      <c r="A8" s="18">
        <f t="shared" si="4"/>
        <v>550</v>
      </c>
      <c r="B8" s="18">
        <v>2.7549999999999999</v>
      </c>
      <c r="C8" s="18">
        <v>1.6048</v>
      </c>
      <c r="D8" s="18">
        <v>3.7789999999999999</v>
      </c>
      <c r="E8" s="18">
        <v>3.63306</v>
      </c>
      <c r="F8" s="18">
        <f t="shared" si="5"/>
        <v>550</v>
      </c>
      <c r="G8" s="18">
        <f t="shared" si="0"/>
        <v>0.96998162140085775</v>
      </c>
      <c r="H8" s="18">
        <f t="shared" si="1"/>
        <v>0.84721335015652965</v>
      </c>
      <c r="I8" s="18">
        <f t="shared" si="2"/>
        <v>0.86266721453682138</v>
      </c>
      <c r="J8" s="18">
        <f t="shared" si="3"/>
        <v>0.88407235987209987</v>
      </c>
    </row>
    <row r="9" spans="1:10" x14ac:dyDescent="0.35">
      <c r="A9" s="18">
        <f t="shared" si="4"/>
        <v>650</v>
      </c>
      <c r="B9" s="18">
        <v>2.8039900000000002</v>
      </c>
      <c r="C9" s="18">
        <v>1.6012999999999999</v>
      </c>
      <c r="D9" s="18">
        <v>3.7737799999999999</v>
      </c>
      <c r="E9" s="18">
        <v>3.62703</v>
      </c>
      <c r="F9" s="18">
        <f t="shared" si="5"/>
        <v>650</v>
      </c>
      <c r="G9" s="18">
        <f t="shared" si="0"/>
        <v>0.98723004232006939</v>
      </c>
      <c r="H9" s="18">
        <f t="shared" si="1"/>
        <v>0.84536561416104872</v>
      </c>
      <c r="I9" s="18">
        <f t="shared" si="2"/>
        <v>0.86147559695018938</v>
      </c>
      <c r="J9" s="18">
        <f t="shared" si="3"/>
        <v>0.88260501379743317</v>
      </c>
    </row>
    <row r="10" spans="1:10" x14ac:dyDescent="0.35">
      <c r="A10" s="18">
        <f t="shared" si="4"/>
        <v>750</v>
      </c>
      <c r="B10" s="18">
        <v>2.8402599999999998</v>
      </c>
      <c r="C10" s="18">
        <v>1.5988199999999999</v>
      </c>
      <c r="D10" s="18">
        <v>3.7700499999999999</v>
      </c>
      <c r="E10" s="18">
        <v>3.62703</v>
      </c>
      <c r="F10" s="18">
        <f t="shared" si="5"/>
        <v>750</v>
      </c>
      <c r="G10" s="18">
        <f t="shared" si="0"/>
        <v>1</v>
      </c>
      <c r="H10" s="18">
        <f t="shared" si="1"/>
        <v>0.84405636122710781</v>
      </c>
      <c r="I10" s="18">
        <f t="shared" si="2"/>
        <v>0.86062411541797923</v>
      </c>
      <c r="J10" s="18">
        <f t="shared" si="3"/>
        <v>0.88260501379743317</v>
      </c>
    </row>
    <row r="11" spans="1:10" x14ac:dyDescent="0.35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 spans="1:10" x14ac:dyDescent="0.35">
      <c r="A12" s="18"/>
      <c r="B12" s="18"/>
      <c r="C12" s="18"/>
      <c r="D12" s="18"/>
      <c r="E12" s="18"/>
      <c r="F12" s="18"/>
      <c r="G12" s="18"/>
      <c r="H12" s="18"/>
      <c r="I12" s="18"/>
      <c r="J12" s="18"/>
    </row>
    <row r="13" spans="1:10" x14ac:dyDescent="0.35">
      <c r="A13" s="18" t="s">
        <v>189</v>
      </c>
      <c r="B13" s="18" t="s">
        <v>190</v>
      </c>
      <c r="C13" s="18" t="s">
        <v>191</v>
      </c>
      <c r="D13" s="18" t="s">
        <v>192</v>
      </c>
      <c r="E13" s="18" t="s">
        <v>193</v>
      </c>
      <c r="F13" s="18" t="s">
        <v>194</v>
      </c>
      <c r="G13" s="18" t="s">
        <v>195</v>
      </c>
      <c r="H13" s="18"/>
      <c r="I13" s="18"/>
      <c r="J13" s="18"/>
    </row>
    <row r="14" spans="1:10" x14ac:dyDescent="0.35">
      <c r="A14" s="18" t="s">
        <v>196</v>
      </c>
      <c r="B14" s="18">
        <v>4.1669999999999902E-2</v>
      </c>
      <c r="C14" s="18">
        <v>0.05</v>
      </c>
      <c r="D14" s="18">
        <v>8.3300000000000006E-3</v>
      </c>
      <c r="E14" s="18"/>
      <c r="F14" s="18"/>
      <c r="G14" s="18"/>
      <c r="H14" s="18"/>
      <c r="I14" s="18"/>
      <c r="J14" s="18"/>
    </row>
    <row r="15" spans="1:10" x14ac:dyDescent="0.35">
      <c r="A15" s="18" t="s">
        <v>197</v>
      </c>
      <c r="B15" s="18"/>
      <c r="C15" s="18"/>
      <c r="D15" s="18"/>
      <c r="E15" s="18"/>
      <c r="F15" s="18"/>
      <c r="G15" s="18"/>
      <c r="H15" s="18"/>
      <c r="I15" s="18"/>
      <c r="J15" s="18"/>
    </row>
    <row r="16" spans="1:10" x14ac:dyDescent="0.35">
      <c r="A16" s="18" t="s">
        <v>198</v>
      </c>
      <c r="B16" s="18">
        <v>23.977399999999999</v>
      </c>
      <c r="C16" s="18">
        <v>24.002600000000001</v>
      </c>
      <c r="D16" s="18">
        <v>-2.5204899999999999E-2</v>
      </c>
      <c r="E16" s="18">
        <v>24.0669</v>
      </c>
      <c r="F16" s="18">
        <v>23.988</v>
      </c>
      <c r="G16" s="18">
        <v>23.988099999999999</v>
      </c>
      <c r="H16" s="18"/>
      <c r="I16" s="18"/>
      <c r="J16" s="18"/>
    </row>
    <row r="17" spans="1:10" x14ac:dyDescent="0.35">
      <c r="A17" s="18"/>
      <c r="B17" s="18">
        <v>23.976700000000001</v>
      </c>
      <c r="C17" s="18">
        <v>24.001999999999999</v>
      </c>
      <c r="D17" s="18">
        <v>-2.5348699999999998E-2</v>
      </c>
      <c r="E17" s="18">
        <v>24.0745</v>
      </c>
      <c r="F17" s="18">
        <v>23.988</v>
      </c>
      <c r="G17" s="18">
        <v>23.988099999999999</v>
      </c>
      <c r="H17" s="18"/>
      <c r="I17" s="18"/>
      <c r="J17" s="18"/>
    </row>
    <row r="18" spans="1:10" x14ac:dyDescent="0.35">
      <c r="A18" s="18"/>
      <c r="B18" s="18">
        <v>23.975899999999999</v>
      </c>
      <c r="C18" s="18">
        <v>24.0015</v>
      </c>
      <c r="D18" s="18">
        <v>-2.5556300000000001E-2</v>
      </c>
      <c r="E18" s="18">
        <v>24.085000000000001</v>
      </c>
      <c r="F18" s="18">
        <v>23.988</v>
      </c>
      <c r="G18" s="18">
        <v>23.988</v>
      </c>
      <c r="H18" s="18"/>
      <c r="I18" s="18"/>
      <c r="J18" s="18"/>
    </row>
    <row r="19" spans="1:10" x14ac:dyDescent="0.35">
      <c r="A19" s="18"/>
      <c r="B19" s="18">
        <v>23.975100000000001</v>
      </c>
      <c r="C19" s="18">
        <v>24.001000000000001</v>
      </c>
      <c r="D19" s="18">
        <v>-2.5865800000000001E-2</v>
      </c>
      <c r="E19" s="18">
        <v>24.100300000000001</v>
      </c>
      <c r="F19" s="18">
        <v>23.988</v>
      </c>
      <c r="G19" s="18">
        <v>23.988</v>
      </c>
      <c r="H19" s="18"/>
      <c r="I19" s="18"/>
      <c r="J19" s="18"/>
    </row>
    <row r="20" spans="1:10" x14ac:dyDescent="0.35">
      <c r="A20" s="18"/>
      <c r="B20" s="18">
        <v>23.974399999999999</v>
      </c>
      <c r="C20" s="18">
        <v>24.000800000000002</v>
      </c>
      <c r="D20" s="18">
        <v>-2.6388999999999999E-2</v>
      </c>
      <c r="E20" s="18">
        <v>24.124600000000001</v>
      </c>
      <c r="F20" s="18">
        <v>23.9879</v>
      </c>
      <c r="G20" s="18">
        <v>23.988</v>
      </c>
      <c r="H20" s="18"/>
      <c r="I20" s="18"/>
      <c r="J20" s="18"/>
    </row>
    <row r="21" spans="1:10" x14ac:dyDescent="0.35">
      <c r="A21" s="18"/>
      <c r="B21" s="18">
        <v>23.974299999999999</v>
      </c>
      <c r="C21" s="18">
        <v>24.0016</v>
      </c>
      <c r="D21" s="18">
        <v>-2.7355299999999999E-2</v>
      </c>
      <c r="E21" s="18">
        <v>24.1691</v>
      </c>
      <c r="F21" s="18">
        <v>23.9879</v>
      </c>
      <c r="G21" s="18">
        <v>23.988</v>
      </c>
      <c r="H21" s="18"/>
      <c r="I21" s="18"/>
      <c r="J21" s="18"/>
    </row>
    <row r="22" spans="1:10" x14ac:dyDescent="0.35">
      <c r="A22" s="18"/>
      <c r="B22" s="18">
        <v>23.9755</v>
      </c>
      <c r="C22" s="18">
        <v>24.005400000000002</v>
      </c>
      <c r="D22" s="18">
        <v>-2.9846999999999999E-2</v>
      </c>
      <c r="E22" s="18">
        <v>24.2758</v>
      </c>
      <c r="F22" s="18">
        <v>23.9877</v>
      </c>
      <c r="G22" s="18">
        <v>23.988</v>
      </c>
      <c r="H22" s="18"/>
      <c r="I22" s="18"/>
      <c r="J22" s="18"/>
    </row>
    <row r="23" spans="1:10" x14ac:dyDescent="0.35">
      <c r="A23" s="18"/>
      <c r="B23" s="18">
        <v>23.876899999999999</v>
      </c>
      <c r="C23" s="18">
        <v>23.925899999999999</v>
      </c>
      <c r="D23" s="18">
        <v>-4.8978000000000001E-2</v>
      </c>
      <c r="E23" s="18">
        <v>25.085100000000001</v>
      </c>
      <c r="F23" s="18">
        <v>23.987400000000001</v>
      </c>
      <c r="G23" s="18">
        <v>23.992799999999999</v>
      </c>
      <c r="H23" s="18"/>
      <c r="I23" s="18"/>
      <c r="J23" s="18"/>
    </row>
    <row r="24" spans="1:10" x14ac:dyDescent="0.35">
      <c r="A24" s="18" t="s">
        <v>199</v>
      </c>
      <c r="B24" s="18"/>
      <c r="C24" s="18"/>
      <c r="D24" s="18"/>
      <c r="E24" s="18"/>
      <c r="F24" s="18"/>
      <c r="G24" s="18"/>
      <c r="H24" s="18"/>
      <c r="I24" s="18"/>
      <c r="J24" s="18"/>
    </row>
    <row r="25" spans="1:10" x14ac:dyDescent="0.35">
      <c r="A25" s="18" t="s">
        <v>200</v>
      </c>
      <c r="B25" s="18">
        <v>0</v>
      </c>
      <c r="C25" s="18">
        <v>2.6753300000000002</v>
      </c>
      <c r="D25" s="18">
        <v>-2.6753300000000002</v>
      </c>
      <c r="E25" s="18">
        <v>3.7700499999999999</v>
      </c>
      <c r="F25" s="18">
        <v>0.78812899999999997</v>
      </c>
      <c r="G25" s="18">
        <v>1.5988199999999999</v>
      </c>
      <c r="H25" s="18"/>
      <c r="I25" s="18"/>
      <c r="J25" s="18"/>
    </row>
    <row r="26" spans="1:10" x14ac:dyDescent="0.35">
      <c r="A26" s="18"/>
      <c r="B26" s="18">
        <v>0</v>
      </c>
      <c r="C26" s="18">
        <v>2.67875</v>
      </c>
      <c r="D26" s="18">
        <v>-2.67875</v>
      </c>
      <c r="E26" s="18">
        <v>3.7737799999999999</v>
      </c>
      <c r="F26" s="18">
        <v>0.79010100000000005</v>
      </c>
      <c r="G26" s="18">
        <v>1.6012999999999999</v>
      </c>
      <c r="H26" s="18"/>
      <c r="I26" s="18"/>
      <c r="J26" s="18"/>
    </row>
    <row r="27" spans="1:10" x14ac:dyDescent="0.35">
      <c r="A27" s="18"/>
      <c r="B27" s="18">
        <v>0</v>
      </c>
      <c r="C27" s="18">
        <v>2.68357</v>
      </c>
      <c r="D27" s="18">
        <v>-2.68357</v>
      </c>
      <c r="E27" s="18">
        <v>3.7789999999999999</v>
      </c>
      <c r="F27" s="18">
        <v>0.79288400000000003</v>
      </c>
      <c r="G27" s="18">
        <v>1.6048</v>
      </c>
      <c r="H27" s="18"/>
      <c r="I27" s="18"/>
      <c r="J27" s="18"/>
    </row>
    <row r="28" spans="1:10" x14ac:dyDescent="0.35">
      <c r="A28" s="18"/>
      <c r="B28" s="18">
        <v>0</v>
      </c>
      <c r="C28" s="18">
        <v>2.6907199999999998</v>
      </c>
      <c r="D28" s="18">
        <v>-2.6907199999999998</v>
      </c>
      <c r="E28" s="18">
        <v>3.7867199999999999</v>
      </c>
      <c r="F28" s="18">
        <v>0.79700400000000005</v>
      </c>
      <c r="G28" s="18">
        <v>1.60998</v>
      </c>
      <c r="H28" s="18"/>
      <c r="I28" s="18"/>
      <c r="J28" s="18"/>
    </row>
    <row r="29" spans="1:10" x14ac:dyDescent="0.35">
      <c r="A29" s="18"/>
      <c r="B29" s="18">
        <v>0</v>
      </c>
      <c r="C29" s="18">
        <v>2.7021799999999998</v>
      </c>
      <c r="D29" s="18">
        <v>-2.7021799999999998</v>
      </c>
      <c r="E29" s="18">
        <v>3.7991899999999998</v>
      </c>
      <c r="F29" s="18">
        <v>0.80358600000000002</v>
      </c>
      <c r="G29" s="18">
        <v>1.61826</v>
      </c>
      <c r="H29" s="18"/>
      <c r="I29" s="18"/>
      <c r="J29" s="18"/>
    </row>
    <row r="30" spans="1:10" x14ac:dyDescent="0.35">
      <c r="A30" s="18"/>
      <c r="B30" s="18">
        <v>0</v>
      </c>
      <c r="C30" s="18">
        <v>2.72316</v>
      </c>
      <c r="D30" s="18">
        <v>-2.72316</v>
      </c>
      <c r="E30" s="18">
        <v>3.82254</v>
      </c>
      <c r="F30" s="18">
        <v>0.81557999999999997</v>
      </c>
      <c r="G30" s="18">
        <v>1.6333500000000001</v>
      </c>
      <c r="H30" s="18"/>
      <c r="I30" s="18"/>
      <c r="J30" s="18"/>
    </row>
    <row r="31" spans="1:10" x14ac:dyDescent="0.35">
      <c r="A31" s="18"/>
      <c r="B31" s="18">
        <v>0</v>
      </c>
      <c r="C31" s="18">
        <v>2.7732600000000001</v>
      </c>
      <c r="D31" s="18">
        <v>-2.7732600000000001</v>
      </c>
      <c r="E31" s="18">
        <v>3.88212</v>
      </c>
      <c r="F31" s="18">
        <v>0.84419900000000003</v>
      </c>
      <c r="G31" s="18">
        <v>1.6694</v>
      </c>
      <c r="H31" s="18"/>
      <c r="I31" s="18"/>
      <c r="J31" s="18"/>
    </row>
    <row r="32" spans="1:10" x14ac:dyDescent="0.35">
      <c r="A32" s="18"/>
      <c r="B32" s="18">
        <v>0</v>
      </c>
      <c r="C32" s="18">
        <v>3.07117</v>
      </c>
      <c r="D32" s="18">
        <v>-3.07117</v>
      </c>
      <c r="E32" s="18">
        <v>4.3806000000000003</v>
      </c>
      <c r="F32" s="18">
        <v>1.0183</v>
      </c>
      <c r="G32" s="18">
        <v>1.8942099999999999</v>
      </c>
      <c r="H32" s="18"/>
      <c r="I32" s="18"/>
      <c r="J32" s="18"/>
    </row>
    <row r="33" spans="1:10" x14ac:dyDescent="0.35">
      <c r="A33" s="18" t="s">
        <v>201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x14ac:dyDescent="0.35">
      <c r="A34" s="18" t="s">
        <v>201</v>
      </c>
      <c r="B34" s="18">
        <v>8.7938500000000008</v>
      </c>
      <c r="C34" s="18">
        <v>0</v>
      </c>
      <c r="D34" s="18">
        <v>8.7938500000000008</v>
      </c>
      <c r="E34" s="18">
        <v>9.3257999999999992</v>
      </c>
      <c r="F34" s="18">
        <v>6.2488000000000001</v>
      </c>
      <c r="G34" s="18">
        <v>7.22349</v>
      </c>
      <c r="H34" s="18"/>
      <c r="I34" s="18"/>
      <c r="J34" s="18"/>
    </row>
    <row r="35" spans="1:10" x14ac:dyDescent="0.35">
      <c r="A35" s="18"/>
      <c r="B35" s="18">
        <v>8.8027700000000006</v>
      </c>
      <c r="C35" s="18">
        <v>0</v>
      </c>
      <c r="D35" s="18">
        <v>8.8027700000000006</v>
      </c>
      <c r="E35" s="18">
        <v>9.33474</v>
      </c>
      <c r="F35" s="18">
        <v>6.2488099999999998</v>
      </c>
      <c r="G35" s="18">
        <v>7.2256400000000003</v>
      </c>
      <c r="H35" s="18"/>
      <c r="I35" s="18"/>
      <c r="J35" s="18"/>
    </row>
    <row r="36" spans="1:10" x14ac:dyDescent="0.35">
      <c r="A36" s="18"/>
      <c r="B36" s="18">
        <v>8.8153400000000008</v>
      </c>
      <c r="C36" s="18">
        <v>0</v>
      </c>
      <c r="D36" s="18">
        <v>8.8153400000000008</v>
      </c>
      <c r="E36" s="18">
        <v>9.3472600000000003</v>
      </c>
      <c r="F36" s="18">
        <v>6.2488200000000003</v>
      </c>
      <c r="G36" s="18">
        <v>7.2286799999999998</v>
      </c>
      <c r="H36" s="18"/>
      <c r="I36" s="18"/>
      <c r="J36" s="18"/>
    </row>
    <row r="37" spans="1:10" x14ac:dyDescent="0.35">
      <c r="A37" s="18"/>
      <c r="B37" s="18">
        <v>8.8340200000000006</v>
      </c>
      <c r="C37" s="18">
        <v>0</v>
      </c>
      <c r="D37" s="18">
        <v>8.8340200000000006</v>
      </c>
      <c r="E37" s="18">
        <v>9.3658300000000008</v>
      </c>
      <c r="F37" s="18">
        <v>6.2488299999999999</v>
      </c>
      <c r="G37" s="18">
        <v>7.2331799999999999</v>
      </c>
      <c r="H37" s="18"/>
      <c r="I37" s="18"/>
      <c r="J37" s="18"/>
    </row>
    <row r="38" spans="1:10" x14ac:dyDescent="0.35">
      <c r="A38" s="18"/>
      <c r="B38" s="18">
        <v>8.8639799999999997</v>
      </c>
      <c r="C38" s="18">
        <v>0</v>
      </c>
      <c r="D38" s="18">
        <v>8.8639799999999997</v>
      </c>
      <c r="E38" s="18">
        <v>9.3955900000000003</v>
      </c>
      <c r="F38" s="18">
        <v>6.24885</v>
      </c>
      <c r="G38" s="18">
        <v>7.2403700000000004</v>
      </c>
      <c r="H38" s="18"/>
      <c r="I38" s="18"/>
      <c r="J38" s="18"/>
    </row>
    <row r="39" spans="1:10" x14ac:dyDescent="0.35">
      <c r="A39" s="18"/>
      <c r="B39" s="18">
        <v>8.9189100000000003</v>
      </c>
      <c r="C39" s="18">
        <v>0</v>
      </c>
      <c r="D39" s="18">
        <v>8.9189100000000003</v>
      </c>
      <c r="E39" s="18">
        <v>9.4512199999999993</v>
      </c>
      <c r="F39" s="18">
        <v>6.2488900000000003</v>
      </c>
      <c r="G39" s="18">
        <v>7.2534999999999998</v>
      </c>
      <c r="H39" s="18"/>
      <c r="I39" s="18"/>
      <c r="J39" s="18"/>
    </row>
    <row r="40" spans="1:10" x14ac:dyDescent="0.35">
      <c r="A40" s="18"/>
      <c r="B40" s="18">
        <v>9.0502400000000005</v>
      </c>
      <c r="C40" s="18">
        <v>0</v>
      </c>
      <c r="D40" s="18">
        <v>9.0502400000000005</v>
      </c>
      <c r="E40" s="18">
        <v>9.5904799999999994</v>
      </c>
      <c r="F40" s="18">
        <v>6.24899</v>
      </c>
      <c r="G40" s="18">
        <v>7.2849199999999996</v>
      </c>
      <c r="H40" s="18"/>
      <c r="I40" s="18"/>
      <c r="J40" s="18"/>
    </row>
    <row r="41" spans="1:10" x14ac:dyDescent="0.35">
      <c r="A41" s="18"/>
      <c r="B41" s="18">
        <v>9.8260199999999998</v>
      </c>
      <c r="C41" s="18">
        <v>0</v>
      </c>
      <c r="D41" s="18">
        <v>9.8260199999999998</v>
      </c>
      <c r="E41" s="18">
        <v>10.7182</v>
      </c>
      <c r="F41" s="18">
        <v>6.2500499999999999</v>
      </c>
      <c r="G41" s="18">
        <v>7.48177</v>
      </c>
      <c r="H41" s="18"/>
      <c r="I41" s="18"/>
      <c r="J41" s="18"/>
    </row>
    <row r="42" spans="1:10" x14ac:dyDescent="0.35">
      <c r="A42" s="18" t="s">
        <v>202</v>
      </c>
      <c r="B42" s="18"/>
      <c r="C42" s="18"/>
      <c r="D42" s="18"/>
      <c r="E42" s="18"/>
      <c r="F42" s="18"/>
      <c r="G42" s="18"/>
      <c r="H42" s="18"/>
      <c r="I42" s="18"/>
      <c r="J42" s="18"/>
    </row>
    <row r="43" spans="1:10" x14ac:dyDescent="0.35">
      <c r="A43" s="18" t="s">
        <v>203</v>
      </c>
      <c r="B43" s="18">
        <v>2.5497299999999998</v>
      </c>
      <c r="C43" s="18">
        <v>-6.25068</v>
      </c>
      <c r="D43" s="18">
        <v>8.8004099999999994</v>
      </c>
      <c r="E43" s="18">
        <v>6.2656299999999998</v>
      </c>
      <c r="F43" s="18">
        <v>1.91858E-3</v>
      </c>
      <c r="G43" s="18">
        <v>3.6227499999999999</v>
      </c>
      <c r="H43" s="18"/>
      <c r="I43" s="18"/>
      <c r="J43" s="18"/>
    </row>
    <row r="44" spans="1:10" x14ac:dyDescent="0.35">
      <c r="A44" s="18"/>
      <c r="B44" s="18">
        <v>2.55884</v>
      </c>
      <c r="C44" s="18">
        <v>-6.2505300000000004</v>
      </c>
      <c r="D44" s="18">
        <v>8.8093699999999995</v>
      </c>
      <c r="E44" s="18">
        <v>6.2675999999999998</v>
      </c>
      <c r="F44" s="18">
        <v>1.9272E-3</v>
      </c>
      <c r="G44" s="18">
        <v>3.62703</v>
      </c>
      <c r="H44" s="18"/>
      <c r="I44" s="18"/>
      <c r="J44" s="18"/>
    </row>
    <row r="45" spans="1:10" x14ac:dyDescent="0.35">
      <c r="A45" s="18"/>
      <c r="B45" s="18">
        <v>2.5716199999999998</v>
      </c>
      <c r="C45" s="18">
        <v>-6.2503799999999998</v>
      </c>
      <c r="D45" s="18">
        <v>8.8219899999999996</v>
      </c>
      <c r="E45" s="18">
        <v>6.2703300000000004</v>
      </c>
      <c r="F45" s="18">
        <v>1.9396299999999999E-3</v>
      </c>
      <c r="G45" s="18">
        <v>3.63306</v>
      </c>
      <c r="H45" s="18"/>
      <c r="I45" s="18"/>
      <c r="J45" s="18"/>
    </row>
    <row r="46" spans="1:10" x14ac:dyDescent="0.35">
      <c r="A46" s="18"/>
      <c r="B46" s="18">
        <v>2.5905</v>
      </c>
      <c r="C46" s="18">
        <v>-6.2502500000000003</v>
      </c>
      <c r="D46" s="18">
        <v>8.8407499999999999</v>
      </c>
      <c r="E46" s="18">
        <v>6.2743200000000003</v>
      </c>
      <c r="F46" s="18">
        <v>1.9581500000000001E-3</v>
      </c>
      <c r="G46" s="18">
        <v>3.6419700000000002</v>
      </c>
      <c r="H46" s="18"/>
      <c r="I46" s="18"/>
      <c r="J46" s="18"/>
    </row>
    <row r="47" spans="1:10" x14ac:dyDescent="0.35">
      <c r="A47" s="18"/>
      <c r="B47" s="18">
        <v>2.6206399999999999</v>
      </c>
      <c r="C47" s="18">
        <v>-6.25021</v>
      </c>
      <c r="D47" s="18">
        <v>8.8708500000000008</v>
      </c>
      <c r="E47" s="18">
        <v>6.2806600000000001</v>
      </c>
      <c r="F47" s="18">
        <v>1.9893699999999999E-3</v>
      </c>
      <c r="G47" s="18">
        <v>3.6561900000000001</v>
      </c>
      <c r="H47" s="18"/>
      <c r="I47" s="18"/>
      <c r="J47" s="18"/>
    </row>
    <row r="48" spans="1:10" x14ac:dyDescent="0.35">
      <c r="A48" s="18"/>
      <c r="B48" s="18">
        <v>2.6756099999999998</v>
      </c>
      <c r="C48" s="18">
        <v>-6.2504200000000001</v>
      </c>
      <c r="D48" s="18">
        <v>8.9260400000000004</v>
      </c>
      <c r="E48" s="18">
        <v>6.2922399999999996</v>
      </c>
      <c r="F48" s="18">
        <v>2.0470000000000002E-3</v>
      </c>
      <c r="G48" s="18">
        <v>3.68201</v>
      </c>
      <c r="H48" s="18"/>
      <c r="I48" s="18"/>
      <c r="J48" s="18"/>
    </row>
    <row r="49" spans="1:10" x14ac:dyDescent="0.35">
      <c r="A49" s="18"/>
      <c r="B49" s="18">
        <v>2.80661</v>
      </c>
      <c r="C49" s="18">
        <v>-6.2514000000000003</v>
      </c>
      <c r="D49" s="18">
        <v>9.0580099999999995</v>
      </c>
      <c r="E49" s="18">
        <v>6.32</v>
      </c>
      <c r="F49" s="18">
        <v>2.1950400000000001E-3</v>
      </c>
      <c r="G49" s="18">
        <v>3.7432400000000001</v>
      </c>
      <c r="H49" s="18"/>
      <c r="I49" s="18"/>
      <c r="J49" s="18"/>
    </row>
    <row r="50" spans="1:10" x14ac:dyDescent="0.35">
      <c r="A50" s="18"/>
      <c r="B50" s="18">
        <v>3.6080800000000002</v>
      </c>
      <c r="C50" s="18">
        <v>-6.2306999999999997</v>
      </c>
      <c r="D50" s="18">
        <v>9.8387799999999999</v>
      </c>
      <c r="E50" s="18">
        <v>6.5306499999999996</v>
      </c>
      <c r="F50" s="18">
        <v>3.3185200000000002E-3</v>
      </c>
      <c r="G50" s="18">
        <v>4.1094600000000003</v>
      </c>
      <c r="H50" s="18"/>
      <c r="I50" s="18"/>
      <c r="J50" s="18"/>
    </row>
    <row r="51" spans="1:10" x14ac:dyDescent="0.35">
      <c r="A51" s="18" t="s">
        <v>204</v>
      </c>
      <c r="B51" s="18"/>
      <c r="C51" s="18"/>
      <c r="D51" s="18"/>
      <c r="E51" s="18"/>
      <c r="F51" s="18"/>
      <c r="G51" s="18"/>
      <c r="H51" s="18"/>
      <c r="I51" s="18"/>
      <c r="J51" s="18"/>
    </row>
    <row r="52" spans="1:10" x14ac:dyDescent="0.35">
      <c r="A52" s="18" t="s">
        <v>203</v>
      </c>
      <c r="B52" s="18">
        <v>0</v>
      </c>
      <c r="C52" s="18">
        <v>-2.6753300000000002</v>
      </c>
      <c r="D52" s="18">
        <v>2.6753300000000002</v>
      </c>
      <c r="E52" s="18">
        <v>10.7012</v>
      </c>
      <c r="F52" s="18">
        <v>1.2775600000000001E-3</v>
      </c>
      <c r="G52" s="18">
        <v>2.8402599999999998</v>
      </c>
      <c r="H52" s="18"/>
      <c r="I52" s="18"/>
      <c r="J52" s="18"/>
    </row>
    <row r="53" spans="1:10" x14ac:dyDescent="0.35">
      <c r="A53" s="18"/>
      <c r="B53" s="18">
        <v>0</v>
      </c>
      <c r="C53" s="18">
        <v>-2.67875</v>
      </c>
      <c r="D53" s="18">
        <v>2.67875</v>
      </c>
      <c r="E53" s="18">
        <v>10.444900000000001</v>
      </c>
      <c r="F53" s="18">
        <v>1.2642199999999999E-3</v>
      </c>
      <c r="G53" s="18">
        <v>2.8039900000000002</v>
      </c>
      <c r="H53" s="18"/>
      <c r="I53" s="18"/>
      <c r="J53" s="18"/>
    </row>
    <row r="54" spans="1:10" x14ac:dyDescent="0.35">
      <c r="A54" s="18"/>
      <c r="B54" s="18">
        <v>0</v>
      </c>
      <c r="C54" s="18">
        <v>-2.68357</v>
      </c>
      <c r="D54" s="18">
        <v>2.68357</v>
      </c>
      <c r="E54" s="18">
        <v>10.092499999999999</v>
      </c>
      <c r="F54" s="18">
        <v>1.27254E-3</v>
      </c>
      <c r="G54" s="18">
        <v>2.7549999999999999</v>
      </c>
      <c r="H54" s="18"/>
      <c r="I54" s="18"/>
      <c r="J54" s="18"/>
    </row>
    <row r="55" spans="1:10" x14ac:dyDescent="0.35">
      <c r="A55" s="18"/>
      <c r="B55" s="18">
        <v>0</v>
      </c>
      <c r="C55" s="18">
        <v>-2.6907199999999998</v>
      </c>
      <c r="D55" s="18">
        <v>2.6907199999999998</v>
      </c>
      <c r="E55" s="18">
        <v>9.5963399999999996</v>
      </c>
      <c r="F55" s="18">
        <v>1.2805099999999999E-3</v>
      </c>
      <c r="G55" s="18">
        <v>2.6873300000000002</v>
      </c>
      <c r="H55" s="18"/>
      <c r="I55" s="18"/>
      <c r="J55" s="18"/>
    </row>
    <row r="56" spans="1:10" x14ac:dyDescent="0.35">
      <c r="A56" s="18"/>
      <c r="B56" s="18">
        <v>0</v>
      </c>
      <c r="C56" s="18">
        <v>-2.7021799999999998</v>
      </c>
      <c r="D56" s="18">
        <v>2.7021799999999998</v>
      </c>
      <c r="E56" s="18">
        <v>8.8866200000000006</v>
      </c>
      <c r="F56" s="18">
        <v>1.2955E-3</v>
      </c>
      <c r="G56" s="18">
        <v>2.5930399999999998</v>
      </c>
      <c r="H56" s="18"/>
      <c r="I56" s="18"/>
      <c r="J56" s="18"/>
    </row>
    <row r="57" spans="1:10" x14ac:dyDescent="0.35">
      <c r="A57" s="18"/>
      <c r="B57" s="18">
        <v>0</v>
      </c>
      <c r="C57" s="18">
        <v>-2.72316</v>
      </c>
      <c r="D57" s="18">
        <v>2.72316</v>
      </c>
      <c r="E57" s="18">
        <v>7.8486799999999999</v>
      </c>
      <c r="F57" s="18">
        <v>1.3301000000000001E-3</v>
      </c>
      <c r="G57" s="18">
        <v>2.4597899999999999</v>
      </c>
      <c r="H57" s="18"/>
      <c r="I57" s="18"/>
      <c r="J57" s="18"/>
    </row>
    <row r="58" spans="1:10" x14ac:dyDescent="0.35">
      <c r="A58" s="18"/>
      <c r="B58" s="18">
        <v>0</v>
      </c>
      <c r="C58" s="18">
        <v>-2.7732600000000001</v>
      </c>
      <c r="D58" s="18">
        <v>2.7732600000000001</v>
      </c>
      <c r="E58" s="18">
        <v>6.2552199999999996</v>
      </c>
      <c r="F58" s="18">
        <v>1.39466E-3</v>
      </c>
      <c r="G58" s="18">
        <v>2.26153</v>
      </c>
      <c r="H58" s="18"/>
      <c r="I58" s="18"/>
      <c r="J58" s="18"/>
    </row>
    <row r="59" spans="1:10" x14ac:dyDescent="0.35">
      <c r="A59" s="18"/>
      <c r="B59" s="18">
        <v>0</v>
      </c>
      <c r="C59" s="18">
        <v>-3.07117</v>
      </c>
      <c r="D59" s="18">
        <v>3.07117</v>
      </c>
      <c r="E59" s="18">
        <v>4.2279799999999996</v>
      </c>
      <c r="F59" s="18">
        <v>1.8788699999999999E-3</v>
      </c>
      <c r="G59" s="18">
        <v>1.9292199999999999</v>
      </c>
      <c r="H59" s="18"/>
      <c r="I59" s="18"/>
      <c r="J59" s="18"/>
    </row>
    <row r="65" spans="1:10" x14ac:dyDescent="0.35">
      <c r="A65" s="19" t="s">
        <v>210</v>
      </c>
      <c r="B65" s="19"/>
      <c r="C65" s="19"/>
      <c r="D65" s="19"/>
      <c r="E65" s="19"/>
      <c r="F65" s="19"/>
      <c r="G65" s="19"/>
      <c r="H65" s="19"/>
      <c r="I65" s="19"/>
      <c r="J65" s="19"/>
    </row>
    <row r="66" spans="1:10" x14ac:dyDescent="0.35">
      <c r="A66" s="16" t="s">
        <v>184</v>
      </c>
      <c r="B66" s="16" t="s">
        <v>188</v>
      </c>
      <c r="C66" s="16" t="s">
        <v>185</v>
      </c>
      <c r="D66" s="16" t="s">
        <v>186</v>
      </c>
      <c r="E66" s="16" t="s">
        <v>187</v>
      </c>
      <c r="F66" s="16" t="s">
        <v>184</v>
      </c>
      <c r="G66" s="16" t="s">
        <v>205</v>
      </c>
      <c r="H66" s="16" t="s">
        <v>206</v>
      </c>
      <c r="I66" s="16" t="s">
        <v>207</v>
      </c>
      <c r="J66" s="16" t="s">
        <v>208</v>
      </c>
    </row>
    <row r="67" spans="1:10" x14ac:dyDescent="0.35">
      <c r="A67" s="18">
        <v>50</v>
      </c>
      <c r="B67" s="18">
        <v>1.6052599999999999</v>
      </c>
      <c r="C67" s="18">
        <v>1.3801000000000001</v>
      </c>
      <c r="D67" s="18">
        <v>3.7099600000000001</v>
      </c>
      <c r="E67" s="18">
        <v>3.23583</v>
      </c>
      <c r="F67" s="18">
        <v>50</v>
      </c>
      <c r="G67" s="18">
        <f>B67/$B$74</f>
        <v>0.69169284332355208</v>
      </c>
      <c r="H67" s="18">
        <f>C67/$C$67</f>
        <v>1</v>
      </c>
      <c r="I67" s="18">
        <f>D67/$D$67</f>
        <v>1</v>
      </c>
      <c r="J67" s="18">
        <f>E67/$E$67</f>
        <v>1</v>
      </c>
    </row>
    <row r="68" spans="1:10" x14ac:dyDescent="0.35">
      <c r="A68" s="18">
        <f>A67+100</f>
        <v>150</v>
      </c>
      <c r="B68" s="18">
        <v>1.90052</v>
      </c>
      <c r="C68" s="18">
        <v>1.3103</v>
      </c>
      <c r="D68" s="18">
        <v>3.5988500000000001</v>
      </c>
      <c r="E68" s="18">
        <v>3.1095999999999999</v>
      </c>
      <c r="F68" s="18">
        <f>F67+100</f>
        <v>150</v>
      </c>
      <c r="G68" s="18">
        <f t="shared" ref="G68:G74" si="6">B68/$B$74</f>
        <v>0.81891785915881365</v>
      </c>
      <c r="H68" s="18">
        <f t="shared" ref="H68:H74" si="7">C68/$C$67</f>
        <v>0.94942395478588504</v>
      </c>
      <c r="I68" s="18">
        <f t="shared" ref="I68:I74" si="8">D68/$D$67</f>
        <v>0.97005089003655021</v>
      </c>
      <c r="J68" s="18">
        <f t="shared" ref="J68:J74" si="9">E68/$E$67</f>
        <v>0.96098991603390782</v>
      </c>
    </row>
    <row r="69" spans="1:10" x14ac:dyDescent="0.35">
      <c r="A69" s="18">
        <f t="shared" ref="A69:A74" si="10">A68+100</f>
        <v>250</v>
      </c>
      <c r="B69" s="18">
        <v>2.0588700000000002</v>
      </c>
      <c r="C69" s="18">
        <v>1.2969299999999999</v>
      </c>
      <c r="D69" s="18">
        <v>3.5805099999999999</v>
      </c>
      <c r="E69" s="18">
        <v>3.0851299999999999</v>
      </c>
      <c r="F69" s="18">
        <f t="shared" ref="F69:F74" si="11">F68+100</f>
        <v>250</v>
      </c>
      <c r="G69" s="18">
        <f t="shared" si="6"/>
        <v>0.88714952364947852</v>
      </c>
      <c r="H69" s="18">
        <f t="shared" si="7"/>
        <v>0.93973625099630453</v>
      </c>
      <c r="I69" s="18">
        <f t="shared" si="8"/>
        <v>0.96510744051148789</v>
      </c>
      <c r="J69" s="18">
        <f t="shared" si="9"/>
        <v>0.95342771406408866</v>
      </c>
    </row>
    <row r="70" spans="1:10" x14ac:dyDescent="0.35">
      <c r="A70" s="18">
        <f t="shared" si="10"/>
        <v>350</v>
      </c>
      <c r="B70" s="18">
        <v>2.1598700000000002</v>
      </c>
      <c r="C70" s="18">
        <v>1.2912300000000001</v>
      </c>
      <c r="D70" s="18">
        <v>3.5729299999999999</v>
      </c>
      <c r="E70" s="18">
        <v>3.0746699999999998</v>
      </c>
      <c r="F70" s="18">
        <f t="shared" si="11"/>
        <v>350</v>
      </c>
      <c r="G70" s="18">
        <f t="shared" si="6"/>
        <v>0.93066956225735431</v>
      </c>
      <c r="H70" s="18">
        <f t="shared" si="7"/>
        <v>0.93560611549887684</v>
      </c>
      <c r="I70" s="18">
        <f t="shared" si="8"/>
        <v>0.96306429179829423</v>
      </c>
      <c r="J70" s="18">
        <f t="shared" si="9"/>
        <v>0.95019515858373271</v>
      </c>
    </row>
    <row r="71" spans="1:10" x14ac:dyDescent="0.35">
      <c r="A71" s="18">
        <f t="shared" si="10"/>
        <v>450</v>
      </c>
      <c r="B71" s="18">
        <v>2.2257500000000001</v>
      </c>
      <c r="C71" s="18">
        <v>1.2881100000000001</v>
      </c>
      <c r="D71" s="18">
        <v>3.56881</v>
      </c>
      <c r="E71" s="18">
        <v>3.06894</v>
      </c>
      <c r="F71" s="18">
        <f t="shared" si="11"/>
        <v>450</v>
      </c>
      <c r="G71" s="18">
        <f t="shared" si="6"/>
        <v>0.95905669239088753</v>
      </c>
      <c r="H71" s="18">
        <f t="shared" si="7"/>
        <v>0.93334540975291647</v>
      </c>
      <c r="I71" s="18">
        <f t="shared" si="8"/>
        <v>0.96195376769560859</v>
      </c>
      <c r="J71" s="18">
        <f t="shared" si="9"/>
        <v>0.94842436098311722</v>
      </c>
    </row>
    <row r="72" spans="1:10" x14ac:dyDescent="0.35">
      <c r="A72" s="18">
        <f t="shared" si="10"/>
        <v>550</v>
      </c>
      <c r="B72" s="18">
        <v>2.2699400000000001</v>
      </c>
      <c r="C72" s="18">
        <v>1.2861800000000001</v>
      </c>
      <c r="D72" s="18">
        <v>3.5662500000000001</v>
      </c>
      <c r="E72" s="18">
        <v>3.0653999999999999</v>
      </c>
      <c r="F72" s="18">
        <f t="shared" si="11"/>
        <v>550</v>
      </c>
      <c r="G72" s="18">
        <f t="shared" si="6"/>
        <v>0.9780977865105116</v>
      </c>
      <c r="H72" s="18">
        <f t="shared" si="7"/>
        <v>0.93194696036519098</v>
      </c>
      <c r="I72" s="18">
        <f t="shared" si="8"/>
        <v>0.96126373330170678</v>
      </c>
      <c r="J72" s="18">
        <f t="shared" si="9"/>
        <v>0.94733036037121854</v>
      </c>
    </row>
    <row r="73" spans="1:10" x14ac:dyDescent="0.35">
      <c r="A73" s="18">
        <f t="shared" si="10"/>
        <v>650</v>
      </c>
      <c r="B73" s="18">
        <v>2.3000699999999998</v>
      </c>
      <c r="C73" s="18">
        <v>1.28491</v>
      </c>
      <c r="D73" s="18">
        <v>3.5645199999999999</v>
      </c>
      <c r="E73" s="18">
        <v>3.0630700000000002</v>
      </c>
      <c r="F73" s="18">
        <f t="shared" si="11"/>
        <v>650</v>
      </c>
      <c r="G73" s="18">
        <f t="shared" si="6"/>
        <v>0.99108054654274225</v>
      </c>
      <c r="H73" s="18">
        <f t="shared" si="7"/>
        <v>0.93102673719295692</v>
      </c>
      <c r="I73" s="18">
        <f t="shared" si="8"/>
        <v>0.96079742099645271</v>
      </c>
      <c r="J73" s="18">
        <f t="shared" si="9"/>
        <v>0.94661029782157902</v>
      </c>
    </row>
    <row r="74" spans="1:10" x14ac:dyDescent="0.35">
      <c r="A74" s="18">
        <f t="shared" si="10"/>
        <v>750</v>
      </c>
      <c r="B74" s="18">
        <v>2.32077</v>
      </c>
      <c r="C74" s="18">
        <v>1.28403</v>
      </c>
      <c r="D74" s="18">
        <v>3.5632999999999999</v>
      </c>
      <c r="E74" s="18">
        <v>3.0614499999999998</v>
      </c>
      <c r="F74" s="18">
        <f t="shared" si="11"/>
        <v>750</v>
      </c>
      <c r="G74" s="18">
        <f t="shared" si="6"/>
        <v>1</v>
      </c>
      <c r="H74" s="18">
        <f t="shared" si="7"/>
        <v>0.93038910223896809</v>
      </c>
      <c r="I74" s="18">
        <f t="shared" si="8"/>
        <v>0.9604685764806089</v>
      </c>
      <c r="J74" s="18">
        <f t="shared" si="9"/>
        <v>0.94610965347376097</v>
      </c>
    </row>
    <row r="75" spans="1:10" x14ac:dyDescent="0.35">
      <c r="A75" s="18"/>
      <c r="B75" s="18"/>
      <c r="C75" s="18"/>
      <c r="D75" s="18"/>
      <c r="E75" s="18"/>
      <c r="F75" s="18"/>
      <c r="G75" s="18"/>
      <c r="H75" s="18"/>
      <c r="I75" s="18"/>
      <c r="J75" s="18"/>
    </row>
    <row r="76" spans="1:10" x14ac:dyDescent="0.35">
      <c r="A76" s="18"/>
      <c r="B76" s="18"/>
      <c r="C76" s="18"/>
      <c r="D76" s="18"/>
      <c r="E76" s="18"/>
      <c r="F76" s="18"/>
      <c r="G76" s="18"/>
      <c r="H76" s="18"/>
      <c r="I76" s="18"/>
      <c r="J76" s="18"/>
    </row>
    <row r="77" spans="1:10" x14ac:dyDescent="0.35">
      <c r="A77" s="18" t="s">
        <v>189</v>
      </c>
      <c r="B77" s="18" t="s">
        <v>190</v>
      </c>
      <c r="C77" s="18" t="s">
        <v>191</v>
      </c>
      <c r="D77" s="18" t="s">
        <v>192</v>
      </c>
      <c r="E77" s="18" t="s">
        <v>193</v>
      </c>
      <c r="F77" s="18" t="s">
        <v>194</v>
      </c>
      <c r="G77" s="18" t="s">
        <v>195</v>
      </c>
      <c r="H77" s="18"/>
      <c r="I77" s="18"/>
      <c r="J77" s="18"/>
    </row>
    <row r="78" spans="1:10" x14ac:dyDescent="0.35">
      <c r="A78" s="18" t="s">
        <v>196</v>
      </c>
      <c r="B78" s="18">
        <v>4.1669999999999902E-2</v>
      </c>
      <c r="C78" s="18">
        <v>0.05</v>
      </c>
      <c r="D78" s="18">
        <v>8.3300000000000006E-3</v>
      </c>
      <c r="E78" s="18"/>
      <c r="F78" s="18"/>
      <c r="G78" s="18"/>
      <c r="H78" s="18"/>
      <c r="I78" s="18"/>
      <c r="J78" s="18"/>
    </row>
    <row r="79" spans="1:10" x14ac:dyDescent="0.35">
      <c r="A79" s="18" t="s">
        <v>197</v>
      </c>
      <c r="B79" s="18"/>
      <c r="C79" s="18"/>
      <c r="D79" s="18"/>
      <c r="E79" s="18"/>
      <c r="F79" s="18"/>
      <c r="G79" s="18"/>
      <c r="H79" s="18"/>
      <c r="I79" s="18"/>
      <c r="J79" s="18"/>
    </row>
    <row r="80" spans="1:10" x14ac:dyDescent="0.35">
      <c r="A80" s="18" t="s">
        <v>198</v>
      </c>
      <c r="B80" s="18">
        <v>23.990500000000001</v>
      </c>
      <c r="C80" s="18">
        <v>24.000699999999998</v>
      </c>
      <c r="D80" s="18">
        <v>-1.01663E-2</v>
      </c>
      <c r="E80" s="18">
        <v>24.026800000000001</v>
      </c>
      <c r="F80" s="18">
        <v>23.990500000000001</v>
      </c>
      <c r="G80" s="18">
        <v>23.990500000000001</v>
      </c>
      <c r="H80" s="18"/>
      <c r="I80" s="18"/>
      <c r="J80" s="18"/>
    </row>
    <row r="81" spans="1:10" x14ac:dyDescent="0.35">
      <c r="A81" s="18"/>
      <c r="B81" s="18">
        <v>23.990300000000001</v>
      </c>
      <c r="C81" s="18">
        <v>24.000499999999999</v>
      </c>
      <c r="D81" s="18">
        <v>-1.02072E-2</v>
      </c>
      <c r="E81" s="18">
        <v>24.029499999999999</v>
      </c>
      <c r="F81" s="18">
        <v>23.990500000000001</v>
      </c>
      <c r="G81" s="18">
        <v>23.990500000000001</v>
      </c>
      <c r="H81" s="18"/>
      <c r="I81" s="18"/>
      <c r="J81" s="18"/>
    </row>
    <row r="82" spans="1:10" x14ac:dyDescent="0.35">
      <c r="A82" s="18"/>
      <c r="B82" s="18">
        <v>23.990200000000002</v>
      </c>
      <c r="C82" s="18">
        <v>24.000399999999999</v>
      </c>
      <c r="D82" s="18">
        <v>-1.02696E-2</v>
      </c>
      <c r="E82" s="18">
        <v>24.033200000000001</v>
      </c>
      <c r="F82" s="18">
        <v>23.990500000000001</v>
      </c>
      <c r="G82" s="18">
        <v>23.990500000000001</v>
      </c>
      <c r="H82" s="18"/>
      <c r="I82" s="18"/>
      <c r="J82" s="18"/>
    </row>
    <row r="83" spans="1:10" x14ac:dyDescent="0.35">
      <c r="A83" s="18"/>
      <c r="B83" s="18">
        <v>23.99</v>
      </c>
      <c r="C83" s="18">
        <v>24.000399999999999</v>
      </c>
      <c r="D83" s="18">
        <v>-1.03795E-2</v>
      </c>
      <c r="E83" s="18">
        <v>24.038599999999999</v>
      </c>
      <c r="F83" s="18">
        <v>23.990500000000001</v>
      </c>
      <c r="G83" s="18">
        <v>23.990500000000001</v>
      </c>
      <c r="H83" s="18"/>
      <c r="I83" s="18"/>
      <c r="J83" s="18"/>
    </row>
    <row r="84" spans="1:10" x14ac:dyDescent="0.35">
      <c r="A84" s="18"/>
      <c r="B84" s="18">
        <v>23.99</v>
      </c>
      <c r="C84" s="18">
        <v>24.000499999999999</v>
      </c>
      <c r="D84" s="18">
        <v>-1.05407E-2</v>
      </c>
      <c r="E84" s="18">
        <v>24.0472</v>
      </c>
      <c r="F84" s="18">
        <v>23.990400000000001</v>
      </c>
      <c r="G84" s="18">
        <v>23.990500000000001</v>
      </c>
      <c r="H84" s="18"/>
      <c r="I84" s="18"/>
      <c r="J84" s="18"/>
    </row>
    <row r="85" spans="1:10" x14ac:dyDescent="0.35">
      <c r="A85" s="18"/>
      <c r="B85" s="18">
        <v>23.990400000000001</v>
      </c>
      <c r="C85" s="18">
        <v>24.001300000000001</v>
      </c>
      <c r="D85" s="18">
        <v>-1.0852000000000001E-2</v>
      </c>
      <c r="E85" s="18">
        <v>24.062899999999999</v>
      </c>
      <c r="F85" s="18">
        <v>23.990400000000001</v>
      </c>
      <c r="G85" s="18">
        <v>23.990400000000001</v>
      </c>
      <c r="H85" s="18"/>
      <c r="I85" s="18"/>
      <c r="J85" s="18"/>
    </row>
    <row r="86" spans="1:10" x14ac:dyDescent="0.35">
      <c r="A86" s="18"/>
      <c r="B86" s="18">
        <v>23.992599999999999</v>
      </c>
      <c r="C86" s="18">
        <v>24.004200000000001</v>
      </c>
      <c r="D86" s="18">
        <v>-1.16317E-2</v>
      </c>
      <c r="E86" s="18">
        <v>24.1</v>
      </c>
      <c r="F86" s="18">
        <v>23.990300000000001</v>
      </c>
      <c r="G86" s="18">
        <v>23.990300000000001</v>
      </c>
      <c r="H86" s="18"/>
      <c r="I86" s="18"/>
      <c r="J86" s="18"/>
    </row>
    <row r="87" spans="1:10" x14ac:dyDescent="0.35">
      <c r="A87" s="18"/>
      <c r="B87" s="18">
        <v>24</v>
      </c>
      <c r="C87" s="18">
        <v>24.016400000000001</v>
      </c>
      <c r="D87" s="18">
        <v>-1.63921E-2</v>
      </c>
      <c r="E87" s="18">
        <v>24.3002</v>
      </c>
      <c r="F87" s="18">
        <v>23.989699999999999</v>
      </c>
      <c r="G87" s="18">
        <v>23.990100000000002</v>
      </c>
      <c r="H87" s="18"/>
      <c r="I87" s="18"/>
      <c r="J87" s="18"/>
    </row>
    <row r="88" spans="1:10" x14ac:dyDescent="0.35">
      <c r="A88" s="18" t="s">
        <v>199</v>
      </c>
      <c r="B88" s="18"/>
      <c r="C88" s="18"/>
      <c r="D88" s="18"/>
      <c r="E88" s="18"/>
      <c r="F88" s="18"/>
      <c r="G88" s="18"/>
      <c r="H88" s="18"/>
      <c r="I88" s="18"/>
      <c r="J88" s="18"/>
    </row>
    <row r="89" spans="1:10" x14ac:dyDescent="0.35">
      <c r="A89" s="18" t="s">
        <v>200</v>
      </c>
      <c r="B89" s="18">
        <v>0</v>
      </c>
      <c r="C89" s="18">
        <v>2.3880599999999998</v>
      </c>
      <c r="D89" s="18">
        <v>-2.3880599999999998</v>
      </c>
      <c r="E89" s="18">
        <v>3.5632999999999999</v>
      </c>
      <c r="F89" s="18">
        <v>0.54759800000000003</v>
      </c>
      <c r="G89" s="18">
        <v>1.28403</v>
      </c>
      <c r="H89" s="18"/>
      <c r="I89" s="18"/>
      <c r="J89" s="18"/>
    </row>
    <row r="90" spans="1:10" x14ac:dyDescent="0.35">
      <c r="A90" s="18"/>
      <c r="B90" s="18">
        <v>0</v>
      </c>
      <c r="C90" s="18">
        <v>2.3891800000000001</v>
      </c>
      <c r="D90" s="18">
        <v>-2.3891800000000001</v>
      </c>
      <c r="E90" s="18">
        <v>3.5645199999999999</v>
      </c>
      <c r="F90" s="18">
        <v>0.54823699999999997</v>
      </c>
      <c r="G90" s="18">
        <v>1.28491</v>
      </c>
      <c r="H90" s="18"/>
      <c r="I90" s="18"/>
      <c r="J90" s="18"/>
    </row>
    <row r="91" spans="1:10" x14ac:dyDescent="0.35">
      <c r="A91" s="18"/>
      <c r="B91" s="18">
        <v>0</v>
      </c>
      <c r="C91" s="18">
        <v>2.3907799999999999</v>
      </c>
      <c r="D91" s="18">
        <v>-2.3907799999999999</v>
      </c>
      <c r="E91" s="18">
        <v>3.5662500000000001</v>
      </c>
      <c r="F91" s="18">
        <v>0.54915899999999995</v>
      </c>
      <c r="G91" s="18">
        <v>1.2861800000000001</v>
      </c>
      <c r="H91" s="18"/>
      <c r="I91" s="18"/>
      <c r="J91" s="18"/>
    </row>
    <row r="92" spans="1:10" x14ac:dyDescent="0.35">
      <c r="A92" s="18"/>
      <c r="B92" s="18">
        <v>0</v>
      </c>
      <c r="C92" s="18">
        <v>2.3931900000000002</v>
      </c>
      <c r="D92" s="18">
        <v>-2.3931900000000002</v>
      </c>
      <c r="E92" s="18">
        <v>3.56881</v>
      </c>
      <c r="F92" s="18">
        <v>0.55055600000000005</v>
      </c>
      <c r="G92" s="18">
        <v>1.2881100000000001</v>
      </c>
      <c r="H92" s="18"/>
      <c r="I92" s="18"/>
      <c r="J92" s="18"/>
    </row>
    <row r="93" spans="1:10" x14ac:dyDescent="0.35">
      <c r="A93" s="18"/>
      <c r="B93" s="18">
        <v>0</v>
      </c>
      <c r="C93" s="18">
        <v>2.3970699999999998</v>
      </c>
      <c r="D93" s="18">
        <v>-2.3970699999999998</v>
      </c>
      <c r="E93" s="18">
        <v>3.5729299999999999</v>
      </c>
      <c r="F93" s="18">
        <v>0.55281999999999998</v>
      </c>
      <c r="G93" s="18">
        <v>1.2912300000000001</v>
      </c>
      <c r="H93" s="18"/>
      <c r="I93" s="18"/>
      <c r="J93" s="18"/>
    </row>
    <row r="94" spans="1:10" x14ac:dyDescent="0.35">
      <c r="A94" s="18"/>
      <c r="B94" s="18">
        <v>0</v>
      </c>
      <c r="C94" s="18">
        <v>2.4041800000000002</v>
      </c>
      <c r="D94" s="18">
        <v>-2.4041800000000002</v>
      </c>
      <c r="E94" s="18">
        <v>3.5805099999999999</v>
      </c>
      <c r="F94" s="18">
        <v>0.55696299999999999</v>
      </c>
      <c r="G94" s="18">
        <v>1.2969299999999999</v>
      </c>
      <c r="H94" s="18"/>
      <c r="I94" s="18"/>
      <c r="J94" s="18"/>
    </row>
    <row r="95" spans="1:10" x14ac:dyDescent="0.35">
      <c r="A95" s="18"/>
      <c r="B95" s="18">
        <v>0</v>
      </c>
      <c r="C95" s="18">
        <v>2.4208699999999999</v>
      </c>
      <c r="D95" s="18">
        <v>-2.4208699999999999</v>
      </c>
      <c r="E95" s="18">
        <v>3.5988500000000001</v>
      </c>
      <c r="F95" s="18">
        <v>0.56669199999999997</v>
      </c>
      <c r="G95" s="18">
        <v>1.3103</v>
      </c>
      <c r="H95" s="18"/>
      <c r="I95" s="18"/>
      <c r="J95" s="18"/>
    </row>
    <row r="96" spans="1:10" x14ac:dyDescent="0.35">
      <c r="A96" s="18"/>
      <c r="B96" s="18">
        <v>0</v>
      </c>
      <c r="C96" s="18">
        <v>2.5066999999999999</v>
      </c>
      <c r="D96" s="18">
        <v>-2.5066999999999999</v>
      </c>
      <c r="E96" s="18">
        <v>3.7099600000000001</v>
      </c>
      <c r="F96" s="18">
        <v>0.61759699999999995</v>
      </c>
      <c r="G96" s="18">
        <v>1.3801000000000001</v>
      </c>
      <c r="H96" s="18"/>
      <c r="I96" s="18"/>
      <c r="J96" s="18"/>
    </row>
    <row r="97" spans="1:10" x14ac:dyDescent="0.35">
      <c r="A97" s="18" t="s">
        <v>201</v>
      </c>
      <c r="B97" s="18"/>
      <c r="C97" s="18"/>
      <c r="D97" s="18"/>
      <c r="E97" s="18"/>
      <c r="F97" s="18"/>
      <c r="G97" s="18"/>
      <c r="H97" s="18"/>
      <c r="I97" s="18"/>
      <c r="J97" s="18"/>
    </row>
    <row r="98" spans="1:10" x14ac:dyDescent="0.35">
      <c r="A98" s="18" t="s">
        <v>201</v>
      </c>
      <c r="B98" s="18">
        <v>8.0429099999999991</v>
      </c>
      <c r="C98" s="18">
        <v>0</v>
      </c>
      <c r="D98" s="18">
        <v>8.0429099999999991</v>
      </c>
      <c r="E98" s="18">
        <v>8.7955900000000007</v>
      </c>
      <c r="F98" s="18">
        <v>6.2485600000000003</v>
      </c>
      <c r="G98" s="18">
        <v>6.9585800000000004</v>
      </c>
      <c r="H98" s="18"/>
      <c r="I98" s="18"/>
      <c r="J98" s="18"/>
    </row>
    <row r="99" spans="1:10" x14ac:dyDescent="0.35">
      <c r="A99" s="18"/>
      <c r="B99" s="18">
        <v>8.0458300000000005</v>
      </c>
      <c r="C99" s="18">
        <v>0</v>
      </c>
      <c r="D99" s="18">
        <v>8.0458300000000005</v>
      </c>
      <c r="E99" s="18">
        <v>8.7985900000000008</v>
      </c>
      <c r="F99" s="18">
        <v>6.2485600000000003</v>
      </c>
      <c r="G99" s="18">
        <v>6.9592900000000002</v>
      </c>
      <c r="H99" s="18"/>
      <c r="I99" s="18"/>
      <c r="J99" s="18"/>
    </row>
    <row r="100" spans="1:10" x14ac:dyDescent="0.35">
      <c r="A100" s="18"/>
      <c r="B100" s="18">
        <v>8.0500100000000003</v>
      </c>
      <c r="C100" s="18">
        <v>0</v>
      </c>
      <c r="D100" s="18">
        <v>8.0500100000000003</v>
      </c>
      <c r="E100" s="18">
        <v>8.80274</v>
      </c>
      <c r="F100" s="18">
        <v>6.2485600000000003</v>
      </c>
      <c r="G100" s="18">
        <v>6.9603200000000003</v>
      </c>
      <c r="H100" s="18"/>
      <c r="I100" s="18"/>
      <c r="J100" s="18"/>
    </row>
    <row r="101" spans="1:10" x14ac:dyDescent="0.35">
      <c r="A101" s="18"/>
      <c r="B101" s="18">
        <v>8.0562900000000006</v>
      </c>
      <c r="C101" s="18">
        <v>0</v>
      </c>
      <c r="D101" s="18">
        <v>8.0562900000000006</v>
      </c>
      <c r="E101" s="18">
        <v>8.8089399999999998</v>
      </c>
      <c r="F101" s="18">
        <v>6.2485600000000003</v>
      </c>
      <c r="G101" s="18">
        <v>6.9618799999999998</v>
      </c>
      <c r="H101" s="18"/>
      <c r="I101" s="18"/>
      <c r="J101" s="18"/>
    </row>
    <row r="102" spans="1:10" x14ac:dyDescent="0.35">
      <c r="A102" s="18"/>
      <c r="B102" s="18">
        <v>8.0664800000000003</v>
      </c>
      <c r="C102" s="18">
        <v>0</v>
      </c>
      <c r="D102" s="18">
        <v>8.0664800000000003</v>
      </c>
      <c r="E102" s="18">
        <v>8.8188200000000005</v>
      </c>
      <c r="F102" s="18">
        <v>6.2485600000000003</v>
      </c>
      <c r="G102" s="18">
        <v>6.96441</v>
      </c>
      <c r="H102" s="18"/>
      <c r="I102" s="18"/>
      <c r="J102" s="18"/>
    </row>
    <row r="103" spans="1:10" x14ac:dyDescent="0.35">
      <c r="A103" s="18"/>
      <c r="B103" s="18">
        <v>8.0851199999999999</v>
      </c>
      <c r="C103" s="18">
        <v>0</v>
      </c>
      <c r="D103" s="18">
        <v>8.0851199999999999</v>
      </c>
      <c r="E103" s="18">
        <v>8.8369199999999992</v>
      </c>
      <c r="F103" s="18">
        <v>6.24857</v>
      </c>
      <c r="G103" s="18">
        <v>6.9690500000000002</v>
      </c>
      <c r="H103" s="18"/>
      <c r="I103" s="18"/>
      <c r="J103" s="18"/>
    </row>
    <row r="104" spans="1:10" x14ac:dyDescent="0.35">
      <c r="A104" s="18"/>
      <c r="B104" s="18">
        <v>8.1289599999999993</v>
      </c>
      <c r="C104" s="18">
        <v>0</v>
      </c>
      <c r="D104" s="18">
        <v>8.1289599999999993</v>
      </c>
      <c r="E104" s="18">
        <v>8.8803199999999993</v>
      </c>
      <c r="F104" s="18">
        <v>6.2485799999999996</v>
      </c>
      <c r="G104" s="18">
        <v>6.97994</v>
      </c>
      <c r="H104" s="18"/>
      <c r="I104" s="18"/>
      <c r="J104" s="18"/>
    </row>
    <row r="105" spans="1:10" x14ac:dyDescent="0.35">
      <c r="A105" s="18"/>
      <c r="B105" s="18">
        <v>8.3543500000000002</v>
      </c>
      <c r="C105" s="18">
        <v>0</v>
      </c>
      <c r="D105" s="18">
        <v>8.3543500000000002</v>
      </c>
      <c r="E105" s="18">
        <v>9.1320099999999993</v>
      </c>
      <c r="F105" s="18">
        <v>6.24871</v>
      </c>
      <c r="G105" s="18">
        <v>7.0373000000000001</v>
      </c>
      <c r="H105" s="18"/>
      <c r="I105" s="18"/>
      <c r="J105" s="18"/>
    </row>
    <row r="106" spans="1:10" x14ac:dyDescent="0.35">
      <c r="A106" s="18" t="s">
        <v>202</v>
      </c>
      <c r="B106" s="18"/>
      <c r="C106" s="18"/>
      <c r="D106" s="18"/>
      <c r="E106" s="18"/>
      <c r="F106" s="18"/>
      <c r="G106" s="18"/>
      <c r="H106" s="18"/>
      <c r="I106" s="18"/>
      <c r="J106" s="18"/>
    </row>
    <row r="107" spans="1:10" x14ac:dyDescent="0.35">
      <c r="A107" s="18" t="s">
        <v>203</v>
      </c>
      <c r="B107" s="18">
        <v>1.7953699999999999</v>
      </c>
      <c r="C107" s="18">
        <v>-6.2501800000000003</v>
      </c>
      <c r="D107" s="18">
        <v>8.04556</v>
      </c>
      <c r="E107" s="18">
        <v>6.2553299999999998</v>
      </c>
      <c r="F107" s="18">
        <v>1.0274699999999999E-3</v>
      </c>
      <c r="G107" s="18">
        <v>3.0614499999999998</v>
      </c>
      <c r="H107" s="18"/>
      <c r="I107" s="18"/>
      <c r="J107" s="18"/>
    </row>
    <row r="108" spans="1:10" x14ac:dyDescent="0.35">
      <c r="A108" s="18"/>
      <c r="B108" s="18">
        <v>1.79834</v>
      </c>
      <c r="C108" s="18">
        <v>-6.25014</v>
      </c>
      <c r="D108" s="18">
        <v>8.0484899999999993</v>
      </c>
      <c r="E108" s="18">
        <v>6.2560200000000004</v>
      </c>
      <c r="F108" s="18">
        <v>1.02994E-3</v>
      </c>
      <c r="G108" s="18">
        <v>3.0630700000000002</v>
      </c>
      <c r="H108" s="18"/>
      <c r="I108" s="18"/>
      <c r="J108" s="18"/>
    </row>
    <row r="109" spans="1:10" x14ac:dyDescent="0.35">
      <c r="A109" s="18"/>
      <c r="B109" s="18">
        <v>1.80257</v>
      </c>
      <c r="C109" s="18">
        <v>-6.2501100000000003</v>
      </c>
      <c r="D109" s="18">
        <v>8.0526800000000005</v>
      </c>
      <c r="E109" s="18">
        <v>6.2569900000000001</v>
      </c>
      <c r="F109" s="18">
        <v>1.03371E-3</v>
      </c>
      <c r="G109" s="18">
        <v>3.0653999999999999</v>
      </c>
      <c r="H109" s="18"/>
      <c r="I109" s="18"/>
      <c r="J109" s="18"/>
    </row>
    <row r="110" spans="1:10" x14ac:dyDescent="0.35">
      <c r="A110" s="18"/>
      <c r="B110" s="18">
        <v>1.8089</v>
      </c>
      <c r="C110" s="18">
        <v>-6.2500999999999998</v>
      </c>
      <c r="D110" s="18">
        <v>8.0589999999999993</v>
      </c>
      <c r="E110" s="18">
        <v>6.2584099999999996</v>
      </c>
      <c r="F110" s="18">
        <v>1.0402600000000001E-3</v>
      </c>
      <c r="G110" s="18">
        <v>3.06894</v>
      </c>
      <c r="H110" s="18"/>
      <c r="I110" s="18"/>
      <c r="J110" s="18"/>
    </row>
    <row r="111" spans="1:10" x14ac:dyDescent="0.35">
      <c r="A111" s="18"/>
      <c r="B111" s="18">
        <v>1.81908</v>
      </c>
      <c r="C111" s="18">
        <v>-6.25014</v>
      </c>
      <c r="D111" s="18">
        <v>8.0692199999999996</v>
      </c>
      <c r="E111" s="18">
        <v>6.26065</v>
      </c>
      <c r="F111" s="18">
        <v>1.0499299999999999E-3</v>
      </c>
      <c r="G111" s="18">
        <v>3.0746699999999998</v>
      </c>
      <c r="H111" s="18"/>
      <c r="I111" s="18"/>
      <c r="J111" s="18"/>
    </row>
    <row r="112" spans="1:10" x14ac:dyDescent="0.35">
      <c r="A112" s="18"/>
      <c r="B112" s="18">
        <v>1.83762</v>
      </c>
      <c r="C112" s="18">
        <v>-6.2503299999999999</v>
      </c>
      <c r="D112" s="18">
        <v>8.0879499999999993</v>
      </c>
      <c r="E112" s="18">
        <v>6.2647300000000001</v>
      </c>
      <c r="F112" s="18">
        <v>1.0685499999999999E-3</v>
      </c>
      <c r="G112" s="18">
        <v>3.0851299999999999</v>
      </c>
      <c r="H112" s="18"/>
      <c r="I112" s="18"/>
      <c r="J112" s="18"/>
    </row>
    <row r="113" spans="1:10" x14ac:dyDescent="0.35">
      <c r="A113" s="18"/>
      <c r="B113" s="18">
        <v>1.8809</v>
      </c>
      <c r="C113" s="18">
        <v>-6.2510899999999996</v>
      </c>
      <c r="D113" s="18">
        <v>8.1319900000000001</v>
      </c>
      <c r="E113" s="18">
        <v>6.2743799999999998</v>
      </c>
      <c r="F113" s="18">
        <v>1.1150299999999999E-3</v>
      </c>
      <c r="G113" s="18">
        <v>3.1095999999999999</v>
      </c>
      <c r="H113" s="18"/>
      <c r="I113" s="18"/>
      <c r="J113" s="18"/>
    </row>
    <row r="114" spans="1:10" x14ac:dyDescent="0.35">
      <c r="A114" s="18"/>
      <c r="B114" s="18">
        <v>2.1043500000000002</v>
      </c>
      <c r="C114" s="18">
        <v>-6.25427</v>
      </c>
      <c r="D114" s="18">
        <v>8.3586200000000002</v>
      </c>
      <c r="E114" s="18">
        <v>6.3265200000000004</v>
      </c>
      <c r="F114" s="18">
        <v>1.39642E-3</v>
      </c>
      <c r="G114" s="18">
        <v>3.23583</v>
      </c>
      <c r="H114" s="18"/>
      <c r="I114" s="18"/>
      <c r="J114" s="18"/>
    </row>
    <row r="115" spans="1:10" x14ac:dyDescent="0.35">
      <c r="A115" s="18" t="s">
        <v>204</v>
      </c>
      <c r="B115" s="18"/>
      <c r="C115" s="18"/>
      <c r="D115" s="18"/>
      <c r="E115" s="18"/>
      <c r="F115" s="18"/>
      <c r="G115" s="18"/>
      <c r="H115" s="18"/>
      <c r="I115" s="18"/>
      <c r="J115" s="18"/>
    </row>
    <row r="116" spans="1:10" x14ac:dyDescent="0.35">
      <c r="A116" s="18" t="s">
        <v>203</v>
      </c>
      <c r="B116" s="18">
        <v>0</v>
      </c>
      <c r="C116" s="18">
        <v>-2.3880599999999998</v>
      </c>
      <c r="D116" s="18">
        <v>2.3880599999999998</v>
      </c>
      <c r="E116" s="18">
        <v>9.8895700000000009</v>
      </c>
      <c r="F116" s="18">
        <v>9.0334699999999998E-4</v>
      </c>
      <c r="G116" s="18">
        <v>2.32077</v>
      </c>
      <c r="H116" s="18"/>
      <c r="I116" s="18"/>
      <c r="J116" s="18"/>
    </row>
    <row r="117" spans="1:10" x14ac:dyDescent="0.35">
      <c r="A117" s="18"/>
      <c r="B117" s="18">
        <v>0</v>
      </c>
      <c r="C117" s="18">
        <v>-2.3891800000000001</v>
      </c>
      <c r="D117" s="18">
        <v>2.3891800000000001</v>
      </c>
      <c r="E117" s="18">
        <v>9.7256</v>
      </c>
      <c r="F117" s="18">
        <v>8.7402200000000002E-4</v>
      </c>
      <c r="G117" s="18">
        <v>2.3000699999999998</v>
      </c>
      <c r="H117" s="18"/>
      <c r="I117" s="18"/>
      <c r="J117" s="18"/>
    </row>
    <row r="118" spans="1:10" x14ac:dyDescent="0.35">
      <c r="A118" s="18"/>
      <c r="B118" s="18">
        <v>0</v>
      </c>
      <c r="C118" s="18">
        <v>-2.3907799999999999</v>
      </c>
      <c r="D118" s="18">
        <v>2.3907799999999999</v>
      </c>
      <c r="E118" s="18">
        <v>9.4866799999999998</v>
      </c>
      <c r="F118" s="18">
        <v>8.7643699999999998E-4</v>
      </c>
      <c r="G118" s="18">
        <v>2.2699400000000001</v>
      </c>
      <c r="H118" s="18"/>
      <c r="I118" s="18"/>
      <c r="J118" s="18"/>
    </row>
    <row r="119" spans="1:10" x14ac:dyDescent="0.35">
      <c r="A119" s="18"/>
      <c r="B119" s="18">
        <v>0</v>
      </c>
      <c r="C119" s="18">
        <v>-2.3931900000000002</v>
      </c>
      <c r="D119" s="18">
        <v>2.3931900000000002</v>
      </c>
      <c r="E119" s="18">
        <v>9.1308699999999998</v>
      </c>
      <c r="F119" s="18">
        <v>8.7576199999999998E-4</v>
      </c>
      <c r="G119" s="18">
        <v>2.2257500000000001</v>
      </c>
      <c r="H119" s="18"/>
      <c r="I119" s="18"/>
      <c r="J119" s="18"/>
    </row>
    <row r="120" spans="1:10" x14ac:dyDescent="0.35">
      <c r="A120" s="18"/>
      <c r="B120" s="18">
        <v>0</v>
      </c>
      <c r="C120" s="18">
        <v>-2.3970699999999998</v>
      </c>
      <c r="D120" s="18">
        <v>2.3970699999999998</v>
      </c>
      <c r="E120" s="18">
        <v>8.5869999999999997</v>
      </c>
      <c r="F120" s="18">
        <v>8.8020000000000004E-4</v>
      </c>
      <c r="G120" s="18">
        <v>2.1598700000000002</v>
      </c>
      <c r="H120" s="18"/>
      <c r="I120" s="18"/>
      <c r="J120" s="18"/>
    </row>
    <row r="121" spans="1:10" x14ac:dyDescent="0.35">
      <c r="A121" s="18"/>
      <c r="B121" s="18">
        <v>0</v>
      </c>
      <c r="C121" s="18">
        <v>-2.4041800000000002</v>
      </c>
      <c r="D121" s="18">
        <v>2.4041800000000002</v>
      </c>
      <c r="E121" s="18">
        <v>7.7284699999999997</v>
      </c>
      <c r="F121" s="18">
        <v>8.9818600000000004E-4</v>
      </c>
      <c r="G121" s="18">
        <v>2.0588700000000002</v>
      </c>
      <c r="H121" s="18"/>
      <c r="I121" s="18"/>
      <c r="J121" s="18"/>
    </row>
    <row r="122" spans="1:10" x14ac:dyDescent="0.35">
      <c r="A122" s="18"/>
      <c r="B122" s="18">
        <v>0</v>
      </c>
      <c r="C122" s="18">
        <v>-2.4208699999999999</v>
      </c>
      <c r="D122" s="18">
        <v>2.4208699999999999</v>
      </c>
      <c r="E122" s="18">
        <v>6.3237199999999998</v>
      </c>
      <c r="F122" s="18">
        <v>9.19702E-4</v>
      </c>
      <c r="G122" s="18">
        <v>1.90052</v>
      </c>
      <c r="H122" s="18"/>
      <c r="I122" s="18"/>
      <c r="J122" s="18"/>
    </row>
    <row r="123" spans="1:10" x14ac:dyDescent="0.35">
      <c r="A123" s="18"/>
      <c r="B123" s="18">
        <v>0</v>
      </c>
      <c r="C123" s="18">
        <v>-2.5066999999999999</v>
      </c>
      <c r="D123" s="18">
        <v>2.5066999999999999</v>
      </c>
      <c r="E123" s="18">
        <v>3.6909700000000001</v>
      </c>
      <c r="F123" s="18">
        <v>1.03809E-3</v>
      </c>
      <c r="G123" s="18">
        <v>1.6052599999999999</v>
      </c>
      <c r="H123" s="18"/>
      <c r="I123" s="18"/>
      <c r="J123" s="18"/>
    </row>
    <row r="124" spans="1:10" x14ac:dyDescent="0.35">
      <c r="A124" s="18"/>
      <c r="B124" s="18">
        <v>1.79834</v>
      </c>
      <c r="C124" s="18">
        <v>-6.25014</v>
      </c>
      <c r="D124" s="18">
        <v>8.0484899999999993</v>
      </c>
      <c r="E124" s="18">
        <v>6.2560200000000004</v>
      </c>
      <c r="F124" s="18">
        <v>1.02994E-3</v>
      </c>
      <c r="G124" s="18">
        <v>3.0630700000000002</v>
      </c>
      <c r="H124" s="18"/>
      <c r="I124" s="18"/>
      <c r="J124" s="18"/>
    </row>
    <row r="125" spans="1:10" x14ac:dyDescent="0.35">
      <c r="A125" s="18"/>
      <c r="B125" s="18">
        <v>1.80257</v>
      </c>
      <c r="C125" s="18">
        <v>-6.2501100000000003</v>
      </c>
      <c r="D125" s="18">
        <v>8.0526800000000005</v>
      </c>
      <c r="E125" s="18">
        <v>6.2569900000000001</v>
      </c>
      <c r="F125" s="18">
        <v>1.03371E-3</v>
      </c>
      <c r="G125" s="18">
        <v>3.0653999999999999</v>
      </c>
      <c r="H125" s="18"/>
      <c r="I125" s="18"/>
      <c r="J125" s="18"/>
    </row>
    <row r="126" spans="1:10" x14ac:dyDescent="0.35">
      <c r="A126" s="18"/>
      <c r="B126" s="18">
        <v>1.8089</v>
      </c>
      <c r="C126" s="18">
        <v>-6.2500999999999998</v>
      </c>
      <c r="D126" s="18">
        <v>8.0589999999999993</v>
      </c>
      <c r="E126" s="18">
        <v>6.2584099999999996</v>
      </c>
      <c r="F126" s="18">
        <v>1.0402600000000001E-3</v>
      </c>
      <c r="G126" s="18">
        <v>3.06894</v>
      </c>
      <c r="H126" s="18"/>
      <c r="I126" s="18"/>
      <c r="J126" s="18"/>
    </row>
    <row r="127" spans="1:10" x14ac:dyDescent="0.35">
      <c r="A127" s="18"/>
      <c r="B127" s="18">
        <v>1.81908</v>
      </c>
      <c r="C127" s="18">
        <v>-6.25014</v>
      </c>
      <c r="D127" s="18">
        <v>8.0692199999999996</v>
      </c>
      <c r="E127" s="18">
        <v>6.26065</v>
      </c>
      <c r="F127" s="18">
        <v>1.0499299999999999E-3</v>
      </c>
      <c r="G127" s="18">
        <v>3.0746699999999998</v>
      </c>
      <c r="H127" s="18"/>
      <c r="I127" s="18"/>
      <c r="J127" s="18"/>
    </row>
    <row r="128" spans="1:10" x14ac:dyDescent="0.35">
      <c r="A128" s="18"/>
      <c r="B128" s="18">
        <v>1.83762</v>
      </c>
      <c r="C128" s="18">
        <v>-6.2503299999999999</v>
      </c>
      <c r="D128" s="18">
        <v>8.0879499999999993</v>
      </c>
      <c r="E128" s="18">
        <v>6.2647300000000001</v>
      </c>
      <c r="F128" s="18">
        <v>1.0685499999999999E-3</v>
      </c>
      <c r="G128" s="18">
        <v>3.0851299999999999</v>
      </c>
      <c r="H128" s="18"/>
      <c r="I128" s="18"/>
      <c r="J128" s="18"/>
    </row>
    <row r="129" spans="1:10" x14ac:dyDescent="0.35">
      <c r="A129" s="18"/>
      <c r="B129" s="18">
        <v>1.8809</v>
      </c>
      <c r="C129" s="18">
        <v>-6.2510899999999996</v>
      </c>
      <c r="D129" s="18">
        <v>8.1319900000000001</v>
      </c>
      <c r="E129" s="18">
        <v>6.2743799999999998</v>
      </c>
      <c r="F129" s="18">
        <v>1.1150299999999999E-3</v>
      </c>
      <c r="G129" s="18">
        <v>3.1095999999999999</v>
      </c>
      <c r="H129" s="18"/>
      <c r="I129" s="18"/>
      <c r="J129" s="18"/>
    </row>
    <row r="130" spans="1:10" x14ac:dyDescent="0.35">
      <c r="A130" s="18"/>
      <c r="B130" s="18">
        <v>2.1043500000000002</v>
      </c>
      <c r="C130" s="18">
        <v>-6.25427</v>
      </c>
      <c r="D130" s="18">
        <v>8.3586200000000002</v>
      </c>
      <c r="E130" s="18">
        <v>6.3265200000000004</v>
      </c>
      <c r="F130" s="18">
        <v>1.39642E-3</v>
      </c>
      <c r="G130" s="18">
        <v>3.23583</v>
      </c>
      <c r="H130" s="18"/>
      <c r="I130" s="18"/>
      <c r="J130" s="18"/>
    </row>
    <row r="131" spans="1:10" x14ac:dyDescent="0.35">
      <c r="A131" s="18" t="s">
        <v>204</v>
      </c>
      <c r="B131" s="18"/>
      <c r="C131" s="18"/>
      <c r="D131" s="18"/>
      <c r="E131" s="18"/>
      <c r="F131" s="18"/>
      <c r="G131" s="18"/>
      <c r="H131" s="18"/>
      <c r="I131" s="18"/>
      <c r="J131" s="18"/>
    </row>
    <row r="132" spans="1:10" x14ac:dyDescent="0.35">
      <c r="A132" s="18" t="s">
        <v>203</v>
      </c>
      <c r="B132" s="18">
        <v>0</v>
      </c>
      <c r="C132" s="18">
        <v>-2.3880599999999998</v>
      </c>
      <c r="D132" s="18">
        <v>2.3880599999999998</v>
      </c>
      <c r="E132" s="18">
        <v>9.8895700000000009</v>
      </c>
      <c r="F132" s="18">
        <v>9.0334699999999998E-4</v>
      </c>
      <c r="G132" s="18">
        <v>2.32077</v>
      </c>
      <c r="H132" s="18"/>
      <c r="I132" s="18"/>
      <c r="J132" s="18"/>
    </row>
    <row r="133" spans="1:10" x14ac:dyDescent="0.35">
      <c r="A133" s="18"/>
      <c r="B133" s="18">
        <v>0</v>
      </c>
      <c r="C133" s="18">
        <v>-2.3891800000000001</v>
      </c>
      <c r="D133" s="18">
        <v>2.3891800000000001</v>
      </c>
      <c r="E133" s="18">
        <v>9.7256</v>
      </c>
      <c r="F133" s="18">
        <v>8.7402200000000002E-4</v>
      </c>
      <c r="G133" s="18">
        <v>2.3000699999999998</v>
      </c>
      <c r="H133" s="18"/>
      <c r="I133" s="18"/>
      <c r="J133" s="18"/>
    </row>
    <row r="134" spans="1:10" x14ac:dyDescent="0.35">
      <c r="A134" s="18"/>
      <c r="B134" s="18">
        <v>0</v>
      </c>
      <c r="C134" s="18">
        <v>-2.3907799999999999</v>
      </c>
      <c r="D134" s="18">
        <v>2.3907799999999999</v>
      </c>
      <c r="E134" s="18">
        <v>9.4866799999999998</v>
      </c>
      <c r="F134" s="18">
        <v>8.7643699999999998E-4</v>
      </c>
      <c r="G134" s="18">
        <v>2.2699400000000001</v>
      </c>
      <c r="H134" s="18"/>
      <c r="I134" s="18"/>
      <c r="J134" s="18"/>
    </row>
    <row r="135" spans="1:10" x14ac:dyDescent="0.35">
      <c r="A135" s="18"/>
      <c r="B135" s="18">
        <v>0</v>
      </c>
      <c r="C135" s="18">
        <v>-2.3931900000000002</v>
      </c>
      <c r="D135" s="18">
        <v>2.3931900000000002</v>
      </c>
      <c r="E135" s="18">
        <v>9.1308699999999998</v>
      </c>
      <c r="F135" s="18">
        <v>8.7576199999999998E-4</v>
      </c>
      <c r="G135" s="18">
        <v>2.2257500000000001</v>
      </c>
      <c r="H135" s="18"/>
      <c r="I135" s="18"/>
      <c r="J135" s="18"/>
    </row>
    <row r="136" spans="1:10" x14ac:dyDescent="0.35">
      <c r="A136" s="18"/>
      <c r="B136" s="18">
        <v>0</v>
      </c>
      <c r="C136" s="18">
        <v>-2.3970699999999998</v>
      </c>
      <c r="D136" s="18">
        <v>2.3970699999999998</v>
      </c>
      <c r="E136" s="18">
        <v>8.5869999999999997</v>
      </c>
      <c r="F136" s="18">
        <v>8.8020000000000004E-4</v>
      </c>
      <c r="G136" s="18">
        <v>2.1598700000000002</v>
      </c>
      <c r="H136" s="18"/>
      <c r="I136" s="18"/>
      <c r="J136" s="18"/>
    </row>
    <row r="137" spans="1:10" x14ac:dyDescent="0.35">
      <c r="A137" s="18"/>
      <c r="B137" s="18">
        <v>0</v>
      </c>
      <c r="C137" s="18">
        <v>-2.4041800000000002</v>
      </c>
      <c r="D137" s="18">
        <v>2.4041800000000002</v>
      </c>
      <c r="E137" s="18">
        <v>7.7284699999999997</v>
      </c>
      <c r="F137" s="18">
        <v>8.9818600000000004E-4</v>
      </c>
      <c r="G137" s="18">
        <v>2.0588700000000002</v>
      </c>
      <c r="H137" s="18"/>
      <c r="I137" s="18"/>
      <c r="J137" s="18"/>
    </row>
    <row r="138" spans="1:10" x14ac:dyDescent="0.35">
      <c r="A138" s="18"/>
      <c r="B138" s="18">
        <v>0</v>
      </c>
      <c r="C138" s="18">
        <v>-2.4208699999999999</v>
      </c>
      <c r="D138" s="18">
        <v>2.4208699999999999</v>
      </c>
      <c r="E138" s="18">
        <v>6.3237199999999998</v>
      </c>
      <c r="F138" s="18">
        <v>9.19702E-4</v>
      </c>
      <c r="G138" s="18">
        <v>1.90052</v>
      </c>
      <c r="H138" s="18"/>
      <c r="I138" s="18"/>
      <c r="J138" s="18"/>
    </row>
    <row r="139" spans="1:10" x14ac:dyDescent="0.35">
      <c r="A139" s="18"/>
      <c r="B139" s="18">
        <v>0</v>
      </c>
      <c r="C139" s="18">
        <v>-2.5066999999999999</v>
      </c>
      <c r="D139" s="18">
        <v>2.5066999999999999</v>
      </c>
      <c r="E139" s="18">
        <v>3.6909700000000001</v>
      </c>
      <c r="F139" s="18">
        <v>1.03809E-3</v>
      </c>
      <c r="G139" s="18">
        <v>1.6052599999999999</v>
      </c>
      <c r="H139" s="18"/>
      <c r="I139" s="18"/>
      <c r="J139" s="18"/>
    </row>
    <row r="154" spans="1:7" x14ac:dyDescent="0.35">
      <c r="A154" t="s">
        <v>189</v>
      </c>
      <c r="B154" t="s">
        <v>190</v>
      </c>
      <c r="C154" t="s">
        <v>191</v>
      </c>
      <c r="D154" t="s">
        <v>192</v>
      </c>
      <c r="E154" t="s">
        <v>193</v>
      </c>
      <c r="F154" t="s">
        <v>194</v>
      </c>
      <c r="G154" t="s">
        <v>195</v>
      </c>
    </row>
    <row r="155" spans="1:7" x14ac:dyDescent="0.35">
      <c r="A155" t="s">
        <v>196</v>
      </c>
      <c r="B155">
        <v>4.1669999999999902E-2</v>
      </c>
      <c r="C155">
        <v>0.05</v>
      </c>
      <c r="D155">
        <v>8.3300000000000006E-3</v>
      </c>
    </row>
    <row r="156" spans="1:7" x14ac:dyDescent="0.35">
      <c r="A156" t="s">
        <v>197</v>
      </c>
    </row>
    <row r="157" spans="1:7" x14ac:dyDescent="0.35">
      <c r="A157" t="s">
        <v>198</v>
      </c>
      <c r="B157">
        <v>23.994800000000001</v>
      </c>
      <c r="C157">
        <v>23.9985</v>
      </c>
      <c r="D157">
        <v>-3.7155199999999999E-3</v>
      </c>
      <c r="E157">
        <v>24.016300000000001</v>
      </c>
      <c r="F157">
        <v>23.992100000000001</v>
      </c>
      <c r="G157">
        <v>23.992100000000001</v>
      </c>
    </row>
    <row r="158" spans="1:7" x14ac:dyDescent="0.35">
      <c r="B158">
        <v>23.994700000000002</v>
      </c>
      <c r="C158">
        <v>23.9984</v>
      </c>
      <c r="D158">
        <v>-3.7317600000000002E-3</v>
      </c>
      <c r="E158">
        <v>24.017800000000001</v>
      </c>
      <c r="F158">
        <v>23.992100000000001</v>
      </c>
      <c r="G158">
        <v>23.992100000000001</v>
      </c>
    </row>
    <row r="159" spans="1:7" x14ac:dyDescent="0.35">
      <c r="B159">
        <v>23.994599999999998</v>
      </c>
      <c r="C159">
        <v>23.9984</v>
      </c>
      <c r="D159">
        <v>-3.7692099999999998E-3</v>
      </c>
      <c r="E159">
        <v>24.0198</v>
      </c>
      <c r="F159">
        <v>23.992100000000001</v>
      </c>
      <c r="G159">
        <v>23.992100000000001</v>
      </c>
    </row>
    <row r="160" spans="1:7" x14ac:dyDescent="0.35">
      <c r="B160">
        <v>23.994499999999999</v>
      </c>
      <c r="C160">
        <v>23.9983</v>
      </c>
      <c r="D160">
        <v>-3.8191200000000001E-3</v>
      </c>
      <c r="E160">
        <v>24.0228</v>
      </c>
      <c r="F160">
        <v>23.992100000000001</v>
      </c>
      <c r="G160">
        <v>23.992100000000001</v>
      </c>
    </row>
    <row r="161" spans="1:7" x14ac:dyDescent="0.35">
      <c r="B161">
        <v>23.994499999999999</v>
      </c>
      <c r="C161">
        <v>23.9984</v>
      </c>
      <c r="D161">
        <v>-3.9003000000000002E-3</v>
      </c>
      <c r="E161">
        <v>24.0275</v>
      </c>
      <c r="F161">
        <v>23.992000000000001</v>
      </c>
      <c r="G161">
        <v>23.992000000000001</v>
      </c>
    </row>
    <row r="162" spans="1:7" x14ac:dyDescent="0.35">
      <c r="B162">
        <v>23.994800000000001</v>
      </c>
      <c r="C162">
        <v>23.998899999999999</v>
      </c>
      <c r="D162">
        <v>-4.0721400000000001E-3</v>
      </c>
      <c r="E162">
        <v>24.036100000000001</v>
      </c>
      <c r="F162">
        <v>23.992000000000001</v>
      </c>
      <c r="G162">
        <v>23.992000000000001</v>
      </c>
    </row>
    <row r="163" spans="1:7" x14ac:dyDescent="0.35">
      <c r="B163">
        <v>23.996200000000002</v>
      </c>
      <c r="C163">
        <v>24.000699999999998</v>
      </c>
      <c r="D163">
        <v>-4.47E-3</v>
      </c>
      <c r="E163">
        <v>24.0563</v>
      </c>
      <c r="F163">
        <v>23.991900000000001</v>
      </c>
      <c r="G163">
        <v>23.991900000000001</v>
      </c>
    </row>
    <row r="164" spans="1:7" x14ac:dyDescent="0.35">
      <c r="B164">
        <v>24.005099999999999</v>
      </c>
      <c r="C164">
        <v>24.011900000000001</v>
      </c>
      <c r="D164">
        <v>-6.81366E-3</v>
      </c>
      <c r="E164">
        <v>24.160499999999999</v>
      </c>
      <c r="F164">
        <v>23.991499999999998</v>
      </c>
      <c r="G164">
        <v>23.991599999999998</v>
      </c>
    </row>
    <row r="165" spans="1:7" x14ac:dyDescent="0.35">
      <c r="A165" t="s">
        <v>199</v>
      </c>
    </row>
    <row r="166" spans="1:7" x14ac:dyDescent="0.35">
      <c r="A166" t="s">
        <v>200</v>
      </c>
      <c r="B166">
        <v>0</v>
      </c>
      <c r="C166">
        <v>2.2644000000000002</v>
      </c>
      <c r="D166">
        <v>-2.2644000000000002</v>
      </c>
      <c r="E166">
        <v>3.47899</v>
      </c>
      <c r="F166">
        <v>0.44507400000000003</v>
      </c>
      <c r="G166">
        <v>1.1385700000000001</v>
      </c>
    </row>
    <row r="167" spans="1:7" x14ac:dyDescent="0.35">
      <c r="B167">
        <v>0</v>
      </c>
      <c r="C167">
        <v>2.26498</v>
      </c>
      <c r="D167">
        <v>-2.26498</v>
      </c>
      <c r="E167">
        <v>3.4796399999999998</v>
      </c>
      <c r="F167">
        <v>0.44540200000000002</v>
      </c>
      <c r="G167">
        <v>1.1390499999999999</v>
      </c>
    </row>
    <row r="168" spans="1:7" x14ac:dyDescent="0.35">
      <c r="B168">
        <v>0</v>
      </c>
      <c r="C168">
        <v>2.2658299999999998</v>
      </c>
      <c r="D168">
        <v>-2.2658299999999998</v>
      </c>
      <c r="E168">
        <v>3.48054</v>
      </c>
      <c r="F168">
        <v>0.44588299999999997</v>
      </c>
      <c r="G168">
        <v>1.1397600000000001</v>
      </c>
    </row>
    <row r="169" spans="1:7" x14ac:dyDescent="0.35">
      <c r="B169">
        <v>0</v>
      </c>
      <c r="C169">
        <v>2.2671000000000001</v>
      </c>
      <c r="D169">
        <v>-2.2671000000000001</v>
      </c>
      <c r="E169">
        <v>3.4819</v>
      </c>
      <c r="F169">
        <v>0.44662400000000002</v>
      </c>
      <c r="G169">
        <v>1.1408400000000001</v>
      </c>
    </row>
    <row r="170" spans="1:7" x14ac:dyDescent="0.35">
      <c r="B170">
        <v>0</v>
      </c>
      <c r="C170">
        <v>2.26919</v>
      </c>
      <c r="D170">
        <v>-2.26919</v>
      </c>
      <c r="E170">
        <v>3.4840900000000001</v>
      </c>
      <c r="F170">
        <v>0.44784400000000002</v>
      </c>
      <c r="G170">
        <v>1.14263</v>
      </c>
    </row>
    <row r="171" spans="1:7" x14ac:dyDescent="0.35">
      <c r="B171">
        <v>0</v>
      </c>
      <c r="C171">
        <v>2.2730199999999998</v>
      </c>
      <c r="D171">
        <v>-2.2730199999999998</v>
      </c>
      <c r="E171">
        <v>3.4881199999999999</v>
      </c>
      <c r="F171">
        <v>0.45009900000000003</v>
      </c>
      <c r="G171">
        <v>1.1459299999999999</v>
      </c>
    </row>
    <row r="172" spans="1:7" x14ac:dyDescent="0.35">
      <c r="B172">
        <v>0</v>
      </c>
      <c r="C172">
        <v>2.2820200000000002</v>
      </c>
      <c r="D172">
        <v>-2.2820200000000002</v>
      </c>
      <c r="E172">
        <v>3.49776</v>
      </c>
      <c r="F172">
        <v>0.45539800000000003</v>
      </c>
      <c r="G172">
        <v>1.15368</v>
      </c>
    </row>
    <row r="173" spans="1:7" x14ac:dyDescent="0.35">
      <c r="B173">
        <v>0</v>
      </c>
      <c r="C173">
        <v>2.3269099999999998</v>
      </c>
      <c r="D173">
        <v>-2.3269099999999998</v>
      </c>
      <c r="E173">
        <v>3.5515400000000001</v>
      </c>
      <c r="F173">
        <v>0.48225499999999999</v>
      </c>
      <c r="G173">
        <v>1.1927399999999999</v>
      </c>
    </row>
    <row r="174" spans="1:7" x14ac:dyDescent="0.35">
      <c r="A174" t="s">
        <v>201</v>
      </c>
    </row>
    <row r="175" spans="1:7" x14ac:dyDescent="0.35">
      <c r="A175" t="s">
        <v>201</v>
      </c>
      <c r="B175">
        <v>7.7195400000000003</v>
      </c>
      <c r="C175">
        <v>0</v>
      </c>
      <c r="D175">
        <v>7.7195400000000003</v>
      </c>
      <c r="E175">
        <v>8.5795499999999993</v>
      </c>
      <c r="F175">
        <v>6.2485799999999996</v>
      </c>
      <c r="G175">
        <v>6.8436700000000004</v>
      </c>
    </row>
    <row r="176" spans="1:7" x14ac:dyDescent="0.35">
      <c r="B176">
        <v>7.7210599999999996</v>
      </c>
      <c r="C176">
        <v>0</v>
      </c>
      <c r="D176">
        <v>7.7210599999999996</v>
      </c>
      <c r="E176">
        <v>8.5810999999999993</v>
      </c>
      <c r="F176">
        <v>6.2485799999999996</v>
      </c>
      <c r="G176">
        <v>6.8440399999999997</v>
      </c>
    </row>
    <row r="177" spans="1:7" x14ac:dyDescent="0.35">
      <c r="B177">
        <v>7.7232599999999998</v>
      </c>
      <c r="C177">
        <v>0</v>
      </c>
      <c r="D177">
        <v>7.7232599999999998</v>
      </c>
      <c r="E177">
        <v>8.5832999999999995</v>
      </c>
      <c r="F177">
        <v>6.2485799999999996</v>
      </c>
      <c r="G177">
        <v>6.8445900000000002</v>
      </c>
    </row>
    <row r="178" spans="1:7" x14ac:dyDescent="0.35">
      <c r="B178">
        <v>7.7265899999999998</v>
      </c>
      <c r="C178">
        <v>0</v>
      </c>
      <c r="D178">
        <v>7.7265899999999998</v>
      </c>
      <c r="E178">
        <v>8.5866000000000007</v>
      </c>
      <c r="F178">
        <v>6.2485799999999996</v>
      </c>
      <c r="G178">
        <v>6.8454199999999998</v>
      </c>
    </row>
    <row r="179" spans="1:7" x14ac:dyDescent="0.35">
      <c r="B179">
        <v>7.7320500000000001</v>
      </c>
      <c r="C179">
        <v>0</v>
      </c>
      <c r="D179">
        <v>7.7320500000000001</v>
      </c>
      <c r="E179">
        <v>8.5918600000000005</v>
      </c>
      <c r="F179">
        <v>6.2485799999999996</v>
      </c>
      <c r="G179">
        <v>6.8468</v>
      </c>
    </row>
    <row r="180" spans="1:7" x14ac:dyDescent="0.35">
      <c r="B180">
        <v>7.7421100000000003</v>
      </c>
      <c r="C180">
        <v>0</v>
      </c>
      <c r="D180">
        <v>7.7421100000000003</v>
      </c>
      <c r="E180">
        <v>8.6015899999999998</v>
      </c>
      <c r="F180">
        <v>6.2485799999999996</v>
      </c>
      <c r="G180">
        <v>6.8493399999999998</v>
      </c>
    </row>
    <row r="181" spans="1:7" x14ac:dyDescent="0.35">
      <c r="B181">
        <v>7.7657600000000002</v>
      </c>
      <c r="C181">
        <v>0</v>
      </c>
      <c r="D181">
        <v>7.7657600000000002</v>
      </c>
      <c r="E181">
        <v>8.6246200000000002</v>
      </c>
      <c r="F181">
        <v>6.2485799999999996</v>
      </c>
      <c r="G181">
        <v>6.8553199999999999</v>
      </c>
    </row>
    <row r="182" spans="1:7" x14ac:dyDescent="0.35">
      <c r="B182">
        <v>7.8838999999999997</v>
      </c>
      <c r="C182">
        <v>0</v>
      </c>
      <c r="D182">
        <v>7.8838999999999997</v>
      </c>
      <c r="E182">
        <v>8.7490000000000006</v>
      </c>
      <c r="F182">
        <v>6.2486100000000002</v>
      </c>
      <c r="G182">
        <v>6.8857499999999998</v>
      </c>
    </row>
    <row r="183" spans="1:7" x14ac:dyDescent="0.35">
      <c r="A183" t="s">
        <v>202</v>
      </c>
    </row>
    <row r="184" spans="1:7" x14ac:dyDescent="0.35">
      <c r="A184" t="s">
        <v>203</v>
      </c>
      <c r="B184">
        <v>1.4709000000000001</v>
      </c>
      <c r="C184">
        <v>-6.2496</v>
      </c>
      <c r="D184">
        <v>7.72051</v>
      </c>
      <c r="E184">
        <v>6.2523799999999996</v>
      </c>
      <c r="F184">
        <v>6.4516400000000005E-4</v>
      </c>
      <c r="G184">
        <v>2.7905199999999999</v>
      </c>
    </row>
    <row r="185" spans="1:7" x14ac:dyDescent="0.35">
      <c r="B185">
        <v>1.47245</v>
      </c>
      <c r="C185">
        <v>-6.2495900000000004</v>
      </c>
      <c r="D185">
        <v>7.7220300000000002</v>
      </c>
      <c r="E185">
        <v>6.2527600000000003</v>
      </c>
      <c r="F185">
        <v>6.4616599999999999E-4</v>
      </c>
      <c r="G185">
        <v>2.7914300000000001</v>
      </c>
    </row>
    <row r="186" spans="1:7" x14ac:dyDescent="0.35">
      <c r="B186">
        <v>1.4746699999999999</v>
      </c>
      <c r="C186">
        <v>-6.2495700000000003</v>
      </c>
      <c r="D186">
        <v>7.72424</v>
      </c>
      <c r="E186">
        <v>6.2532899999999998</v>
      </c>
      <c r="F186">
        <v>6.4840299999999998E-4</v>
      </c>
      <c r="G186">
        <v>2.7927599999999999</v>
      </c>
    </row>
    <row r="187" spans="1:7" x14ac:dyDescent="0.35">
      <c r="B187">
        <v>1.4780199999999999</v>
      </c>
      <c r="C187">
        <v>-6.2495700000000003</v>
      </c>
      <c r="D187">
        <v>7.7275900000000002</v>
      </c>
      <c r="E187">
        <v>6.25406</v>
      </c>
      <c r="F187">
        <v>6.5140800000000002E-4</v>
      </c>
      <c r="G187">
        <v>2.7948</v>
      </c>
    </row>
    <row r="188" spans="1:7" x14ac:dyDescent="0.35">
      <c r="B188">
        <v>1.4834700000000001</v>
      </c>
      <c r="C188">
        <v>-6.2496</v>
      </c>
      <c r="D188">
        <v>7.73306</v>
      </c>
      <c r="E188">
        <v>6.2552899999999996</v>
      </c>
      <c r="F188">
        <v>6.5629800000000004E-4</v>
      </c>
      <c r="G188">
        <v>2.7981699999999998</v>
      </c>
    </row>
    <row r="189" spans="1:7" x14ac:dyDescent="0.35">
      <c r="B189">
        <v>1.49346</v>
      </c>
      <c r="C189">
        <v>-6.2497100000000003</v>
      </c>
      <c r="D189">
        <v>7.7431700000000001</v>
      </c>
      <c r="E189">
        <v>6.2575200000000004</v>
      </c>
      <c r="F189">
        <v>6.6656300000000001E-4</v>
      </c>
      <c r="G189">
        <v>2.8043800000000001</v>
      </c>
    </row>
    <row r="190" spans="1:7" x14ac:dyDescent="0.35">
      <c r="B190">
        <v>1.51675</v>
      </c>
      <c r="C190">
        <v>-6.2501699999999998</v>
      </c>
      <c r="D190">
        <v>7.7669199999999998</v>
      </c>
      <c r="E190">
        <v>6.2627899999999999</v>
      </c>
      <c r="F190">
        <v>6.9035199999999998E-4</v>
      </c>
      <c r="G190">
        <v>2.8189500000000001</v>
      </c>
    </row>
    <row r="191" spans="1:7" x14ac:dyDescent="0.35">
      <c r="B191">
        <v>1.6325700000000001</v>
      </c>
      <c r="C191">
        <v>-6.2530999999999999</v>
      </c>
      <c r="D191">
        <v>7.8856799999999998</v>
      </c>
      <c r="E191">
        <v>6.2899099999999999</v>
      </c>
      <c r="F191">
        <v>8.2928799999999997E-4</v>
      </c>
      <c r="G191">
        <v>2.8919999999999999</v>
      </c>
    </row>
    <row r="192" spans="1:7" x14ac:dyDescent="0.35">
      <c r="A192" t="s">
        <v>204</v>
      </c>
    </row>
    <row r="193" spans="1:7" x14ac:dyDescent="0.35">
      <c r="A193" t="s">
        <v>203</v>
      </c>
      <c r="B193">
        <v>0</v>
      </c>
      <c r="C193">
        <v>-2.2644000000000002</v>
      </c>
      <c r="D193">
        <v>2.2644000000000002</v>
      </c>
      <c r="E193">
        <v>9.4016300000000008</v>
      </c>
      <c r="F193">
        <v>7.30643E-4</v>
      </c>
      <c r="G193">
        <v>2.0621</v>
      </c>
    </row>
    <row r="194" spans="1:7" x14ac:dyDescent="0.35">
      <c r="B194">
        <v>0</v>
      </c>
      <c r="C194">
        <v>-2.26498</v>
      </c>
      <c r="D194">
        <v>2.26498</v>
      </c>
      <c r="E194">
        <v>9.2763600000000004</v>
      </c>
      <c r="F194">
        <v>7.1992300000000003E-4</v>
      </c>
      <c r="G194">
        <v>2.0472199999999998</v>
      </c>
    </row>
    <row r="195" spans="1:7" x14ac:dyDescent="0.35">
      <c r="B195">
        <v>0</v>
      </c>
      <c r="C195">
        <v>-2.2658299999999998</v>
      </c>
      <c r="D195">
        <v>2.2658299999999998</v>
      </c>
      <c r="E195">
        <v>9.0923200000000008</v>
      </c>
      <c r="F195">
        <v>7.0549700000000003E-4</v>
      </c>
      <c r="G195">
        <v>2.02549</v>
      </c>
    </row>
    <row r="196" spans="1:7" x14ac:dyDescent="0.35">
      <c r="B196">
        <v>0</v>
      </c>
      <c r="C196">
        <v>-2.2671000000000001</v>
      </c>
      <c r="D196">
        <v>2.2671000000000001</v>
      </c>
      <c r="E196">
        <v>8.8077500000000004</v>
      </c>
      <c r="F196">
        <v>7.0805599999999998E-4</v>
      </c>
      <c r="G196">
        <v>1.9922800000000001</v>
      </c>
    </row>
    <row r="197" spans="1:7" x14ac:dyDescent="0.35">
      <c r="B197">
        <v>0</v>
      </c>
      <c r="C197">
        <v>-2.26919</v>
      </c>
      <c r="D197">
        <v>2.26919</v>
      </c>
      <c r="E197">
        <v>8.3541600000000003</v>
      </c>
      <c r="F197">
        <v>7.0934600000000002E-4</v>
      </c>
      <c r="G197">
        <v>1.94025</v>
      </c>
    </row>
    <row r="198" spans="1:7" x14ac:dyDescent="0.35">
      <c r="B198">
        <v>0</v>
      </c>
      <c r="C198">
        <v>-2.2730199999999998</v>
      </c>
      <c r="D198">
        <v>2.2730199999999998</v>
      </c>
      <c r="E198">
        <v>7.6022999999999996</v>
      </c>
      <c r="F198">
        <v>7.2128999999999997E-4</v>
      </c>
      <c r="G198">
        <v>1.8568</v>
      </c>
    </row>
    <row r="199" spans="1:7" x14ac:dyDescent="0.35">
      <c r="B199">
        <v>0</v>
      </c>
      <c r="C199">
        <v>-2.2820200000000002</v>
      </c>
      <c r="D199">
        <v>2.2820200000000002</v>
      </c>
      <c r="E199">
        <v>6.30959</v>
      </c>
      <c r="F199">
        <v>7.3709899999999996E-4</v>
      </c>
      <c r="G199">
        <v>1.7198100000000001</v>
      </c>
    </row>
    <row r="200" spans="1:7" x14ac:dyDescent="0.35">
      <c r="B200">
        <v>0</v>
      </c>
      <c r="C200">
        <v>-2.3269099999999998</v>
      </c>
      <c r="D200">
        <v>2.3269099999999998</v>
      </c>
      <c r="E200">
        <v>3.74322</v>
      </c>
      <c r="F200">
        <v>7.9367200000000004E-4</v>
      </c>
      <c r="G200">
        <v>1.4528700000000001</v>
      </c>
    </row>
  </sheetData>
  <mergeCells count="2">
    <mergeCell ref="A1:J1"/>
    <mergeCell ref="A65:J65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100kHz</vt:lpstr>
      <vt:lpstr>current &amp; voltage stress</vt:lpstr>
      <vt:lpstr>core and copper loss - N27</vt:lpstr>
      <vt:lpstr>transforme adhesive tapes</vt:lpstr>
      <vt:lpstr>current stress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Bayangos</dc:creator>
  <cp:lastModifiedBy>Arturo Bayangos</cp:lastModifiedBy>
  <dcterms:created xsi:type="dcterms:W3CDTF">2015-06-05T18:17:20Z</dcterms:created>
  <dcterms:modified xsi:type="dcterms:W3CDTF">2022-11-28T12:49:22Z</dcterms:modified>
</cp:coreProperties>
</file>