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jonathancohen/GreenPhilly/SWMMWise/"/>
    </mc:Choice>
  </mc:AlternateContent>
  <bookViews>
    <workbookView xWindow="-40" yWindow="460" windowWidth="28800" windowHeight="16300" tabRatio="500"/>
  </bookViews>
  <sheets>
    <sheet name="Sheet1" sheetId="1" r:id="rId1"/>
    <sheet name="Sheet2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9" i="1" l="1"/>
  <c r="M8" i="1"/>
  <c r="M7" i="1"/>
  <c r="M6" i="1"/>
  <c r="M5" i="1"/>
  <c r="Q9" i="1"/>
  <c r="Q8" i="1"/>
  <c r="Q7" i="1"/>
  <c r="Q6" i="1"/>
  <c r="Q5" i="1"/>
  <c r="U9" i="1"/>
  <c r="U8" i="1"/>
  <c r="U7" i="1"/>
  <c r="U6" i="1"/>
  <c r="U5" i="1"/>
  <c r="V9" i="1"/>
  <c r="J9" i="1"/>
  <c r="N9" i="1"/>
  <c r="R9" i="1"/>
  <c r="J8" i="1"/>
  <c r="N8" i="1"/>
  <c r="R8" i="1"/>
  <c r="J7" i="1"/>
  <c r="N7" i="1"/>
  <c r="R7" i="1"/>
  <c r="J6" i="1"/>
  <c r="N6" i="1"/>
  <c r="R6" i="1"/>
  <c r="R5" i="1"/>
  <c r="N5" i="1"/>
  <c r="J5" i="1"/>
  <c r="U4" i="1"/>
  <c r="Q4" i="1"/>
  <c r="M4" i="1"/>
  <c r="R4" i="1"/>
  <c r="N4" i="1"/>
  <c r="J4" i="1"/>
  <c r="V5" i="1"/>
  <c r="V4" i="1"/>
  <c r="W5" i="1"/>
  <c r="AB4" i="1"/>
  <c r="AB7" i="1"/>
  <c r="AC9" i="1"/>
  <c r="AA9" i="1"/>
  <c r="H9" i="1"/>
  <c r="H8" i="1"/>
  <c r="H7" i="1"/>
  <c r="H6" i="1"/>
  <c r="H5" i="1"/>
  <c r="H4" i="1"/>
  <c r="W4" i="1"/>
  <c r="V8" i="1"/>
  <c r="X9" i="1"/>
  <c r="AA8" i="1"/>
  <c r="AA7" i="1"/>
  <c r="AA6" i="1"/>
  <c r="AA5" i="1"/>
  <c r="AA4" i="1"/>
  <c r="V7" i="1"/>
  <c r="V6" i="1"/>
  <c r="AC8" i="1"/>
  <c r="X8" i="1"/>
  <c r="AC7" i="1"/>
  <c r="X7" i="1"/>
  <c r="AC6" i="1"/>
  <c r="X6" i="1"/>
  <c r="AC5" i="1"/>
  <c r="AC4" i="1"/>
  <c r="X5" i="1"/>
  <c r="X4" i="1"/>
</calcChain>
</file>

<file path=xl/sharedStrings.xml><?xml version="1.0" encoding="utf-8"?>
<sst xmlns="http://schemas.openxmlformats.org/spreadsheetml/2006/main" count="48" uniqueCount="30">
  <si>
    <t>Reports</t>
  </si>
  <si>
    <t>Year</t>
  </si>
  <si>
    <t>2008-2009</t>
  </si>
  <si>
    <t>2009-2010</t>
  </si>
  <si>
    <t>2010-2011</t>
  </si>
  <si>
    <t>2011-2012</t>
  </si>
  <si>
    <t>2012-2013</t>
  </si>
  <si>
    <t>2013-2014</t>
  </si>
  <si>
    <t>frequency</t>
  </si>
  <si>
    <t>duration (hrs)</t>
  </si>
  <si>
    <t xml:space="preserve">overflow volume  (ft^3) </t>
  </si>
  <si>
    <t>Annual Summary</t>
  </si>
  <si>
    <t>Typical year</t>
  </si>
  <si>
    <t xml:space="preserve">frequency </t>
  </si>
  <si>
    <t>overflow volume (MG)</t>
  </si>
  <si>
    <t>% capture</t>
  </si>
  <si>
    <t xml:space="preserve">ratio method (0.05) </t>
  </si>
  <si>
    <t xml:space="preserve">overflow volume (ft^3) </t>
  </si>
  <si>
    <t>total volume (ft^3)</t>
  </si>
  <si>
    <t>duration</t>
  </si>
  <si>
    <t>equivalency ratio</t>
  </si>
  <si>
    <t>ratio method (0.02)</t>
  </si>
  <si>
    <t>ratio method (0.07)</t>
  </si>
  <si>
    <t xml:space="preserve">Ratio methos with Python </t>
  </si>
  <si>
    <t>SWMM Results</t>
  </si>
  <si>
    <t>Oriface 9ft</t>
  </si>
  <si>
    <t>Oriface 11ft</t>
  </si>
  <si>
    <t>total volume ft^3</t>
  </si>
  <si>
    <t>overflow volume (ft^3 )</t>
  </si>
  <si>
    <t xml:space="preserve">these were converted to ft^ 3 from gal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</si>
</sst>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11" fontId="0" fillId="0" borderId="0" xfId="0" applyNumberFormat="1"/>
    <xf numFmtId="0" fontId="1" fillId="0" borderId="0" xfId="0" applyFont="1" applyFill="1"/>
    <xf numFmtId="0" fontId="0" fillId="0" borderId="0" xfId="0" applyNumberFormat="1"/>
    <xf numFmtId="0" fontId="0" fillId="0" borderId="0" xfId="0" applyAlignment="1">
      <alignment textRotation="135"/>
    </xf>
    <xf numFmtId="0" fontId="1" fillId="0" borderId="0" xfId="0" applyFont="1" applyAlignment="1">
      <alignment textRotation="135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9"/>
  <sheetViews>
    <sheetView tabSelected="1" showRuler="0" topLeftCell="AF1" workbookViewId="0">
      <selection activeCell="AB14" sqref="AB14"/>
    </sheetView>
  </sheetViews>
  <sheetFormatPr baseColWidth="10" defaultRowHeight="16" x14ac:dyDescent="0.2"/>
  <cols>
    <col min="1" max="1" width="16" customWidth="1"/>
    <col min="3" max="3" width="11" customWidth="1"/>
    <col min="4" max="4" width="9.83203125" customWidth="1"/>
    <col min="10" max="10" width="22.33203125" customWidth="1"/>
    <col min="14" max="14" width="17.6640625" customWidth="1"/>
    <col min="18" max="18" width="18.33203125" customWidth="1"/>
    <col min="21" max="21" width="15.83203125" customWidth="1"/>
    <col min="22" max="22" width="14.33203125" customWidth="1"/>
    <col min="23" max="23" width="18.5" customWidth="1"/>
    <col min="32" max="32" width="21.83203125" customWidth="1"/>
  </cols>
  <sheetData>
    <row r="1" spans="1:41" x14ac:dyDescent="0.2">
      <c r="A1" s="3" t="s">
        <v>0</v>
      </c>
      <c r="J1" s="3" t="s">
        <v>23</v>
      </c>
      <c r="V1" s="3" t="s">
        <v>24</v>
      </c>
      <c r="W1" t="s">
        <v>29</v>
      </c>
      <c r="AF1" s="5"/>
    </row>
    <row r="2" spans="1:41" x14ac:dyDescent="0.2">
      <c r="A2" s="2" t="s">
        <v>11</v>
      </c>
      <c r="E2" s="2" t="s">
        <v>12</v>
      </c>
      <c r="J2" s="2" t="s">
        <v>16</v>
      </c>
      <c r="N2" s="2" t="s">
        <v>21</v>
      </c>
      <c r="R2" s="2" t="s">
        <v>22</v>
      </c>
      <c r="V2" s="2" t="s">
        <v>25</v>
      </c>
      <c r="AA2" s="2" t="s">
        <v>26</v>
      </c>
      <c r="AF2" s="5"/>
      <c r="AK2" s="5"/>
    </row>
    <row r="3" spans="1:41" x14ac:dyDescent="0.2">
      <c r="A3" s="1" t="s">
        <v>1</v>
      </c>
      <c r="B3" s="1" t="s">
        <v>8</v>
      </c>
      <c r="C3" s="1" t="s">
        <v>9</v>
      </c>
      <c r="D3" s="1" t="s">
        <v>10</v>
      </c>
      <c r="E3" s="1" t="s">
        <v>13</v>
      </c>
      <c r="F3" s="1" t="s">
        <v>9</v>
      </c>
      <c r="G3" s="1" t="s">
        <v>14</v>
      </c>
      <c r="H3" s="1" t="s">
        <v>17</v>
      </c>
      <c r="I3" s="1" t="s">
        <v>15</v>
      </c>
      <c r="J3" s="1" t="s">
        <v>18</v>
      </c>
      <c r="K3" s="1" t="s">
        <v>17</v>
      </c>
      <c r="L3" s="1" t="s">
        <v>19</v>
      </c>
      <c r="M3" s="1" t="s">
        <v>20</v>
      </c>
      <c r="N3" s="1" t="s">
        <v>18</v>
      </c>
      <c r="O3" s="1" t="s">
        <v>17</v>
      </c>
      <c r="P3" s="1" t="s">
        <v>19</v>
      </c>
      <c r="Q3" s="1" t="s">
        <v>20</v>
      </c>
      <c r="R3" s="1" t="s">
        <v>18</v>
      </c>
      <c r="S3" s="1" t="s">
        <v>17</v>
      </c>
      <c r="T3" s="1" t="s">
        <v>19</v>
      </c>
      <c r="U3" s="1" t="s">
        <v>20</v>
      </c>
      <c r="V3" s="1" t="s">
        <v>27</v>
      </c>
      <c r="W3" s="1" t="s">
        <v>28</v>
      </c>
      <c r="X3" s="1" t="s">
        <v>20</v>
      </c>
      <c r="Y3" s="1" t="s">
        <v>19</v>
      </c>
      <c r="Z3" s="1" t="s">
        <v>8</v>
      </c>
      <c r="AA3" s="1" t="s">
        <v>18</v>
      </c>
      <c r="AB3" s="1" t="s">
        <v>17</v>
      </c>
      <c r="AC3" s="1" t="s">
        <v>20</v>
      </c>
      <c r="AD3" s="1" t="s">
        <v>19</v>
      </c>
      <c r="AE3" s="1" t="s">
        <v>8</v>
      </c>
      <c r="AF3" s="1"/>
      <c r="AG3" s="1"/>
      <c r="AH3" s="1"/>
      <c r="AI3" s="1"/>
      <c r="AJ3" s="1"/>
      <c r="AK3" s="1"/>
      <c r="AL3" s="1"/>
      <c r="AM3" s="1"/>
      <c r="AN3" s="1"/>
      <c r="AO3" s="1"/>
    </row>
    <row r="4" spans="1:41" x14ac:dyDescent="0.2">
      <c r="A4" t="s">
        <v>2</v>
      </c>
      <c r="B4">
        <v>54</v>
      </c>
      <c r="C4">
        <v>825.75</v>
      </c>
      <c r="D4" s="4">
        <v>140576581</v>
      </c>
      <c r="E4">
        <v>63</v>
      </c>
      <c r="F4">
        <v>280</v>
      </c>
      <c r="G4">
        <v>1179.54</v>
      </c>
      <c r="H4" s="4">
        <f>G4*0.133681*10^6</f>
        <v>157682086.73999998</v>
      </c>
      <c r="I4">
        <v>66.459999999999994</v>
      </c>
      <c r="J4" s="4">
        <f>2570000000*0.133681</f>
        <v>343560170</v>
      </c>
      <c r="K4" s="4">
        <v>224106181</v>
      </c>
      <c r="L4">
        <v>135</v>
      </c>
      <c r="M4" s="6">
        <f>K4/J4</f>
        <v>0.65230547825145158</v>
      </c>
      <c r="N4" s="4">
        <f>2570000000*0.133681</f>
        <v>343560170</v>
      </c>
      <c r="O4" s="4">
        <v>153824638</v>
      </c>
      <c r="P4">
        <v>312</v>
      </c>
      <c r="Q4" s="6">
        <f>O4/N4</f>
        <v>0.44773711108595621</v>
      </c>
      <c r="R4" s="4">
        <f>2570000000*0.133681</f>
        <v>343560170</v>
      </c>
      <c r="S4" s="4">
        <v>128443030</v>
      </c>
      <c r="T4">
        <v>94</v>
      </c>
      <c r="U4" s="6">
        <f>S4/R4</f>
        <v>0.37385890803348942</v>
      </c>
      <c r="V4" s="4">
        <f>2570000000* 0.133681</f>
        <v>343560170</v>
      </c>
      <c r="W4" s="4">
        <f>920000000*0.133681</f>
        <v>122986520</v>
      </c>
      <c r="X4" s="6">
        <f>W4/V4</f>
        <v>0.35797665369649806</v>
      </c>
      <c r="Y4" s="6">
        <v>232.8</v>
      </c>
      <c r="Z4" s="6">
        <v>72</v>
      </c>
      <c r="AA4" s="4">
        <f>2570000000*0.133681</f>
        <v>343560170</v>
      </c>
      <c r="AB4" s="4">
        <f>103000000</f>
        <v>103000000</v>
      </c>
      <c r="AC4" s="6">
        <f>AB4/AA4</f>
        <v>0.29980192407053474</v>
      </c>
      <c r="AD4">
        <v>211.3</v>
      </c>
      <c r="AE4">
        <v>72</v>
      </c>
      <c r="AF4" s="4"/>
      <c r="AG4" s="4"/>
      <c r="AH4" s="6"/>
      <c r="AI4" s="6"/>
      <c r="AJ4" s="6"/>
      <c r="AK4" s="4"/>
      <c r="AL4" s="4"/>
      <c r="AM4" s="6"/>
    </row>
    <row r="5" spans="1:41" x14ac:dyDescent="0.2">
      <c r="A5" t="s">
        <v>3</v>
      </c>
      <c r="B5">
        <v>57</v>
      </c>
      <c r="C5">
        <v>268</v>
      </c>
      <c r="D5" s="4">
        <v>243000000</v>
      </c>
      <c r="E5">
        <v>62</v>
      </c>
      <c r="F5">
        <v>232.75</v>
      </c>
      <c r="G5">
        <v>1155.82</v>
      </c>
      <c r="H5" s="4">
        <f>G5*0.133681*10^6</f>
        <v>154511173.41999999</v>
      </c>
      <c r="I5">
        <v>65.930000000000007</v>
      </c>
      <c r="J5" s="4">
        <f>4540000000* 0.133681</f>
        <v>606911740</v>
      </c>
      <c r="K5" s="4">
        <v>343951545</v>
      </c>
      <c r="L5">
        <v>228</v>
      </c>
      <c r="M5" s="6">
        <f t="shared" ref="M5:M10" si="0">K5/J5</f>
        <v>0.5667241582771162</v>
      </c>
      <c r="N5" s="4">
        <f>4540000000* 0.133681</f>
        <v>606911740</v>
      </c>
      <c r="O5" s="4">
        <v>449400080</v>
      </c>
      <c r="P5">
        <v>449</v>
      </c>
      <c r="Q5" s="6">
        <f t="shared" ref="Q5:Q10" si="1">O5/N5</f>
        <v>0.74047023707269199</v>
      </c>
      <c r="R5" s="4">
        <f>4540000000* 0.133681</f>
        <v>606911740</v>
      </c>
      <c r="S5" s="4">
        <v>299179246</v>
      </c>
      <c r="T5">
        <v>174</v>
      </c>
      <c r="U5" s="6">
        <f t="shared" ref="U5:U10" si="2">S5/R5</f>
        <v>0.49295346634751208</v>
      </c>
      <c r="V5" s="4">
        <f>4540000000* 0.133681</f>
        <v>606911740</v>
      </c>
      <c r="W5" s="4">
        <f>253000000</f>
        <v>253000000</v>
      </c>
      <c r="X5" s="6">
        <f>W5/V5</f>
        <v>0.41686456749048884</v>
      </c>
      <c r="Y5" s="6">
        <v>389.6</v>
      </c>
      <c r="Z5" s="6">
        <v>82</v>
      </c>
      <c r="AA5" s="4">
        <f>4530000000*0.133681</f>
        <v>605574930</v>
      </c>
      <c r="AB5" s="4">
        <v>209000000</v>
      </c>
      <c r="AC5" s="6">
        <f>AB5/AA5</f>
        <v>0.34512657252835749</v>
      </c>
      <c r="AD5">
        <v>363.4</v>
      </c>
      <c r="AE5">
        <v>79</v>
      </c>
      <c r="AF5" s="4"/>
      <c r="AG5" s="4"/>
      <c r="AH5" s="6"/>
      <c r="AI5" s="6"/>
      <c r="AJ5" s="6"/>
      <c r="AK5" s="4"/>
      <c r="AL5" s="4"/>
      <c r="AM5" s="6"/>
    </row>
    <row r="6" spans="1:41" x14ac:dyDescent="0.2">
      <c r="A6" t="s">
        <v>4</v>
      </c>
      <c r="B6">
        <v>30</v>
      </c>
      <c r="C6">
        <v>111.25</v>
      </c>
      <c r="D6" s="4">
        <v>83913463</v>
      </c>
      <c r="E6">
        <v>62</v>
      </c>
      <c r="F6">
        <v>232.75</v>
      </c>
      <c r="G6">
        <v>1155.82</v>
      </c>
      <c r="H6" s="4">
        <f>G6*0.133681*10^6</f>
        <v>154511173.41999999</v>
      </c>
      <c r="I6">
        <v>65.930000000000007</v>
      </c>
      <c r="J6" s="4">
        <f>2880000000* 0.133681</f>
        <v>385001280</v>
      </c>
      <c r="K6" s="4">
        <v>192357192</v>
      </c>
      <c r="L6">
        <v>160</v>
      </c>
      <c r="M6" s="6">
        <f t="shared" si="0"/>
        <v>0.49962740903095182</v>
      </c>
      <c r="N6" s="4">
        <f>2880000000* 0.133681</f>
        <v>385001280</v>
      </c>
      <c r="O6" s="4">
        <v>270211872</v>
      </c>
      <c r="P6">
        <v>323</v>
      </c>
      <c r="Q6" s="6">
        <f t="shared" si="1"/>
        <v>0.70184668476946366</v>
      </c>
      <c r="R6" s="4">
        <f>2880000000* 0.133681</f>
        <v>385001280</v>
      </c>
      <c r="S6" s="4">
        <v>162671497</v>
      </c>
      <c r="T6">
        <v>111</v>
      </c>
      <c r="U6" s="6">
        <f t="shared" si="2"/>
        <v>0.42252196408282072</v>
      </c>
      <c r="V6" s="4">
        <f>2880000000* 0.133681</f>
        <v>385001280</v>
      </c>
      <c r="W6" s="4">
        <v>148000000</v>
      </c>
      <c r="X6" s="6">
        <f>W6/V6</f>
        <v>0.38441430636282559</v>
      </c>
      <c r="Y6" s="6">
        <v>225.9</v>
      </c>
      <c r="Z6" s="6">
        <v>75</v>
      </c>
      <c r="AA6" s="4">
        <f>2880000000*0.133681</f>
        <v>385001280</v>
      </c>
      <c r="AB6" s="4">
        <v>123000000</v>
      </c>
      <c r="AC6" s="6">
        <f>AB6/AA6</f>
        <v>0.31947945731505101</v>
      </c>
      <c r="AD6" s="6">
        <v>208.8</v>
      </c>
      <c r="AE6">
        <v>72</v>
      </c>
      <c r="AF6" s="4"/>
      <c r="AG6" s="4"/>
      <c r="AH6" s="6"/>
      <c r="AI6" s="6"/>
      <c r="AJ6" s="6"/>
      <c r="AK6" s="4"/>
      <c r="AL6" s="4"/>
      <c r="AM6" s="6"/>
      <c r="AN6" s="6"/>
    </row>
    <row r="7" spans="1:41" x14ac:dyDescent="0.2">
      <c r="A7" t="s">
        <v>5</v>
      </c>
      <c r="B7">
        <v>68</v>
      </c>
      <c r="C7">
        <v>271</v>
      </c>
      <c r="D7" s="4">
        <v>402000000</v>
      </c>
      <c r="E7">
        <v>62</v>
      </c>
      <c r="F7">
        <v>232.75</v>
      </c>
      <c r="G7">
        <v>1155.82</v>
      </c>
      <c r="H7" s="4">
        <f>G7*0.133681*10^6</f>
        <v>154511173.41999999</v>
      </c>
      <c r="I7">
        <v>65.930000000000007</v>
      </c>
      <c r="J7" s="4">
        <f>3170000000* 0.133681</f>
        <v>423768770</v>
      </c>
      <c r="K7" s="4">
        <v>268588929</v>
      </c>
      <c r="L7">
        <v>146</v>
      </c>
      <c r="M7" s="6">
        <f t="shared" si="0"/>
        <v>0.63381010592167986</v>
      </c>
      <c r="N7" s="4">
        <f>3170000000* 0.133681</f>
        <v>423768770</v>
      </c>
      <c r="O7" s="4">
        <v>332421615</v>
      </c>
      <c r="P7">
        <v>249</v>
      </c>
      <c r="Q7" s="6">
        <f t="shared" si="1"/>
        <v>0.78444104080628685</v>
      </c>
      <c r="R7" s="4">
        <f>3170000000* 0.133681</f>
        <v>423768770</v>
      </c>
      <c r="S7" s="4">
        <v>240050894</v>
      </c>
      <c r="T7">
        <v>113</v>
      </c>
      <c r="U7" s="6">
        <f t="shared" si="2"/>
        <v>0.56646669361689872</v>
      </c>
      <c r="V7" s="4">
        <f>3170000000* 0.133681</f>
        <v>423768770</v>
      </c>
      <c r="W7" s="4">
        <v>186000000</v>
      </c>
      <c r="X7" s="6">
        <f>W7/V7</f>
        <v>0.4389186112039356</v>
      </c>
      <c r="Y7" s="6">
        <v>233.6</v>
      </c>
      <c r="Z7" s="6">
        <v>66</v>
      </c>
      <c r="AA7" s="4">
        <f>3170000000*0.133681</f>
        <v>423768770</v>
      </c>
      <c r="AB7" s="4">
        <f>1160000000*0.133681</f>
        <v>155069960</v>
      </c>
      <c r="AC7" s="6">
        <f>AB7/AA7</f>
        <v>0.36593059936908517</v>
      </c>
      <c r="AD7" s="6">
        <v>218.9</v>
      </c>
      <c r="AE7">
        <v>64</v>
      </c>
      <c r="AF7" s="4"/>
      <c r="AG7" s="4"/>
      <c r="AH7" s="6"/>
      <c r="AI7" s="6"/>
      <c r="AJ7" s="6"/>
      <c r="AK7" s="4"/>
      <c r="AL7" s="4"/>
      <c r="AM7" s="6"/>
      <c r="AN7" s="6"/>
    </row>
    <row r="8" spans="1:41" x14ac:dyDescent="0.2">
      <c r="A8" t="s">
        <v>6</v>
      </c>
      <c r="B8">
        <v>64</v>
      </c>
      <c r="C8">
        <v>792</v>
      </c>
      <c r="D8" s="4">
        <v>208056093</v>
      </c>
      <c r="E8">
        <v>62</v>
      </c>
      <c r="F8">
        <v>233.5</v>
      </c>
      <c r="G8">
        <v>898.07</v>
      </c>
      <c r="H8" s="4">
        <f>G8*0.133681*10^6</f>
        <v>120054895.67</v>
      </c>
      <c r="I8">
        <v>71.92</v>
      </c>
      <c r="J8" s="4">
        <f>2450000000*0.133681</f>
        <v>327518450</v>
      </c>
      <c r="K8" s="4">
        <v>164014194</v>
      </c>
      <c r="L8">
        <v>132</v>
      </c>
      <c r="M8" s="6">
        <f t="shared" si="0"/>
        <v>0.50077848744093656</v>
      </c>
      <c r="N8" s="4">
        <f>2450000000*0.133681</f>
        <v>327518450</v>
      </c>
      <c r="O8" s="4">
        <v>226529675</v>
      </c>
      <c r="P8">
        <v>266</v>
      </c>
      <c r="Q8" s="6">
        <f t="shared" si="1"/>
        <v>0.69165469914748312</v>
      </c>
      <c r="R8" s="4">
        <f>2450000000*0.133681</f>
        <v>327518450</v>
      </c>
      <c r="S8" s="4">
        <v>138924307</v>
      </c>
      <c r="T8">
        <v>96</v>
      </c>
      <c r="U8" s="6">
        <f t="shared" si="2"/>
        <v>0.42417246112394585</v>
      </c>
      <c r="V8" s="4">
        <f>2450000000*0.133681</f>
        <v>327518450</v>
      </c>
      <c r="W8" s="4">
        <v>115000000</v>
      </c>
      <c r="X8" s="6">
        <f>W8/V8</f>
        <v>0.35112525721833382</v>
      </c>
      <c r="Y8" s="6">
        <v>225.1</v>
      </c>
      <c r="Z8" s="6">
        <v>74</v>
      </c>
      <c r="AA8" s="4">
        <f>2450000000*0.133681</f>
        <v>327518450</v>
      </c>
      <c r="AB8" s="4">
        <v>94000000</v>
      </c>
      <c r="AC8" s="6">
        <f>AB8/AA8</f>
        <v>0.28700673198715981</v>
      </c>
      <c r="AD8" s="6">
        <v>205.8</v>
      </c>
      <c r="AE8">
        <v>74</v>
      </c>
      <c r="AF8" s="4"/>
      <c r="AG8" s="4"/>
      <c r="AH8" s="6"/>
      <c r="AI8" s="6"/>
      <c r="AJ8" s="6"/>
      <c r="AK8" s="4"/>
      <c r="AL8" s="4"/>
      <c r="AM8" s="6"/>
    </row>
    <row r="9" spans="1:41" x14ac:dyDescent="0.2">
      <c r="A9" t="s">
        <v>7</v>
      </c>
      <c r="B9">
        <v>62</v>
      </c>
      <c r="C9">
        <v>235</v>
      </c>
      <c r="D9" s="4">
        <v>201666222</v>
      </c>
      <c r="E9">
        <v>62</v>
      </c>
      <c r="F9">
        <v>233.5</v>
      </c>
      <c r="G9">
        <v>898.07</v>
      </c>
      <c r="H9" s="4">
        <f>G9*0.133681*10^6</f>
        <v>120054895.67</v>
      </c>
      <c r="I9">
        <v>71.92</v>
      </c>
      <c r="J9" s="4">
        <f>2720000000*0.133681</f>
        <v>363612320</v>
      </c>
      <c r="K9" s="4">
        <v>190780057</v>
      </c>
      <c r="L9">
        <v>151</v>
      </c>
      <c r="M9" s="6">
        <f t="shared" si="0"/>
        <v>0.52467984858158823</v>
      </c>
      <c r="N9" s="4">
        <f>2720000000*0.133681</f>
        <v>363612320</v>
      </c>
      <c r="O9" s="4">
        <v>261184657</v>
      </c>
      <c r="P9">
        <v>298</v>
      </c>
      <c r="Q9" s="6">
        <f t="shared" si="1"/>
        <v>0.71830530109650848</v>
      </c>
      <c r="R9" s="4">
        <f>2720000000*0.133681</f>
        <v>363612320</v>
      </c>
      <c r="S9" s="4">
        <v>161916602</v>
      </c>
      <c r="T9">
        <v>111</v>
      </c>
      <c r="U9" s="6">
        <f t="shared" si="2"/>
        <v>0.44530009874252885</v>
      </c>
      <c r="V9" s="4">
        <f>2720000000*0.133681</f>
        <v>363612320</v>
      </c>
      <c r="W9" s="4">
        <v>138000000</v>
      </c>
      <c r="X9" s="6">
        <f>W9/V9</f>
        <v>0.37952509419922847</v>
      </c>
      <c r="Y9" s="6">
        <v>163.9</v>
      </c>
      <c r="Z9" s="6">
        <v>61</v>
      </c>
      <c r="AA9" s="4">
        <f>2730000000*0.133681</f>
        <v>364949130</v>
      </c>
      <c r="AB9" s="4">
        <v>114000000</v>
      </c>
      <c r="AC9" s="6">
        <f>AB9/AA9</f>
        <v>0.31237230240828356</v>
      </c>
      <c r="AD9" s="6">
        <v>154.69999999999999</v>
      </c>
      <c r="AE9">
        <v>62</v>
      </c>
    </row>
    <row r="10" spans="1:41" x14ac:dyDescent="0.2">
      <c r="D10" s="4"/>
      <c r="H10" s="4"/>
      <c r="J10" s="4"/>
      <c r="K10" s="4"/>
      <c r="M10" s="6"/>
      <c r="N10" s="4"/>
      <c r="O10" s="4"/>
      <c r="Q10" s="6"/>
      <c r="R10" s="4"/>
      <c r="S10" s="4"/>
      <c r="U10" s="6"/>
      <c r="V10" s="4"/>
      <c r="W10" s="4"/>
      <c r="X10" s="6"/>
      <c r="Y10" s="6"/>
      <c r="Z10" s="6"/>
      <c r="AA10" s="4"/>
      <c r="AB10" s="4"/>
      <c r="AC10" s="6"/>
      <c r="AD10" s="6"/>
      <c r="AE10" s="6"/>
    </row>
    <row r="11" spans="1:41" x14ac:dyDescent="0.2">
      <c r="A11" s="1"/>
      <c r="J11" s="5"/>
    </row>
    <row r="13" spans="1:41" x14ac:dyDescent="0.2">
      <c r="A13" s="7"/>
    </row>
    <row r="14" spans="1:41" x14ac:dyDescent="0.2">
      <c r="A14" s="7"/>
    </row>
    <row r="15" spans="1:41" x14ac:dyDescent="0.2">
      <c r="A15" s="7"/>
    </row>
    <row r="16" spans="1:41" x14ac:dyDescent="0.2">
      <c r="A16" s="7"/>
      <c r="AB16" s="4"/>
    </row>
    <row r="17" spans="1:10" x14ac:dyDescent="0.2">
      <c r="A17" s="7"/>
    </row>
    <row r="18" spans="1:10" x14ac:dyDescent="0.2">
      <c r="A18" s="7"/>
    </row>
    <row r="19" spans="1:10" x14ac:dyDescent="0.2">
      <c r="A19" s="8"/>
      <c r="J19" s="5"/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Ruler="0" workbookViewId="0"/>
  </sheetViews>
  <sheetFormatPr baseColWidth="10" defaultRowHeight="16" x14ac:dyDescent="0.2"/>
  <sheetData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2016-08-03T15:25:27Z</dcterms:created>
  <dcterms:modified xsi:type="dcterms:W3CDTF">2016-08-04T21:49:08Z</dcterms:modified>
</cp:coreProperties>
</file>