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160" yWindow="0" windowWidth="24080" windowHeight="10160" tabRatio="582" activeTab="1"/>
  </bookViews>
  <sheets>
    <sheet name="Metadata" sheetId="5" r:id="rId1"/>
    <sheet name="Raw Data" sheetId="2" r:id="rId2"/>
    <sheet name="Stomach Details" sheetId="3" r:id="rId3"/>
    <sheet name="Prey Details" sheetId="4" r:id="rId4"/>
    <sheet name="Electivity Indices" sheetId="6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" i="3"/>
  <c r="F4" i="3"/>
  <c r="F5" i="3"/>
  <c r="F6" i="3"/>
  <c r="F7" i="3"/>
  <c r="F8" i="3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" i="2"/>
  <c r="B26" i="3"/>
  <c r="C26" i="3"/>
  <c r="D26" i="3"/>
  <c r="E26" i="3"/>
  <c r="B27" i="3"/>
  <c r="C27" i="3"/>
  <c r="D27" i="3"/>
  <c r="E27" i="3"/>
  <c r="B28" i="3"/>
  <c r="C28" i="3"/>
  <c r="D28" i="3"/>
  <c r="E28" i="3"/>
  <c r="B23" i="3"/>
  <c r="C23" i="3"/>
  <c r="D23" i="3"/>
  <c r="E23" i="3"/>
  <c r="B24" i="3"/>
  <c r="C24" i="3"/>
  <c r="D24" i="3"/>
  <c r="E24" i="3"/>
  <c r="B25" i="3"/>
  <c r="C25" i="3"/>
  <c r="D25" i="3"/>
  <c r="E25" i="3"/>
  <c r="AD24" i="2"/>
  <c r="AF24" i="2"/>
  <c r="AD25" i="2"/>
  <c r="AF25" i="2"/>
  <c r="AD26" i="2"/>
  <c r="AF26" i="2"/>
  <c r="AD27" i="2"/>
  <c r="AF27" i="2"/>
  <c r="AD28" i="2"/>
  <c r="AF28" i="2"/>
  <c r="AC23" i="2"/>
  <c r="AC24" i="2"/>
  <c r="AC25" i="2"/>
  <c r="AC26" i="2"/>
  <c r="AC27" i="2"/>
  <c r="AC28" i="2"/>
  <c r="AA23" i="2"/>
  <c r="AA24" i="2"/>
  <c r="AA25" i="2"/>
  <c r="AA26" i="2"/>
  <c r="AA27" i="2"/>
  <c r="AA28" i="2"/>
  <c r="Y23" i="2"/>
  <c r="Y24" i="2"/>
  <c r="Y25" i="2"/>
  <c r="Y26" i="2"/>
  <c r="Y27" i="2"/>
  <c r="Y28" i="2"/>
  <c r="W23" i="2"/>
  <c r="W24" i="2"/>
  <c r="W25" i="2"/>
  <c r="W26" i="2"/>
  <c r="W27" i="2"/>
  <c r="W28" i="2"/>
  <c r="L23" i="2"/>
  <c r="F23" i="2"/>
  <c r="J23" i="2"/>
  <c r="F24" i="2"/>
  <c r="J24" i="2"/>
  <c r="F25" i="2"/>
  <c r="J25" i="2"/>
  <c r="B26" i="2"/>
  <c r="F26" i="2"/>
  <c r="J26" i="2"/>
  <c r="B27" i="2"/>
  <c r="F27" i="2"/>
  <c r="J27" i="2"/>
  <c r="B28" i="2"/>
  <c r="F28" i="2"/>
  <c r="J28" i="2"/>
  <c r="Q23" i="2"/>
  <c r="Q24" i="2"/>
  <c r="Q25" i="2"/>
  <c r="Q26" i="2"/>
  <c r="Q27" i="2"/>
  <c r="Q28" i="2"/>
  <c r="AD23" i="2"/>
  <c r="AE23" i="2"/>
  <c r="AF23" i="2"/>
  <c r="AE24" i="2"/>
  <c r="AE25" i="2"/>
  <c r="AE26" i="2"/>
  <c r="AE27" i="2"/>
  <c r="AE28" i="2"/>
  <c r="U23" i="2"/>
  <c r="U24" i="2"/>
  <c r="U25" i="2"/>
  <c r="U26" i="2"/>
  <c r="U27" i="2"/>
  <c r="U28" i="2"/>
  <c r="G23" i="2"/>
  <c r="G24" i="2"/>
  <c r="G25" i="2"/>
  <c r="G26" i="2"/>
  <c r="G27" i="2"/>
  <c r="G28" i="2"/>
  <c r="F21" i="2"/>
  <c r="F2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AD2" i="2"/>
  <c r="AF2" i="2"/>
  <c r="U3" i="2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E44" i="4"/>
  <c r="E43" i="4"/>
  <c r="E42" i="4"/>
  <c r="E41" i="4"/>
  <c r="E40" i="4"/>
  <c r="E39" i="4"/>
  <c r="E38" i="4"/>
  <c r="E37" i="4"/>
  <c r="E36" i="4"/>
  <c r="C43" i="4"/>
  <c r="D43" i="4"/>
  <c r="B41" i="4"/>
  <c r="B42" i="4"/>
  <c r="C41" i="4"/>
  <c r="C42" i="4"/>
  <c r="D41" i="4"/>
  <c r="D42" i="4"/>
  <c r="C40" i="4"/>
  <c r="D40" i="4"/>
  <c r="B43" i="4"/>
  <c r="B40" i="4"/>
  <c r="B37" i="4"/>
  <c r="B39" i="4"/>
  <c r="C37" i="4"/>
  <c r="C39" i="4"/>
  <c r="D37" i="4"/>
  <c r="D39" i="4"/>
  <c r="B38" i="4"/>
  <c r="C38" i="4"/>
  <c r="D38" i="4"/>
  <c r="C36" i="4"/>
  <c r="D36" i="4"/>
  <c r="B36" i="4"/>
  <c r="L20" i="2"/>
  <c r="L19" i="2"/>
  <c r="B22" i="3"/>
  <c r="C22" i="3"/>
  <c r="D22" i="3"/>
  <c r="E22" i="3"/>
  <c r="B21" i="3"/>
  <c r="C21" i="3"/>
  <c r="D21" i="3"/>
  <c r="E21" i="3"/>
  <c r="B18" i="3"/>
  <c r="C18" i="3"/>
  <c r="D18" i="3"/>
  <c r="E18" i="3"/>
  <c r="B19" i="3"/>
  <c r="C19" i="3"/>
  <c r="D19" i="3"/>
  <c r="E19" i="3"/>
  <c r="B20" i="3"/>
  <c r="C20" i="3"/>
  <c r="D20" i="3"/>
  <c r="E20" i="3"/>
  <c r="U22" i="2"/>
  <c r="U21" i="2"/>
  <c r="U20" i="2"/>
  <c r="U19" i="2"/>
  <c r="U18" i="2"/>
  <c r="G21" i="2"/>
  <c r="G22" i="2"/>
  <c r="J21" i="2"/>
  <c r="J22" i="2"/>
  <c r="L18" i="2"/>
  <c r="F19" i="2"/>
  <c r="J19" i="2"/>
  <c r="F20" i="2"/>
  <c r="J20" i="2"/>
  <c r="F15" i="2"/>
  <c r="F16" i="2"/>
  <c r="F17" i="2"/>
  <c r="F18" i="2"/>
  <c r="B15" i="3"/>
  <c r="C15" i="3"/>
  <c r="D15" i="3"/>
  <c r="E15" i="3"/>
  <c r="B16" i="3"/>
  <c r="C16" i="3"/>
  <c r="D16" i="3"/>
  <c r="E16" i="3"/>
  <c r="B17" i="3"/>
  <c r="C17" i="3"/>
  <c r="D17" i="3"/>
  <c r="E17" i="3"/>
  <c r="U17" i="2"/>
  <c r="U16" i="2"/>
  <c r="U15" i="2"/>
  <c r="L17" i="2"/>
  <c r="L16" i="2"/>
  <c r="L15" i="2"/>
  <c r="C35" i="4"/>
  <c r="D35" i="4"/>
  <c r="B35" i="4"/>
  <c r="B31" i="4"/>
  <c r="B32" i="4"/>
  <c r="B33" i="4"/>
  <c r="C31" i="4"/>
  <c r="C32" i="4"/>
  <c r="C33" i="4"/>
  <c r="D31" i="4"/>
  <c r="D32" i="4"/>
  <c r="D33" i="4"/>
  <c r="B34" i="4"/>
  <c r="C34" i="4"/>
  <c r="D34" i="4"/>
  <c r="F32" i="4"/>
  <c r="G32" i="4"/>
  <c r="H32" i="4"/>
  <c r="F33" i="4"/>
  <c r="G33" i="4"/>
  <c r="H33" i="4"/>
  <c r="F34" i="4"/>
  <c r="G34" i="4"/>
  <c r="H34" i="4"/>
  <c r="F35" i="4"/>
  <c r="G35" i="4"/>
  <c r="H35" i="4"/>
  <c r="H31" i="4"/>
  <c r="F31" i="4"/>
  <c r="G31" i="4"/>
  <c r="E35" i="4"/>
  <c r="E34" i="4"/>
  <c r="E33" i="4"/>
  <c r="E32" i="4"/>
  <c r="E31" i="4"/>
  <c r="U14" i="2"/>
  <c r="U13" i="2"/>
  <c r="U12" i="2"/>
  <c r="B12" i="3"/>
  <c r="C12" i="3"/>
  <c r="D12" i="3"/>
  <c r="E12" i="3"/>
  <c r="B13" i="3"/>
  <c r="C13" i="3"/>
  <c r="D13" i="3"/>
  <c r="E13" i="3"/>
  <c r="B14" i="3"/>
  <c r="C14" i="3"/>
  <c r="D14" i="3"/>
  <c r="E14" i="3"/>
  <c r="B11" i="3"/>
  <c r="C11" i="3"/>
  <c r="D11" i="3"/>
  <c r="E11" i="3"/>
  <c r="B10" i="3"/>
  <c r="C10" i="3"/>
  <c r="D10" i="3"/>
  <c r="E10" i="3"/>
  <c r="L14" i="2"/>
  <c r="L13" i="2"/>
  <c r="L12" i="2"/>
  <c r="J17" i="2"/>
  <c r="J18" i="2"/>
  <c r="B28" i="4"/>
  <c r="B29" i="4"/>
  <c r="B30" i="4"/>
  <c r="C28" i="4"/>
  <c r="C29" i="4"/>
  <c r="C30" i="4"/>
  <c r="D28" i="4"/>
  <c r="D29" i="4"/>
  <c r="D30" i="4"/>
  <c r="F28" i="4"/>
  <c r="G28" i="4"/>
  <c r="H28" i="4"/>
  <c r="F29" i="4"/>
  <c r="G29" i="4"/>
  <c r="H29" i="4"/>
  <c r="F30" i="4"/>
  <c r="G30" i="4"/>
  <c r="H30" i="4"/>
  <c r="E30" i="4"/>
  <c r="E29" i="4"/>
  <c r="E28" i="4"/>
  <c r="D7" i="3"/>
  <c r="D8" i="3"/>
  <c r="D9" i="3"/>
  <c r="C7" i="3"/>
  <c r="C8" i="3"/>
  <c r="C9" i="3"/>
  <c r="B7" i="3"/>
  <c r="B8" i="3"/>
  <c r="B9" i="3"/>
  <c r="U11" i="2"/>
  <c r="U10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C25" i="4"/>
  <c r="C26" i="4"/>
  <c r="C27" i="4"/>
  <c r="D25" i="4"/>
  <c r="D26" i="4"/>
  <c r="D27" i="4"/>
  <c r="C23" i="4"/>
  <c r="C24" i="4"/>
  <c r="D23" i="4"/>
  <c r="D24" i="4"/>
  <c r="C15" i="4"/>
  <c r="C16" i="4"/>
  <c r="C17" i="4"/>
  <c r="D15" i="4"/>
  <c r="D16" i="4"/>
  <c r="D17" i="4"/>
  <c r="C18" i="4"/>
  <c r="D18" i="4"/>
  <c r="C19" i="4"/>
  <c r="D19" i="4"/>
  <c r="C20" i="4"/>
  <c r="D20" i="4"/>
  <c r="C21" i="4"/>
  <c r="D21" i="4"/>
  <c r="C22" i="4"/>
  <c r="D22" i="4"/>
  <c r="C13" i="4"/>
  <c r="C14" i="4"/>
  <c r="D13" i="4"/>
  <c r="D14" i="4"/>
  <c r="C10" i="4"/>
  <c r="C11" i="4"/>
  <c r="C12" i="4"/>
  <c r="D10" i="4"/>
  <c r="D11" i="4"/>
  <c r="D12" i="4"/>
  <c r="C8" i="4"/>
  <c r="C9" i="4"/>
  <c r="D8" i="4"/>
  <c r="D9" i="4"/>
  <c r="C2" i="4"/>
  <c r="C3" i="4"/>
  <c r="C4" i="4"/>
  <c r="D2" i="4"/>
  <c r="D3" i="4"/>
  <c r="D4" i="4"/>
  <c r="C5" i="4"/>
  <c r="D5" i="4"/>
  <c r="C6" i="4"/>
  <c r="D6" i="4"/>
  <c r="D7" i="4"/>
  <c r="C7" i="4"/>
  <c r="F2" i="4"/>
  <c r="G2" i="4"/>
  <c r="H2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E22" i="4"/>
  <c r="E21" i="4"/>
  <c r="E20" i="4"/>
  <c r="E19" i="4"/>
  <c r="E18" i="4"/>
  <c r="E17" i="4"/>
  <c r="E16" i="4"/>
  <c r="E15" i="4"/>
  <c r="E24" i="4"/>
  <c r="E23" i="4"/>
  <c r="E27" i="4"/>
  <c r="E26" i="4"/>
  <c r="E2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L11" i="2"/>
  <c r="L10" i="2"/>
  <c r="F13" i="2"/>
  <c r="F14" i="2"/>
  <c r="F12" i="2"/>
  <c r="E8" i="3"/>
  <c r="E9" i="3"/>
  <c r="U9" i="2"/>
  <c r="U8" i="2"/>
  <c r="F8" i="2"/>
  <c r="J8" i="2"/>
  <c r="F9" i="2"/>
  <c r="J9" i="2"/>
  <c r="B10" i="2"/>
  <c r="F10" i="2"/>
  <c r="J10" i="2"/>
  <c r="F11" i="2"/>
  <c r="J11" i="2"/>
  <c r="J12" i="2"/>
  <c r="J13" i="2"/>
  <c r="J14" i="2"/>
  <c r="J15" i="2"/>
  <c r="J16" i="2"/>
  <c r="B5" i="2"/>
  <c r="J5" i="2"/>
  <c r="B6" i="2"/>
  <c r="J6" i="2"/>
  <c r="B7" i="2"/>
  <c r="J7" i="2"/>
  <c r="L8" i="2"/>
  <c r="G13" i="2"/>
  <c r="G14" i="2"/>
  <c r="G15" i="2"/>
  <c r="G16" i="2"/>
  <c r="G17" i="2"/>
  <c r="G18" i="2"/>
  <c r="G19" i="2"/>
  <c r="G20" i="2"/>
  <c r="G9" i="2"/>
  <c r="G10" i="2"/>
  <c r="G11" i="2"/>
  <c r="G1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F7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F2" i="3"/>
  <c r="AE2" i="2"/>
  <c r="B5" i="3"/>
  <c r="C5" i="3"/>
  <c r="D5" i="3"/>
  <c r="E5" i="3"/>
  <c r="B6" i="3"/>
  <c r="C6" i="3"/>
  <c r="D6" i="3"/>
  <c r="E6" i="3"/>
  <c r="E7" i="3"/>
  <c r="AF3" i="2"/>
  <c r="AF4" i="2"/>
  <c r="AF5" i="2"/>
  <c r="AF6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U5" i="2"/>
  <c r="U6" i="2"/>
  <c r="U7" i="2"/>
  <c r="L7" i="2"/>
  <c r="L6" i="2"/>
  <c r="L5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G8" i="2"/>
  <c r="G5" i="2"/>
  <c r="G6" i="2"/>
  <c r="G7" i="2"/>
  <c r="B3" i="3"/>
  <c r="C3" i="3"/>
  <c r="D3" i="3"/>
  <c r="E3" i="3"/>
  <c r="B4" i="3"/>
  <c r="C4" i="3"/>
  <c r="D4" i="3"/>
  <c r="E4" i="3"/>
  <c r="B2" i="3"/>
  <c r="C2" i="3"/>
  <c r="D2" i="3"/>
  <c r="E2" i="3"/>
  <c r="AC3" i="2"/>
  <c r="AC4" i="2"/>
  <c r="AC2" i="2"/>
  <c r="AA3" i="2"/>
  <c r="AA4" i="2"/>
  <c r="AA2" i="2"/>
  <c r="Y3" i="2"/>
  <c r="Y4" i="2"/>
  <c r="Y2" i="2"/>
  <c r="W3" i="2"/>
  <c r="W4" i="2"/>
  <c r="W2" i="2"/>
  <c r="U4" i="2"/>
  <c r="U2" i="2"/>
  <c r="G3" i="2"/>
  <c r="G4" i="2"/>
  <c r="G2" i="2"/>
  <c r="J3" i="2"/>
  <c r="J4" i="2"/>
  <c r="J2" i="2"/>
</calcChain>
</file>

<file path=xl/sharedStrings.xml><?xml version="1.0" encoding="utf-8"?>
<sst xmlns="http://schemas.openxmlformats.org/spreadsheetml/2006/main" count="318" uniqueCount="148">
  <si>
    <t>Sample No.</t>
  </si>
  <si>
    <t>Date captured</t>
  </si>
  <si>
    <t>Time captured</t>
  </si>
  <si>
    <t>Depth captured (m)</t>
  </si>
  <si>
    <t>Quarantine No.</t>
  </si>
  <si>
    <t>Date trial</t>
  </si>
  <si>
    <t>Julian Date</t>
  </si>
  <si>
    <t>Start time trial</t>
  </si>
  <si>
    <t>End time trial</t>
  </si>
  <si>
    <t>Starvation time (hours)</t>
  </si>
  <si>
    <t>Moon cycle</t>
  </si>
  <si>
    <t>Cloud cover</t>
  </si>
  <si>
    <t>Current</t>
  </si>
  <si>
    <t>Sunset time</t>
  </si>
  <si>
    <t>Enclosure No.</t>
  </si>
  <si>
    <t>Sex</t>
  </si>
  <si>
    <t>Lionfish size (S/L)</t>
  </si>
  <si>
    <t>Lionfish total length</t>
  </si>
  <si>
    <t>Lionfish standard length</t>
  </si>
  <si>
    <t>Lionfish Wet Weight</t>
  </si>
  <si>
    <t>Body Condition</t>
  </si>
  <si>
    <t>Number chromis consumed</t>
  </si>
  <si>
    <t>Proportion chromis consumed</t>
  </si>
  <si>
    <t>Number wrasse consumed</t>
  </si>
  <si>
    <t>Proportion wrasse consumed</t>
  </si>
  <si>
    <t>Number goby consumed</t>
  </si>
  <si>
    <t>Proportion goby consumed</t>
  </si>
  <si>
    <t>Proportion total fish consumed</t>
  </si>
  <si>
    <t>Estimated total biomass consumed (g)</t>
  </si>
  <si>
    <t>Comments</t>
  </si>
  <si>
    <t>Med</t>
  </si>
  <si>
    <t>Waning Gibbous</t>
  </si>
  <si>
    <t>F</t>
  </si>
  <si>
    <t>M</t>
  </si>
  <si>
    <t>Total fish consumed</t>
  </si>
  <si>
    <t>Species 1</t>
  </si>
  <si>
    <t>Total Length 1</t>
  </si>
  <si>
    <t>Standard Length 1</t>
  </si>
  <si>
    <t>Species 2</t>
  </si>
  <si>
    <t>Total Length 2</t>
  </si>
  <si>
    <t>Standard Length 2</t>
  </si>
  <si>
    <t>Species 3</t>
  </si>
  <si>
    <t>Total Length 3</t>
  </si>
  <si>
    <t>Standard Length 3</t>
  </si>
  <si>
    <t>Biomass consumed</t>
  </si>
  <si>
    <t>Chromis multilineata</t>
  </si>
  <si>
    <t>Digestion 1</t>
  </si>
  <si>
    <t>Digestion 2</t>
  </si>
  <si>
    <t>Digestion 3</t>
  </si>
  <si>
    <t>Species 4</t>
  </si>
  <si>
    <t>Digestion 4</t>
  </si>
  <si>
    <t>Total Length 4</t>
  </si>
  <si>
    <t>Standard Length 4</t>
  </si>
  <si>
    <t>Species 5</t>
  </si>
  <si>
    <t>Digestion 5</t>
  </si>
  <si>
    <t>Total Length 5</t>
  </si>
  <si>
    <t>Standard Length 5</t>
  </si>
  <si>
    <t>Coryphopterus personatus/hyalinus</t>
  </si>
  <si>
    <t>Thalassoma bifasciatum</t>
  </si>
  <si>
    <t>Third Quarter</t>
  </si>
  <si>
    <t>U</t>
  </si>
  <si>
    <t>Proportion of body weight consumed</t>
  </si>
  <si>
    <t>Species 6</t>
  </si>
  <si>
    <t>Digestion 6</t>
  </si>
  <si>
    <t>Total Length 6</t>
  </si>
  <si>
    <t>Standard Length 6</t>
  </si>
  <si>
    <t>Species 7</t>
  </si>
  <si>
    <t>Digestion 7</t>
  </si>
  <si>
    <t>Total Length 7</t>
  </si>
  <si>
    <t>Standard Length 7</t>
  </si>
  <si>
    <t>Species 8</t>
  </si>
  <si>
    <t>Digestion 8</t>
  </si>
  <si>
    <t>Total Length 8</t>
  </si>
  <si>
    <t>Standard Length 8</t>
  </si>
  <si>
    <t>Actual biomass consumed (g)</t>
  </si>
  <si>
    <t>Low</t>
  </si>
  <si>
    <t>Waning Crescent</t>
  </si>
  <si>
    <t>New</t>
  </si>
  <si>
    <t>Waxing Crescent</t>
  </si>
  <si>
    <t>Waxing Gibbous</t>
  </si>
  <si>
    <t>Sample No</t>
  </si>
  <si>
    <t>Prey species</t>
  </si>
  <si>
    <t>Digestion</t>
  </si>
  <si>
    <t>Total length</t>
  </si>
  <si>
    <t>Standard length</t>
  </si>
  <si>
    <t>Lionfish size</t>
  </si>
  <si>
    <t>High</t>
  </si>
  <si>
    <t>Also ate 2 spray crabs</t>
  </si>
  <si>
    <t>Also ate 2 shrimp and 1 crab</t>
  </si>
  <si>
    <t>Slippery dick enc.</t>
  </si>
  <si>
    <t>juv. surgeonfish quar.</t>
  </si>
  <si>
    <t>L</t>
  </si>
  <si>
    <t>Raw Data</t>
  </si>
  <si>
    <t>Each row represents one individual lionfish</t>
  </si>
  <si>
    <t>Stomach Details</t>
  </si>
  <si>
    <r>
      <t xml:space="preserve">Amount of digestion of consumed prey item; </t>
    </r>
    <r>
      <rPr>
        <b/>
        <sz val="12"/>
        <color theme="1"/>
        <rFont val="Calibri"/>
        <family val="2"/>
        <scheme val="minor"/>
      </rPr>
      <t xml:space="preserve">1: </t>
    </r>
    <r>
      <rPr>
        <sz val="12"/>
        <color theme="1"/>
        <rFont val="Calibri"/>
        <family val="2"/>
        <scheme val="minor"/>
      </rPr>
      <t>No digestion (full fish)</t>
    </r>
    <r>
      <rPr>
        <b/>
        <sz val="12"/>
        <color theme="1"/>
        <rFont val="Calibri"/>
        <family val="2"/>
        <scheme val="minor"/>
      </rPr>
      <t xml:space="preserve"> 2:</t>
    </r>
    <r>
      <rPr>
        <sz val="12"/>
        <color theme="1"/>
        <rFont val="Calibri"/>
        <family val="2"/>
        <scheme val="minor"/>
      </rPr>
      <t xml:space="preserve"> Semi-digested (mostly full fish) </t>
    </r>
    <r>
      <rPr>
        <b/>
        <sz val="12"/>
        <color theme="1"/>
        <rFont val="Calibri"/>
        <family val="2"/>
        <scheme val="minor"/>
      </rPr>
      <t>3:</t>
    </r>
    <r>
      <rPr>
        <sz val="12"/>
        <color theme="1"/>
        <rFont val="Calibri"/>
        <family val="2"/>
        <scheme val="minor"/>
      </rPr>
      <t xml:space="preserve"> Very digested (tissue, spine, scales, otoliths</t>
    </r>
    <r>
      <rPr>
        <b/>
        <sz val="12"/>
        <color theme="1"/>
        <rFont val="Calibri"/>
        <family val="2"/>
        <scheme val="minor"/>
      </rPr>
      <t>) 4:</t>
    </r>
    <r>
      <rPr>
        <sz val="12"/>
        <color theme="1"/>
        <rFont val="Calibri"/>
        <family val="2"/>
        <scheme val="minor"/>
      </rPr>
      <t xml:space="preserve"> Extremely digested (otoliths, scales)</t>
    </r>
  </si>
  <si>
    <t>Total Length</t>
  </si>
  <si>
    <t>Standard Length</t>
  </si>
  <si>
    <t>If pink box, average total length of fish provided for biomass calculations</t>
  </si>
  <si>
    <t>If pink box, average standard length of fish provided for biomass calculations</t>
  </si>
  <si>
    <t>Lionfish number</t>
  </si>
  <si>
    <t>Capture date of lionfish</t>
  </si>
  <si>
    <t>Capture time of lionfish</t>
  </si>
  <si>
    <t>Depth where lionfish was captured, in meters</t>
  </si>
  <si>
    <t>Date of the trial</t>
  </si>
  <si>
    <t>Julian date of the trial</t>
  </si>
  <si>
    <t>Start time of the trial</t>
  </si>
  <si>
    <t>End time of the trial</t>
  </si>
  <si>
    <t>Number of hours between capture and trial start time when lionfish did not eat</t>
  </si>
  <si>
    <t>Ocean current at trial location during day of trial</t>
  </si>
  <si>
    <t>Sunset time on trial date</t>
  </si>
  <si>
    <t>Moon cycle on trial date</t>
  </si>
  <si>
    <t>Cloud cover on trial date, averaged every 2 hours from trial start time until sunset</t>
  </si>
  <si>
    <t>Enclosure where lionfish was placed for trial</t>
  </si>
  <si>
    <t>Quarantine number where lionfish was placed between capture and trial</t>
  </si>
  <si>
    <t>Sex of lionfish</t>
  </si>
  <si>
    <t>Total length of lionfish in centimeters</t>
  </si>
  <si>
    <t>Standard length of lionfish in centimeters</t>
  </si>
  <si>
    <t>Wet weight of lionfish in grams</t>
  </si>
  <si>
    <t>Total length  / wet weight ^3</t>
  </si>
  <si>
    <t>Total number of glass gobies consumed</t>
  </si>
  <si>
    <t>Total number of bluehead wrasse consumed</t>
  </si>
  <si>
    <t>Total number of brown chromis consumed</t>
  </si>
  <si>
    <t>Number consumed / number provided</t>
  </si>
  <si>
    <t>Total number fish consumed / total number fish provided</t>
  </si>
  <si>
    <t>Estimated total biomass consumed, based on established averages of weights and lengths for each prey species</t>
  </si>
  <si>
    <t>Actual total biomass consumed, based on measurements of lengths of each prey species and, when lengths could not be determined, established averages</t>
  </si>
  <si>
    <t>Estimated total biomass consumed / lionfish wet weight</t>
  </si>
  <si>
    <t>Comments on lionfish individual and/or trial</t>
  </si>
  <si>
    <t>Size category of lionfish, based on total length (S: below 19 cm, M: between 19 and 25 cm , L: greater than 25 cm)</t>
  </si>
  <si>
    <t>Also ate 1 shrimp</t>
  </si>
  <si>
    <t>Ate 1 shrimp</t>
  </si>
  <si>
    <t>Species 9</t>
  </si>
  <si>
    <t>Digestion 9</t>
  </si>
  <si>
    <t>Total Length 9</t>
  </si>
  <si>
    <t>Standard Length 9</t>
  </si>
  <si>
    <t>Ate 2 shrimp</t>
  </si>
  <si>
    <t>The study was conducted between 22 Apr 2016 and 7 June 2016 at Piscaderabay on Curacao by Amelia Ritger, with dive assistance from Tyler Fountain</t>
  </si>
  <si>
    <t>Predation coefficient</t>
  </si>
  <si>
    <t>Vanderplog and Scavia</t>
  </si>
  <si>
    <t>E*</t>
  </si>
  <si>
    <t>Ivlev</t>
  </si>
  <si>
    <t>W</t>
  </si>
  <si>
    <t>k</t>
  </si>
  <si>
    <t>Forage Ratio</t>
  </si>
  <si>
    <t>FR</t>
  </si>
  <si>
    <t>Yates Correction for Continuity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</si>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</sst>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6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0" borderId="0" xfId="0" applyFill="1"/>
    <xf numFmtId="0" fontId="2" fillId="0" borderId="0" xfId="0" applyFont="1"/>
    <xf numFmtId="0" fontId="0" fillId="2" borderId="0" xfId="0" applyFill="1"/>
    <xf numFmtId="0" fontId="1" fillId="0" borderId="0" xfId="0" applyFont="1"/>
    <xf numFmtId="20" fontId="0" fillId="0" borderId="0" xfId="0" applyNumberFormat="1"/>
    <xf numFmtId="0" fontId="5" fillId="0" borderId="0" xfId="0" applyFont="1"/>
    <xf numFmtId="0" fontId="0" fillId="3" borderId="0" xfId="0" applyFill="1"/>
    <xf numFmtId="0" fontId="6" fillId="0" borderId="0" xfId="0" applyFont="1"/>
    <xf numFmtId="0" fontId="0" fillId="2" borderId="0" xfId="0" applyFont="1" applyFill="1"/>
    <xf numFmtId="164" fontId="0" fillId="0" borderId="0" xfId="0" applyNumberFormat="1"/>
    <xf numFmtId="20" fontId="2" fillId="0" borderId="0" xfId="0" applyNumberFormat="1" applyFont="1"/>
    <xf numFmtId="0" fontId="2" fillId="4" borderId="0" xfId="0" applyFont="1" applyFill="1"/>
  </cellXfs>
  <cellStyles count="6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Normal" xfId="0" builtinId="0"/>
  </cellStyles>
  <dxfs count="0"/>
  <tableStyles count="0" defaultTableStyle="TableStyleMedium9" defaultPivotStyle="PivotStyleMedium4"/>
  <colors>
    <mruColors>
      <color rgb="FF7D6443"/>
      <color rgb="FFE2B579"/>
      <color rgb="FFE6E5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-W/abLW%20referenc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L17">
            <v>0.12932668514174825</v>
          </cell>
        </row>
        <row r="18">
          <cell r="L18">
            <v>0.64049364713398538</v>
          </cell>
        </row>
        <row r="19">
          <cell r="L19">
            <v>0.65521534605322485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2" sqref="A2"/>
    </sheetView>
  </sheetViews>
  <sheetFormatPr baseColWidth="10" defaultRowHeight="15" x14ac:dyDescent="0"/>
  <cols>
    <col min="1" max="1" width="31.5" customWidth="1"/>
  </cols>
  <sheetData>
    <row r="1" spans="1:2">
      <c r="A1" t="s">
        <v>137</v>
      </c>
    </row>
    <row r="3" spans="1:2">
      <c r="A3" s="5" t="s">
        <v>92</v>
      </c>
    </row>
    <row r="4" spans="1:2">
      <c r="A4" s="9" t="s">
        <v>93</v>
      </c>
    </row>
    <row r="5" spans="1:2">
      <c r="A5" s="10" t="s">
        <v>0</v>
      </c>
      <c r="B5" t="s">
        <v>100</v>
      </c>
    </row>
    <row r="6" spans="1:2">
      <c r="A6" s="10" t="s">
        <v>1</v>
      </c>
      <c r="B6" t="s">
        <v>101</v>
      </c>
    </row>
    <row r="7" spans="1:2">
      <c r="A7" s="10" t="s">
        <v>2</v>
      </c>
      <c r="B7" t="s">
        <v>102</v>
      </c>
    </row>
    <row r="8" spans="1:2">
      <c r="A8" s="10" t="s">
        <v>3</v>
      </c>
      <c r="B8" t="s">
        <v>103</v>
      </c>
    </row>
    <row r="9" spans="1:2">
      <c r="A9" s="10" t="s">
        <v>4</v>
      </c>
      <c r="B9" t="s">
        <v>114</v>
      </c>
    </row>
    <row r="10" spans="1:2">
      <c r="A10" s="10" t="s">
        <v>5</v>
      </c>
      <c r="B10" t="s">
        <v>104</v>
      </c>
    </row>
    <row r="11" spans="1:2">
      <c r="A11" s="10" t="s">
        <v>6</v>
      </c>
      <c r="B11" t="s">
        <v>105</v>
      </c>
    </row>
    <row r="12" spans="1:2">
      <c r="A12" s="10" t="s">
        <v>7</v>
      </c>
      <c r="B12" t="s">
        <v>106</v>
      </c>
    </row>
    <row r="13" spans="1:2">
      <c r="A13" s="10" t="s">
        <v>8</v>
      </c>
      <c r="B13" t="s">
        <v>107</v>
      </c>
    </row>
    <row r="14" spans="1:2">
      <c r="A14" s="10" t="s">
        <v>9</v>
      </c>
      <c r="B14" t="s">
        <v>108</v>
      </c>
    </row>
    <row r="15" spans="1:2">
      <c r="A15" s="10" t="s">
        <v>10</v>
      </c>
      <c r="B15" t="s">
        <v>111</v>
      </c>
    </row>
    <row r="16" spans="1:2">
      <c r="A16" s="10" t="s">
        <v>11</v>
      </c>
      <c r="B16" t="s">
        <v>112</v>
      </c>
    </row>
    <row r="17" spans="1:2">
      <c r="A17" s="10" t="s">
        <v>12</v>
      </c>
      <c r="B17" t="s">
        <v>109</v>
      </c>
    </row>
    <row r="18" spans="1:2">
      <c r="A18" s="10" t="s">
        <v>13</v>
      </c>
      <c r="B18" t="s">
        <v>110</v>
      </c>
    </row>
    <row r="19" spans="1:2">
      <c r="A19" s="10" t="s">
        <v>14</v>
      </c>
      <c r="B19" t="s">
        <v>113</v>
      </c>
    </row>
    <row r="20" spans="1:2">
      <c r="A20" s="10" t="s">
        <v>15</v>
      </c>
      <c r="B20" t="s">
        <v>115</v>
      </c>
    </row>
    <row r="21" spans="1:2">
      <c r="A21" s="10" t="s">
        <v>16</v>
      </c>
      <c r="B21" t="s">
        <v>129</v>
      </c>
    </row>
    <row r="22" spans="1:2">
      <c r="A22" s="10" t="s">
        <v>17</v>
      </c>
      <c r="B22" t="s">
        <v>116</v>
      </c>
    </row>
    <row r="23" spans="1:2">
      <c r="A23" s="10" t="s">
        <v>18</v>
      </c>
      <c r="B23" t="s">
        <v>117</v>
      </c>
    </row>
    <row r="24" spans="1:2">
      <c r="A24" s="10" t="s">
        <v>19</v>
      </c>
      <c r="B24" t="s">
        <v>118</v>
      </c>
    </row>
    <row r="25" spans="1:2">
      <c r="A25" s="10" t="s">
        <v>20</v>
      </c>
      <c r="B25" t="s">
        <v>119</v>
      </c>
    </row>
    <row r="26" spans="1:2">
      <c r="A26" s="10" t="s">
        <v>21</v>
      </c>
      <c r="B26" t="s">
        <v>122</v>
      </c>
    </row>
    <row r="27" spans="1:2">
      <c r="A27" s="10" t="s">
        <v>22</v>
      </c>
      <c r="B27" t="s">
        <v>123</v>
      </c>
    </row>
    <row r="28" spans="1:2">
      <c r="A28" s="10" t="s">
        <v>23</v>
      </c>
      <c r="B28" t="s">
        <v>121</v>
      </c>
    </row>
    <row r="29" spans="1:2">
      <c r="A29" s="10" t="s">
        <v>24</v>
      </c>
      <c r="B29" t="s">
        <v>123</v>
      </c>
    </row>
    <row r="30" spans="1:2">
      <c r="A30" s="10" t="s">
        <v>25</v>
      </c>
      <c r="B30" t="s">
        <v>120</v>
      </c>
    </row>
    <row r="31" spans="1:2">
      <c r="A31" s="10" t="s">
        <v>26</v>
      </c>
      <c r="B31" t="s">
        <v>123</v>
      </c>
    </row>
    <row r="32" spans="1:2">
      <c r="A32" s="10" t="s">
        <v>27</v>
      </c>
      <c r="B32" t="s">
        <v>124</v>
      </c>
    </row>
    <row r="33" spans="1:2">
      <c r="A33" s="10" t="s">
        <v>28</v>
      </c>
      <c r="B33" t="s">
        <v>125</v>
      </c>
    </row>
    <row r="34" spans="1:2">
      <c r="A34" s="10" t="s">
        <v>74</v>
      </c>
      <c r="B34" t="s">
        <v>126</v>
      </c>
    </row>
    <row r="35" spans="1:2">
      <c r="A35" s="10" t="s">
        <v>61</v>
      </c>
      <c r="B35" t="s">
        <v>127</v>
      </c>
    </row>
    <row r="36" spans="1:2">
      <c r="A36" s="10" t="s">
        <v>29</v>
      </c>
      <c r="B36" t="s">
        <v>128</v>
      </c>
    </row>
    <row r="39" spans="1:2">
      <c r="A39" s="5" t="s">
        <v>94</v>
      </c>
    </row>
    <row r="40" spans="1:2">
      <c r="A40" s="9" t="s">
        <v>93</v>
      </c>
    </row>
    <row r="41" spans="1:2">
      <c r="A41" s="10" t="s">
        <v>82</v>
      </c>
      <c r="B41" t="s">
        <v>95</v>
      </c>
    </row>
    <row r="42" spans="1:2">
      <c r="A42" s="4" t="s">
        <v>96</v>
      </c>
      <c r="B42" t="s">
        <v>98</v>
      </c>
    </row>
    <row r="43" spans="1:2">
      <c r="A43" s="4" t="s">
        <v>97</v>
      </c>
      <c r="B43" t="s">
        <v>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277"/>
  <sheetViews>
    <sheetView tabSelected="1" topLeftCell="AB1" workbookViewId="0">
      <pane ySplit="1" topLeftCell="A2" activePane="bottomLeft" state="frozen"/>
      <selection pane="bottomLeft" activeCell="AG6" sqref="AG6"/>
    </sheetView>
  </sheetViews>
  <sheetFormatPr baseColWidth="10" defaultRowHeight="15" x14ac:dyDescent="0.75"/>
  <cols>
    <col min="3" max="3" width="14.33203125" bestFit="1" customWidth="1"/>
    <col min="21" max="21" width="8.83203125" customWidth="1"/>
    <col min="22" max="22" width="24.1640625" bestFit="1" customWidth="1"/>
    <col min="23" max="23" width="26.33203125" bestFit="1" customWidth="1"/>
    <col min="24" max="24" width="23.33203125" bestFit="1" customWidth="1"/>
    <col min="25" max="25" width="25.5" bestFit="1" customWidth="1"/>
    <col min="26" max="26" width="21.5" bestFit="1" customWidth="1"/>
    <col min="27" max="27" width="23.83203125" bestFit="1" customWidth="1"/>
    <col min="28" max="28" width="23.83203125" customWidth="1"/>
    <col min="29" max="29" width="27.1640625" bestFit="1" customWidth="1"/>
    <col min="30" max="30" width="33" bestFit="1" customWidth="1"/>
    <col min="31" max="31" width="33" customWidth="1"/>
    <col min="32" max="32" width="27.6640625" bestFit="1" customWidth="1"/>
  </cols>
  <sheetData>
    <row r="1" spans="1:3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34</v>
      </c>
      <c r="AC1" s="5" t="s">
        <v>27</v>
      </c>
      <c r="AD1" s="5" t="s">
        <v>28</v>
      </c>
      <c r="AE1" s="5" t="s">
        <v>74</v>
      </c>
      <c r="AF1" s="5" t="s">
        <v>61</v>
      </c>
      <c r="AG1" s="5" t="s">
        <v>29</v>
      </c>
    </row>
    <row r="2" spans="1:33">
      <c r="A2">
        <v>1</v>
      </c>
      <c r="B2" s="1">
        <v>42482</v>
      </c>
      <c r="C2" s="6">
        <v>0.625</v>
      </c>
      <c r="D2">
        <v>23</v>
      </c>
      <c r="E2">
        <v>1</v>
      </c>
      <c r="F2" s="1">
        <v>42486</v>
      </c>
      <c r="G2">
        <f>(TEXT(F2,"yy")&amp;TEXT((F2-DATEVALUE("1/1/"&amp;TEXT(F2,"yy"))+1),"000"))-16000</f>
        <v>117</v>
      </c>
      <c r="H2" s="6">
        <v>0.59375</v>
      </c>
      <c r="I2" s="6">
        <v>0.84375</v>
      </c>
      <c r="J2">
        <f>((F2+H2)-(B2+C2))*24</f>
        <v>95.25</v>
      </c>
      <c r="K2" t="s">
        <v>31</v>
      </c>
      <c r="L2">
        <v>10</v>
      </c>
      <c r="M2" t="s">
        <v>30</v>
      </c>
      <c r="N2" s="6">
        <v>0.78402777777777777</v>
      </c>
      <c r="O2">
        <v>1</v>
      </c>
      <c r="P2" t="s">
        <v>32</v>
      </c>
      <c r="Q2" t="str">
        <f>IF(R2&lt;19,"S",IF(R2&gt;25,"L","M"))</f>
        <v>M</v>
      </c>
      <c r="R2">
        <v>20.2</v>
      </c>
      <c r="S2">
        <v>15.2</v>
      </c>
      <c r="T2">
        <v>96</v>
      </c>
      <c r="U2" s="11">
        <f>T2/(R2^3)</f>
        <v>1.1647081775131735E-2</v>
      </c>
      <c r="V2">
        <v>3</v>
      </c>
      <c r="W2">
        <f>IF(V2=0,0,(V2/11))</f>
        <v>0.27272727272727271</v>
      </c>
      <c r="X2">
        <v>0</v>
      </c>
      <c r="Y2">
        <f>IF(X2=0,0,(X2/11))</f>
        <v>0</v>
      </c>
      <c r="Z2">
        <v>2</v>
      </c>
      <c r="AA2">
        <f>IF(Z2=0,0,(Z2/55))</f>
        <v>3.6363636363636362E-2</v>
      </c>
      <c r="AB2">
        <f>V2+X2+Z2</f>
        <v>5</v>
      </c>
      <c r="AC2">
        <f>(Z2+X2+V2)/(11+11+55)</f>
        <v>6.4935064935064929E-2</v>
      </c>
      <c r="AD2">
        <f>(V2*[1]Sheet1!$L$18)+(X2*[1]Sheet1!$L$19)+(Z2*[1]Sheet1!$L$17)</f>
        <v>2.1801343116854528</v>
      </c>
      <c r="AE2">
        <f>'Stomach Details'!F2</f>
        <v>2.1801343116854524</v>
      </c>
      <c r="AF2">
        <f>AD2/T2</f>
        <v>2.2709732413390134E-2</v>
      </c>
    </row>
    <row r="3" spans="1:33">
      <c r="A3">
        <v>2</v>
      </c>
      <c r="B3" s="1">
        <v>42482</v>
      </c>
      <c r="C3" s="6">
        <v>0.625</v>
      </c>
      <c r="D3">
        <v>26</v>
      </c>
      <c r="E3">
        <v>2</v>
      </c>
      <c r="F3" s="1">
        <v>42486</v>
      </c>
      <c r="G3">
        <f t="shared" ref="G3:G4" si="0">(TEXT(F3,"yy")&amp;TEXT((F3-DATEVALUE("1/1/"&amp;TEXT(F3,"yy"))+1),"000"))-16000</f>
        <v>117</v>
      </c>
      <c r="H3" s="6">
        <v>0.59375</v>
      </c>
      <c r="I3" s="6">
        <v>0.84375</v>
      </c>
      <c r="J3">
        <f t="shared" ref="J3:J17" si="1">((F3+H3)-(B3+C3))*24</f>
        <v>95.25</v>
      </c>
      <c r="K3" t="s">
        <v>31</v>
      </c>
      <c r="L3">
        <v>10</v>
      </c>
      <c r="M3" t="s">
        <v>30</v>
      </c>
      <c r="N3" s="6">
        <v>0.78402777777777777</v>
      </c>
      <c r="O3">
        <v>2</v>
      </c>
      <c r="P3" t="s">
        <v>32</v>
      </c>
      <c r="Q3" t="str">
        <f t="shared" ref="Q3:Q28" si="2">IF(R3&lt;20,"S",IF(R3&gt;25,"L","M"))</f>
        <v>M</v>
      </c>
      <c r="R3">
        <v>24.6</v>
      </c>
      <c r="S3">
        <v>20.2</v>
      </c>
      <c r="T3">
        <v>264</v>
      </c>
      <c r="U3" s="11">
        <f>T3/(R3^3)</f>
        <v>1.7733669305759085E-2</v>
      </c>
      <c r="V3">
        <v>0</v>
      </c>
      <c r="W3">
        <f t="shared" ref="W3:W28" si="3">IF(V3=0,0,(V3/11))</f>
        <v>0</v>
      </c>
      <c r="X3">
        <v>1</v>
      </c>
      <c r="Y3">
        <f t="shared" ref="Y3:Y28" si="4">IF(X3=0,0,(X3/11))</f>
        <v>9.0909090909090912E-2</v>
      </c>
      <c r="Z3">
        <v>0</v>
      </c>
      <c r="AA3">
        <f t="shared" ref="AA3:AA28" si="5">IF(Z3=0,0,(Z3/55))</f>
        <v>0</v>
      </c>
      <c r="AB3">
        <f t="shared" ref="AB3:AB28" si="6">V3+X3+Z3</f>
        <v>1</v>
      </c>
      <c r="AC3">
        <f t="shared" ref="AC3:AC28" si="7">(Z3+X3+V3)/(11+11+55)</f>
        <v>1.2987012987012988E-2</v>
      </c>
      <c r="AD3">
        <f>(V3*[1]Sheet1!$L$18)+(X3*[1]Sheet1!$L$19)+(Z3*[1]Sheet1!$L$17)</f>
        <v>0.65521534605322485</v>
      </c>
      <c r="AE3">
        <f>'Stomach Details'!F3</f>
        <v>0.65521534605322485</v>
      </c>
      <c r="AF3">
        <f t="shared" ref="AF3:AF22" si="8">AD3/T3</f>
        <v>2.48187631080767E-3</v>
      </c>
    </row>
    <row r="4" spans="1:33">
      <c r="A4">
        <v>3</v>
      </c>
      <c r="B4" s="1">
        <v>42482</v>
      </c>
      <c r="C4" s="6">
        <v>0.625</v>
      </c>
      <c r="D4">
        <v>23</v>
      </c>
      <c r="E4">
        <v>3</v>
      </c>
      <c r="F4" s="1">
        <v>42486</v>
      </c>
      <c r="G4">
        <f t="shared" si="0"/>
        <v>117</v>
      </c>
      <c r="H4" s="6">
        <v>0.59375</v>
      </c>
      <c r="I4" s="6">
        <v>0.84375</v>
      </c>
      <c r="J4">
        <f t="shared" si="1"/>
        <v>95.25</v>
      </c>
      <c r="K4" t="s">
        <v>31</v>
      </c>
      <c r="L4">
        <v>10</v>
      </c>
      <c r="M4" t="s">
        <v>30</v>
      </c>
      <c r="N4" s="6">
        <v>0.78402777777777777</v>
      </c>
      <c r="O4">
        <v>3</v>
      </c>
      <c r="P4" t="s">
        <v>33</v>
      </c>
      <c r="Q4" t="str">
        <f t="shared" si="2"/>
        <v>L</v>
      </c>
      <c r="R4">
        <v>25.2</v>
      </c>
      <c r="S4">
        <v>20.100000000000001</v>
      </c>
      <c r="T4">
        <v>248</v>
      </c>
      <c r="U4" s="11">
        <f t="shared" ref="U4:U28" si="9">T4/(R4^3)</f>
        <v>1.5497086547729029E-2</v>
      </c>
      <c r="V4">
        <v>0</v>
      </c>
      <c r="W4">
        <f t="shared" si="3"/>
        <v>0</v>
      </c>
      <c r="X4">
        <v>2</v>
      </c>
      <c r="Y4">
        <f t="shared" si="4"/>
        <v>0.18181818181818182</v>
      </c>
      <c r="Z4">
        <v>0</v>
      </c>
      <c r="AA4">
        <f t="shared" si="5"/>
        <v>0</v>
      </c>
      <c r="AB4">
        <f t="shared" si="6"/>
        <v>2</v>
      </c>
      <c r="AC4">
        <f t="shared" si="7"/>
        <v>2.5974025974025976E-2</v>
      </c>
      <c r="AD4">
        <f>(V4*[1]Sheet1!$L$18)+(X4*[1]Sheet1!$L$19)+(Z4*[1]Sheet1!$L$17)</f>
        <v>1.3104306921064497</v>
      </c>
      <c r="AE4">
        <f>'Stomach Details'!F4</f>
        <v>1.3104306921064497</v>
      </c>
      <c r="AF4">
        <f t="shared" si="8"/>
        <v>5.2839947262356846E-3</v>
      </c>
    </row>
    <row r="5" spans="1:33">
      <c r="A5">
        <v>4</v>
      </c>
      <c r="B5" s="1">
        <f>F5-4</f>
        <v>42486</v>
      </c>
      <c r="C5" s="6">
        <v>0.52083333333333337</v>
      </c>
      <c r="D5">
        <v>22</v>
      </c>
      <c r="E5">
        <v>1</v>
      </c>
      <c r="F5" s="1">
        <v>42490</v>
      </c>
      <c r="G5">
        <f t="shared" ref="G5:G28" si="10">(TEXT(F5,"yy")&amp;TEXT((F5-DATEVALUE("1/1/"&amp;TEXT(F5,"yy"))+1),"000"))-16000</f>
        <v>121</v>
      </c>
      <c r="H5" s="6">
        <v>0.59375</v>
      </c>
      <c r="I5" s="6">
        <v>0.84375</v>
      </c>
      <c r="J5">
        <f t="shared" si="1"/>
        <v>97.749999999941792</v>
      </c>
      <c r="K5" t="s">
        <v>59</v>
      </c>
      <c r="L5">
        <f>0+0+0</f>
        <v>0</v>
      </c>
      <c r="M5" t="s">
        <v>30</v>
      </c>
      <c r="N5" s="6">
        <v>0.78472222222222221</v>
      </c>
      <c r="O5">
        <v>1</v>
      </c>
      <c r="P5" t="s">
        <v>32</v>
      </c>
      <c r="Q5" t="str">
        <f t="shared" si="2"/>
        <v>L</v>
      </c>
      <c r="R5">
        <v>25.2</v>
      </c>
      <c r="S5">
        <v>19.399999999999999</v>
      </c>
      <c r="T5">
        <v>201</v>
      </c>
      <c r="U5" s="11">
        <f t="shared" si="9"/>
        <v>1.2560138693925544E-2</v>
      </c>
      <c r="V5">
        <v>3</v>
      </c>
      <c r="W5">
        <f t="shared" si="3"/>
        <v>0.27272727272727271</v>
      </c>
      <c r="X5">
        <v>0</v>
      </c>
      <c r="Y5">
        <f t="shared" si="4"/>
        <v>0</v>
      </c>
      <c r="Z5">
        <v>0</v>
      </c>
      <c r="AA5">
        <f t="shared" si="5"/>
        <v>0</v>
      </c>
      <c r="AB5">
        <f t="shared" si="6"/>
        <v>3</v>
      </c>
      <c r="AC5">
        <f t="shared" si="7"/>
        <v>3.896103896103896E-2</v>
      </c>
      <c r="AD5">
        <f>(V5*[1]Sheet1!$L$18)+(X5*[1]Sheet1!$L$19)+(Z5*[1]Sheet1!$L$17)</f>
        <v>1.9214809414019562</v>
      </c>
      <c r="AE5">
        <f>'Stomach Details'!F5</f>
        <v>2.2142550208261977</v>
      </c>
      <c r="AF5">
        <f t="shared" si="8"/>
        <v>9.5596066736415731E-3</v>
      </c>
    </row>
    <row r="6" spans="1:33">
      <c r="A6">
        <v>5</v>
      </c>
      <c r="B6" s="1">
        <f>F6-4</f>
        <v>42486</v>
      </c>
      <c r="C6" s="6">
        <v>0.52083333333333337</v>
      </c>
      <c r="D6">
        <v>21</v>
      </c>
      <c r="E6">
        <v>3</v>
      </c>
      <c r="F6" s="1">
        <v>42490</v>
      </c>
      <c r="G6">
        <f t="shared" si="10"/>
        <v>121</v>
      </c>
      <c r="H6" s="6">
        <v>0.59375</v>
      </c>
      <c r="I6" s="6">
        <v>0.84375</v>
      </c>
      <c r="J6">
        <f t="shared" si="1"/>
        <v>97.749999999941792</v>
      </c>
      <c r="K6" t="s">
        <v>59</v>
      </c>
      <c r="L6">
        <f>0+0+0</f>
        <v>0</v>
      </c>
      <c r="M6" t="s">
        <v>30</v>
      </c>
      <c r="N6" s="6">
        <v>0.78472222222222221</v>
      </c>
      <c r="O6">
        <v>2</v>
      </c>
      <c r="P6" t="s">
        <v>33</v>
      </c>
      <c r="Q6" t="str">
        <f t="shared" si="2"/>
        <v>M</v>
      </c>
      <c r="R6">
        <v>20.100000000000001</v>
      </c>
      <c r="S6">
        <v>15.7</v>
      </c>
      <c r="T6">
        <v>115</v>
      </c>
      <c r="U6" s="11">
        <f t="shared" si="9"/>
        <v>1.4161513415078512E-2</v>
      </c>
      <c r="V6">
        <v>2</v>
      </c>
      <c r="W6">
        <f t="shared" si="3"/>
        <v>0.18181818181818182</v>
      </c>
      <c r="X6">
        <v>0</v>
      </c>
      <c r="Y6">
        <f t="shared" si="4"/>
        <v>0</v>
      </c>
      <c r="Z6">
        <v>0</v>
      </c>
      <c r="AA6">
        <f t="shared" si="5"/>
        <v>0</v>
      </c>
      <c r="AB6">
        <f t="shared" si="6"/>
        <v>2</v>
      </c>
      <c r="AC6">
        <f t="shared" si="7"/>
        <v>2.5974025974025976E-2</v>
      </c>
      <c r="AD6">
        <f>(V6*[1]Sheet1!$L$18)+(X6*[1]Sheet1!$L$19)+(Z6*[1]Sheet1!$L$17)</f>
        <v>1.2809872942679708</v>
      </c>
      <c r="AE6">
        <f>'Stomach Details'!F6</f>
        <v>1.2809872942679708</v>
      </c>
      <c r="AF6">
        <f t="shared" si="8"/>
        <v>1.1139019950156268E-2</v>
      </c>
      <c r="AG6" t="s">
        <v>90</v>
      </c>
    </row>
    <row r="7" spans="1:33">
      <c r="A7">
        <v>6</v>
      </c>
      <c r="B7" s="1">
        <f>F7-4</f>
        <v>42486</v>
      </c>
      <c r="C7" s="6">
        <v>0.52083333333333337</v>
      </c>
      <c r="D7">
        <v>23</v>
      </c>
      <c r="E7">
        <v>4</v>
      </c>
      <c r="F7" s="1">
        <v>42490</v>
      </c>
      <c r="G7">
        <f t="shared" si="10"/>
        <v>121</v>
      </c>
      <c r="H7" s="6">
        <v>0.59375</v>
      </c>
      <c r="I7" s="6">
        <v>0.84375</v>
      </c>
      <c r="J7">
        <f t="shared" si="1"/>
        <v>97.749999999941792</v>
      </c>
      <c r="K7" t="s">
        <v>59</v>
      </c>
      <c r="L7">
        <f>0+0+0</f>
        <v>0</v>
      </c>
      <c r="M7" t="s">
        <v>30</v>
      </c>
      <c r="N7" s="6">
        <v>0.78472222222222221</v>
      </c>
      <c r="O7">
        <v>3</v>
      </c>
      <c r="P7" t="s">
        <v>60</v>
      </c>
      <c r="Q7" t="str">
        <f t="shared" si="2"/>
        <v>S</v>
      </c>
      <c r="R7">
        <v>15.4</v>
      </c>
      <c r="S7">
        <v>11.7</v>
      </c>
      <c r="T7">
        <v>44</v>
      </c>
      <c r="U7" s="11">
        <f t="shared" si="9"/>
        <v>1.2047321880345997E-2</v>
      </c>
      <c r="V7">
        <v>4</v>
      </c>
      <c r="W7">
        <f t="shared" si="3"/>
        <v>0.36363636363636365</v>
      </c>
      <c r="X7">
        <v>1</v>
      </c>
      <c r="Y7">
        <f t="shared" si="4"/>
        <v>9.0909090909090912E-2</v>
      </c>
      <c r="Z7">
        <v>3</v>
      </c>
      <c r="AA7">
        <f t="shared" si="5"/>
        <v>5.4545454545454543E-2</v>
      </c>
      <c r="AB7">
        <f t="shared" si="6"/>
        <v>8</v>
      </c>
      <c r="AC7">
        <f t="shared" si="7"/>
        <v>0.1038961038961039</v>
      </c>
      <c r="AD7">
        <f>(V7*[1]Sheet1!$L$18)+(X7*[1]Sheet1!$L$19)+(Z7*[1]Sheet1!$L$17)</f>
        <v>3.605169990014411</v>
      </c>
      <c r="AE7">
        <f>'Stomach Details'!F7</f>
        <v>4.1664812739374071</v>
      </c>
      <c r="AF7">
        <f>AD7/T7</f>
        <v>8.1935681591236612E-2</v>
      </c>
    </row>
    <row r="8" spans="1:33">
      <c r="A8">
        <v>7</v>
      </c>
      <c r="B8" s="1">
        <v>42490</v>
      </c>
      <c r="C8" s="6">
        <v>0.72916666666666663</v>
      </c>
      <c r="D8">
        <v>18</v>
      </c>
      <c r="E8">
        <v>5</v>
      </c>
      <c r="F8" s="1">
        <f>B8+4</f>
        <v>42494</v>
      </c>
      <c r="G8">
        <f t="shared" si="10"/>
        <v>125</v>
      </c>
      <c r="H8" s="6">
        <v>0.59375</v>
      </c>
      <c r="I8" s="6">
        <v>0.84375</v>
      </c>
      <c r="J8">
        <f t="shared" si="1"/>
        <v>92.750000000058208</v>
      </c>
      <c r="K8" t="s">
        <v>76</v>
      </c>
      <c r="L8">
        <f>0+0</f>
        <v>0</v>
      </c>
      <c r="M8" t="s">
        <v>75</v>
      </c>
      <c r="N8" s="6">
        <v>0.78472222222222221</v>
      </c>
      <c r="O8">
        <v>2</v>
      </c>
      <c r="P8" t="s">
        <v>32</v>
      </c>
      <c r="Q8" t="str">
        <f t="shared" si="2"/>
        <v>S</v>
      </c>
      <c r="R8">
        <v>19.100000000000001</v>
      </c>
      <c r="S8">
        <v>14.2</v>
      </c>
      <c r="T8">
        <v>82</v>
      </c>
      <c r="U8" s="11">
        <f t="shared" si="9"/>
        <v>1.1768300532544299E-2</v>
      </c>
      <c r="V8">
        <v>2</v>
      </c>
      <c r="W8">
        <f t="shared" si="3"/>
        <v>0.18181818181818182</v>
      </c>
      <c r="X8">
        <v>0</v>
      </c>
      <c r="Y8">
        <f t="shared" si="4"/>
        <v>0</v>
      </c>
      <c r="Z8">
        <v>0</v>
      </c>
      <c r="AA8">
        <f t="shared" si="5"/>
        <v>0</v>
      </c>
      <c r="AB8">
        <f t="shared" si="6"/>
        <v>2</v>
      </c>
      <c r="AC8">
        <f t="shared" si="7"/>
        <v>2.5974025974025976E-2</v>
      </c>
      <c r="AD8">
        <f>(V8*[1]Sheet1!$L$18)+(X8*[1]Sheet1!$L$19)+(Z8*[1]Sheet1!$L$17)</f>
        <v>1.2809872942679708</v>
      </c>
      <c r="AE8">
        <f>'Stomach Details'!F8</f>
        <v>0.75694256768869894</v>
      </c>
      <c r="AF8">
        <f t="shared" si="8"/>
        <v>1.562179627156062E-2</v>
      </c>
    </row>
    <row r="9" spans="1:33">
      <c r="A9">
        <v>8</v>
      </c>
      <c r="B9" s="1">
        <v>42490</v>
      </c>
      <c r="C9" s="6">
        <v>0.72916666666666663</v>
      </c>
      <c r="D9">
        <v>20</v>
      </c>
      <c r="E9">
        <v>4</v>
      </c>
      <c r="F9" s="1">
        <f>B9+4</f>
        <v>42494</v>
      </c>
      <c r="G9">
        <f t="shared" si="10"/>
        <v>125</v>
      </c>
      <c r="H9" s="6">
        <v>0.59375</v>
      </c>
      <c r="I9" s="6">
        <v>0.84375</v>
      </c>
      <c r="J9">
        <f t="shared" si="1"/>
        <v>92.750000000058208</v>
      </c>
      <c r="K9" t="s">
        <v>76</v>
      </c>
      <c r="L9">
        <v>0</v>
      </c>
      <c r="M9" t="s">
        <v>75</v>
      </c>
      <c r="N9" s="6">
        <v>0.78472222222222221</v>
      </c>
      <c r="O9">
        <v>3</v>
      </c>
      <c r="P9" t="s">
        <v>32</v>
      </c>
      <c r="Q9" t="str">
        <f t="shared" si="2"/>
        <v>S</v>
      </c>
      <c r="R9">
        <v>15.3</v>
      </c>
      <c r="S9">
        <v>12.3</v>
      </c>
      <c r="T9">
        <v>55</v>
      </c>
      <c r="U9" s="11">
        <f t="shared" si="9"/>
        <v>1.5356363970396279E-2</v>
      </c>
      <c r="V9">
        <v>3</v>
      </c>
      <c r="W9">
        <f t="shared" si="3"/>
        <v>0.27272727272727271</v>
      </c>
      <c r="X9">
        <v>0</v>
      </c>
      <c r="Y9">
        <f t="shared" si="4"/>
        <v>0</v>
      </c>
      <c r="Z9">
        <v>0</v>
      </c>
      <c r="AA9">
        <f t="shared" si="5"/>
        <v>0</v>
      </c>
      <c r="AB9">
        <f t="shared" si="6"/>
        <v>3</v>
      </c>
      <c r="AC9">
        <f t="shared" si="7"/>
        <v>3.896103896103896E-2</v>
      </c>
      <c r="AD9">
        <f>(V9*[1]Sheet1!$L$18)+(X9*[1]Sheet1!$L$19)+(Z9*[1]Sheet1!$L$17)</f>
        <v>1.9214809414019562</v>
      </c>
      <c r="AE9">
        <f>'Stomach Details'!F9</f>
        <v>2.2369905734413851</v>
      </c>
      <c r="AF9">
        <f t="shared" si="8"/>
        <v>3.4936017116399203E-2</v>
      </c>
    </row>
    <row r="10" spans="1:33">
      <c r="A10">
        <v>9</v>
      </c>
      <c r="B10" s="1">
        <f>B9+2</f>
        <v>42492</v>
      </c>
      <c r="C10" s="6">
        <v>0.35416666666666669</v>
      </c>
      <c r="D10">
        <v>26</v>
      </c>
      <c r="E10">
        <v>1</v>
      </c>
      <c r="F10" s="1">
        <f t="shared" ref="F10:F28" si="11">B10+4</f>
        <v>42496</v>
      </c>
      <c r="G10">
        <f t="shared" si="10"/>
        <v>127</v>
      </c>
      <c r="H10" s="6">
        <v>0.59375</v>
      </c>
      <c r="I10" s="6">
        <v>0.84375</v>
      </c>
      <c r="J10">
        <f t="shared" si="1"/>
        <v>101.75000000005821</v>
      </c>
      <c r="K10" t="s">
        <v>77</v>
      </c>
      <c r="L10">
        <f>0+0+0</f>
        <v>0</v>
      </c>
      <c r="M10" t="s">
        <v>30</v>
      </c>
      <c r="N10" s="6">
        <v>0.78541666666666676</v>
      </c>
      <c r="O10">
        <v>1</v>
      </c>
      <c r="P10" t="s">
        <v>32</v>
      </c>
      <c r="Q10" t="str">
        <f t="shared" si="2"/>
        <v>L</v>
      </c>
      <c r="R10">
        <v>25.9</v>
      </c>
      <c r="S10">
        <v>20.100000000000001</v>
      </c>
      <c r="T10">
        <v>260</v>
      </c>
      <c r="U10" s="11">
        <f t="shared" si="9"/>
        <v>1.4964908153739567E-2</v>
      </c>
      <c r="V10">
        <v>2</v>
      </c>
      <c r="W10">
        <f t="shared" si="3"/>
        <v>0.18181818181818182</v>
      </c>
      <c r="X10">
        <v>0</v>
      </c>
      <c r="Y10">
        <f t="shared" si="4"/>
        <v>0</v>
      </c>
      <c r="Z10">
        <v>1</v>
      </c>
      <c r="AA10">
        <f t="shared" si="5"/>
        <v>1.8181818181818181E-2</v>
      </c>
      <c r="AB10">
        <f t="shared" si="6"/>
        <v>3</v>
      </c>
      <c r="AC10">
        <f t="shared" si="7"/>
        <v>3.896103896103896E-2</v>
      </c>
      <c r="AD10">
        <f>(V10*[1]Sheet1!$L$18)+(X10*[1]Sheet1!$L$19)+(Z10*[1]Sheet1!$L$17)</f>
        <v>1.410313979409719</v>
      </c>
      <c r="AE10">
        <f>'Stomach Details'!F10</f>
        <v>1.6464378621766309</v>
      </c>
      <c r="AF10">
        <f t="shared" si="8"/>
        <v>5.4242845361912274E-3</v>
      </c>
    </row>
    <row r="11" spans="1:33">
      <c r="A11">
        <v>10</v>
      </c>
      <c r="B11" s="1">
        <v>42492</v>
      </c>
      <c r="C11" s="6">
        <v>0.35416666666666669</v>
      </c>
      <c r="D11">
        <v>21</v>
      </c>
      <c r="E11">
        <v>2</v>
      </c>
      <c r="F11" s="1">
        <f t="shared" si="11"/>
        <v>42496</v>
      </c>
      <c r="G11">
        <f t="shared" si="10"/>
        <v>127</v>
      </c>
      <c r="H11" s="6">
        <v>0.59375</v>
      </c>
      <c r="I11" s="6">
        <v>0.84375</v>
      </c>
      <c r="J11">
        <f t="shared" si="1"/>
        <v>101.75000000005821</v>
      </c>
      <c r="K11" t="s">
        <v>77</v>
      </c>
      <c r="L11">
        <f>0+0+0</f>
        <v>0</v>
      </c>
      <c r="M11" t="s">
        <v>30</v>
      </c>
      <c r="N11" s="6">
        <v>0.78541666666666676</v>
      </c>
      <c r="O11">
        <v>2</v>
      </c>
      <c r="P11" t="s">
        <v>32</v>
      </c>
      <c r="Q11" t="str">
        <f t="shared" si="2"/>
        <v>S</v>
      </c>
      <c r="R11">
        <v>18.5</v>
      </c>
      <c r="S11">
        <v>14.6</v>
      </c>
      <c r="T11">
        <v>85</v>
      </c>
      <c r="U11" s="11">
        <f t="shared" si="9"/>
        <v>1.3424673760685448E-2</v>
      </c>
      <c r="V11">
        <v>0</v>
      </c>
      <c r="W11">
        <f t="shared" si="3"/>
        <v>0</v>
      </c>
      <c r="X11">
        <v>0</v>
      </c>
      <c r="Y11">
        <f t="shared" si="4"/>
        <v>0</v>
      </c>
      <c r="Z11"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>(V11*[1]Sheet1!$L$18)+(X11*[1]Sheet1!$L$19)+(Z11*[1]Sheet1!$L$17)</f>
        <v>0</v>
      </c>
      <c r="AE11">
        <f>'Stomach Details'!F11</f>
        <v>0</v>
      </c>
      <c r="AF11">
        <f t="shared" si="8"/>
        <v>0</v>
      </c>
    </row>
    <row r="12" spans="1:33">
      <c r="A12">
        <v>11</v>
      </c>
      <c r="B12" s="1">
        <v>42496</v>
      </c>
      <c r="C12" s="6">
        <v>0.71875</v>
      </c>
      <c r="D12">
        <v>21</v>
      </c>
      <c r="E12">
        <v>5</v>
      </c>
      <c r="F12" s="1">
        <f t="shared" si="11"/>
        <v>42500</v>
      </c>
      <c r="G12">
        <f t="shared" si="10"/>
        <v>131</v>
      </c>
      <c r="H12" s="6">
        <v>0.59375</v>
      </c>
      <c r="I12" s="6">
        <v>0.84375</v>
      </c>
      <c r="J12">
        <f t="shared" si="1"/>
        <v>93</v>
      </c>
      <c r="K12" t="s">
        <v>78</v>
      </c>
      <c r="L12">
        <f>(80+90+10)/3</f>
        <v>60</v>
      </c>
      <c r="M12" t="s">
        <v>86</v>
      </c>
      <c r="N12" s="6">
        <v>0.78611111111111109</v>
      </c>
      <c r="O12">
        <v>1</v>
      </c>
      <c r="P12" t="s">
        <v>33</v>
      </c>
      <c r="Q12" t="str">
        <f t="shared" si="2"/>
        <v>L</v>
      </c>
      <c r="R12">
        <v>32.9</v>
      </c>
      <c r="S12">
        <v>26.3</v>
      </c>
      <c r="T12">
        <v>582</v>
      </c>
      <c r="U12" s="11">
        <f t="shared" si="9"/>
        <v>1.6343132089377613E-2</v>
      </c>
      <c r="V12">
        <v>0</v>
      </c>
      <c r="W12">
        <f t="shared" si="3"/>
        <v>0</v>
      </c>
      <c r="X12">
        <v>0</v>
      </c>
      <c r="Y12">
        <f t="shared" si="4"/>
        <v>0</v>
      </c>
      <c r="Z12"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>(V12*[1]Sheet1!$L$18)+(X12*[1]Sheet1!$L$19)+(Z12*[1]Sheet1!$L$17)</f>
        <v>0</v>
      </c>
      <c r="AE12">
        <f>'Stomach Details'!F12</f>
        <v>0</v>
      </c>
      <c r="AF12">
        <f t="shared" si="8"/>
        <v>0</v>
      </c>
    </row>
    <row r="13" spans="1:33">
      <c r="A13">
        <v>12</v>
      </c>
      <c r="B13" s="1">
        <v>42496</v>
      </c>
      <c r="C13" s="6">
        <v>0.71875</v>
      </c>
      <c r="D13">
        <v>32</v>
      </c>
      <c r="E13">
        <v>6</v>
      </c>
      <c r="F13" s="1">
        <f t="shared" si="11"/>
        <v>42500</v>
      </c>
      <c r="G13">
        <f t="shared" si="10"/>
        <v>131</v>
      </c>
      <c r="H13" s="6">
        <v>0.59375</v>
      </c>
      <c r="I13" s="6">
        <v>0.84375</v>
      </c>
      <c r="J13">
        <f t="shared" si="1"/>
        <v>93</v>
      </c>
      <c r="K13" t="s">
        <v>78</v>
      </c>
      <c r="L13">
        <f>(80+90+10)/3</f>
        <v>60</v>
      </c>
      <c r="M13" t="s">
        <v>86</v>
      </c>
      <c r="N13" s="6">
        <v>0.78611111111111109</v>
      </c>
      <c r="O13">
        <v>2</v>
      </c>
      <c r="P13" t="s">
        <v>32</v>
      </c>
      <c r="Q13" t="str">
        <f t="shared" si="2"/>
        <v>M</v>
      </c>
      <c r="R13">
        <v>20.2</v>
      </c>
      <c r="S13">
        <v>16.3</v>
      </c>
      <c r="T13">
        <v>113</v>
      </c>
      <c r="U13" s="11">
        <f t="shared" si="9"/>
        <v>1.3709585839477978E-2</v>
      </c>
      <c r="V13">
        <v>3</v>
      </c>
      <c r="W13">
        <f t="shared" si="3"/>
        <v>0.27272727272727271</v>
      </c>
      <c r="X13">
        <v>1</v>
      </c>
      <c r="Y13">
        <f t="shared" si="4"/>
        <v>9.0909090909090912E-2</v>
      </c>
      <c r="Z13">
        <v>0</v>
      </c>
      <c r="AA13">
        <f t="shared" si="5"/>
        <v>0</v>
      </c>
      <c r="AB13">
        <f t="shared" si="6"/>
        <v>4</v>
      </c>
      <c r="AC13">
        <f t="shared" si="7"/>
        <v>5.1948051948051951E-2</v>
      </c>
      <c r="AD13">
        <f>(V13*[1]Sheet1!$L$18)+(X13*[1]Sheet1!$L$19)+(Z13*[1]Sheet1!$L$17)</f>
        <v>2.5766962874551811</v>
      </c>
      <c r="AE13">
        <f>'Stomach Details'!F13</f>
        <v>3.0716796056041922</v>
      </c>
      <c r="AF13">
        <f t="shared" si="8"/>
        <v>2.2802622012877707E-2</v>
      </c>
    </row>
    <row r="14" spans="1:33">
      <c r="A14">
        <v>13</v>
      </c>
      <c r="B14" s="1">
        <v>42496</v>
      </c>
      <c r="C14" s="6">
        <v>0.71875</v>
      </c>
      <c r="D14">
        <v>19</v>
      </c>
      <c r="E14">
        <v>7</v>
      </c>
      <c r="F14" s="1">
        <f t="shared" si="11"/>
        <v>42500</v>
      </c>
      <c r="G14">
        <f t="shared" si="10"/>
        <v>131</v>
      </c>
      <c r="H14" s="6">
        <v>0.59375</v>
      </c>
      <c r="I14" s="6">
        <v>0.84375</v>
      </c>
      <c r="J14">
        <f t="shared" si="1"/>
        <v>93</v>
      </c>
      <c r="K14" t="s">
        <v>78</v>
      </c>
      <c r="L14">
        <f>(80+90+10)/3</f>
        <v>60</v>
      </c>
      <c r="M14" t="s">
        <v>86</v>
      </c>
      <c r="N14" s="6">
        <v>0.78611111111111109</v>
      </c>
      <c r="O14">
        <v>3</v>
      </c>
      <c r="P14" t="s">
        <v>32</v>
      </c>
      <c r="Q14" t="str">
        <f t="shared" si="2"/>
        <v>M</v>
      </c>
      <c r="R14">
        <v>22.8</v>
      </c>
      <c r="S14">
        <v>17.8</v>
      </c>
      <c r="T14">
        <v>176</v>
      </c>
      <c r="U14" s="11">
        <f t="shared" si="9"/>
        <v>1.4849373356444357E-2</v>
      </c>
      <c r="V14">
        <v>1</v>
      </c>
      <c r="W14">
        <f t="shared" si="3"/>
        <v>9.0909090909090912E-2</v>
      </c>
      <c r="X14">
        <v>0</v>
      </c>
      <c r="Y14">
        <f t="shared" si="4"/>
        <v>0</v>
      </c>
      <c r="Z14">
        <v>0</v>
      </c>
      <c r="AA14">
        <f t="shared" si="5"/>
        <v>0</v>
      </c>
      <c r="AB14">
        <f t="shared" si="6"/>
        <v>1</v>
      </c>
      <c r="AC14">
        <f t="shared" si="7"/>
        <v>1.2987012987012988E-2</v>
      </c>
      <c r="AD14">
        <f>(V14*[1]Sheet1!$L$18)+(X14*[1]Sheet1!$L$19)+(Z14*[1]Sheet1!$L$17)</f>
        <v>0.64049364713398538</v>
      </c>
      <c r="AE14">
        <f>'Stomach Details'!F14</f>
        <v>0.64049364713398538</v>
      </c>
      <c r="AF14">
        <f t="shared" si="8"/>
        <v>3.6391684496249171E-3</v>
      </c>
    </row>
    <row r="15" spans="1:33">
      <c r="A15">
        <v>14</v>
      </c>
      <c r="B15" s="1">
        <v>42498</v>
      </c>
      <c r="C15" s="6">
        <v>0.70833333333333337</v>
      </c>
      <c r="D15">
        <v>11</v>
      </c>
      <c r="E15">
        <v>1</v>
      </c>
      <c r="F15" s="1">
        <f t="shared" si="11"/>
        <v>42502</v>
      </c>
      <c r="G15">
        <f t="shared" si="10"/>
        <v>133</v>
      </c>
      <c r="H15" s="6">
        <v>0.59375</v>
      </c>
      <c r="I15" s="6">
        <v>0.84375</v>
      </c>
      <c r="J15">
        <f t="shared" si="1"/>
        <v>93.249999999941792</v>
      </c>
      <c r="K15" t="s">
        <v>78</v>
      </c>
      <c r="L15">
        <f>0</f>
        <v>0</v>
      </c>
      <c r="M15" t="s">
        <v>75</v>
      </c>
      <c r="N15" s="6">
        <v>0.78611111111111109</v>
      </c>
      <c r="O15">
        <v>1</v>
      </c>
      <c r="P15" t="s">
        <v>33</v>
      </c>
      <c r="Q15" t="str">
        <f t="shared" si="2"/>
        <v>L</v>
      </c>
      <c r="R15">
        <v>27.2</v>
      </c>
      <c r="S15">
        <v>21.4</v>
      </c>
      <c r="T15">
        <v>330</v>
      </c>
      <c r="U15" s="11">
        <f t="shared" si="9"/>
        <v>1.6398617189090171E-2</v>
      </c>
      <c r="V15">
        <v>0</v>
      </c>
      <c r="W15">
        <f t="shared" si="3"/>
        <v>0</v>
      </c>
      <c r="X15">
        <v>0</v>
      </c>
      <c r="Y15">
        <f t="shared" si="4"/>
        <v>0</v>
      </c>
      <c r="Z15"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>(V15*[1]Sheet1!$L$18)+(X15*[1]Sheet1!$L$19)+(Z15*[1]Sheet1!$L$17)</f>
        <v>0</v>
      </c>
      <c r="AE15">
        <f>'Stomach Details'!F15</f>
        <v>0</v>
      </c>
      <c r="AF15">
        <f t="shared" si="8"/>
        <v>0</v>
      </c>
      <c r="AG15" t="s">
        <v>89</v>
      </c>
    </row>
    <row r="16" spans="1:33">
      <c r="A16">
        <v>15</v>
      </c>
      <c r="B16" s="1">
        <v>42498</v>
      </c>
      <c r="C16" s="6">
        <v>0.70833333333333337</v>
      </c>
      <c r="D16">
        <v>12</v>
      </c>
      <c r="E16">
        <v>2</v>
      </c>
      <c r="F16" s="1">
        <f t="shared" si="11"/>
        <v>42502</v>
      </c>
      <c r="G16">
        <f t="shared" si="10"/>
        <v>133</v>
      </c>
      <c r="H16" s="6">
        <v>0.59375</v>
      </c>
      <c r="I16" s="6">
        <v>0.84375</v>
      </c>
      <c r="J16">
        <f t="shared" si="1"/>
        <v>93.249999999941792</v>
      </c>
      <c r="K16" t="s">
        <v>78</v>
      </c>
      <c r="L16">
        <f>0</f>
        <v>0</v>
      </c>
      <c r="M16" t="s">
        <v>75</v>
      </c>
      <c r="N16" s="6">
        <v>0.78611111111111109</v>
      </c>
      <c r="O16">
        <v>2</v>
      </c>
      <c r="P16" t="s">
        <v>33</v>
      </c>
      <c r="Q16" t="str">
        <f t="shared" si="2"/>
        <v>L</v>
      </c>
      <c r="R16">
        <v>29.6</v>
      </c>
      <c r="S16">
        <v>22.8</v>
      </c>
      <c r="T16">
        <v>424</v>
      </c>
      <c r="U16" s="11">
        <f t="shared" si="9"/>
        <v>1.6348982291275935E-2</v>
      </c>
      <c r="V16">
        <v>0</v>
      </c>
      <c r="W16">
        <f t="shared" si="3"/>
        <v>0</v>
      </c>
      <c r="X16">
        <v>0</v>
      </c>
      <c r="Y16">
        <f t="shared" si="4"/>
        <v>0</v>
      </c>
      <c r="Z16"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>(V16*[1]Sheet1!$L$18)+(X16*[1]Sheet1!$L$19)+(Z16*[1]Sheet1!$L$17)</f>
        <v>0</v>
      </c>
      <c r="AE16">
        <f>'Stomach Details'!F16</f>
        <v>0</v>
      </c>
      <c r="AF16">
        <f t="shared" si="8"/>
        <v>0</v>
      </c>
    </row>
    <row r="17" spans="1:33">
      <c r="A17">
        <v>16</v>
      </c>
      <c r="B17" s="1">
        <v>42498</v>
      </c>
      <c r="C17" s="6">
        <v>0.70833333333333337</v>
      </c>
      <c r="D17">
        <v>11</v>
      </c>
      <c r="E17">
        <v>3</v>
      </c>
      <c r="F17" s="1">
        <f t="shared" si="11"/>
        <v>42502</v>
      </c>
      <c r="G17">
        <f t="shared" si="10"/>
        <v>133</v>
      </c>
      <c r="H17" s="6">
        <v>0.59375</v>
      </c>
      <c r="I17" s="6">
        <v>0.84375</v>
      </c>
      <c r="J17">
        <f t="shared" si="1"/>
        <v>93.249999999941792</v>
      </c>
      <c r="K17" t="s">
        <v>78</v>
      </c>
      <c r="L17">
        <f>0</f>
        <v>0</v>
      </c>
      <c r="M17" t="s">
        <v>75</v>
      </c>
      <c r="N17" s="6">
        <v>0.78611111111111109</v>
      </c>
      <c r="O17">
        <v>3</v>
      </c>
      <c r="P17" t="s">
        <v>32</v>
      </c>
      <c r="Q17" t="str">
        <f t="shared" si="2"/>
        <v>S</v>
      </c>
      <c r="R17">
        <v>19.3</v>
      </c>
      <c r="S17">
        <v>14.7</v>
      </c>
      <c r="T17">
        <v>97</v>
      </c>
      <c r="U17" s="11">
        <f t="shared" si="9"/>
        <v>1.3492729296763121E-2</v>
      </c>
      <c r="V17">
        <v>1</v>
      </c>
      <c r="W17">
        <f t="shared" si="3"/>
        <v>9.0909090909090912E-2</v>
      </c>
      <c r="X17">
        <v>0</v>
      </c>
      <c r="Y17">
        <f t="shared" si="4"/>
        <v>0</v>
      </c>
      <c r="Z17">
        <v>0</v>
      </c>
      <c r="AA17">
        <f t="shared" si="5"/>
        <v>0</v>
      </c>
      <c r="AB17">
        <f t="shared" si="6"/>
        <v>1</v>
      </c>
      <c r="AC17">
        <f t="shared" si="7"/>
        <v>1.2987012987012988E-2</v>
      </c>
      <c r="AD17">
        <f>(V17*[1]Sheet1!$L$18)+(X17*[1]Sheet1!$L$19)+(Z17*[1]Sheet1!$L$17)</f>
        <v>0.64049364713398538</v>
      </c>
      <c r="AE17">
        <f>'Stomach Details'!F17</f>
        <v>0.64049364713398538</v>
      </c>
      <c r="AF17">
        <f t="shared" si="8"/>
        <v>6.6030272900410867E-3</v>
      </c>
      <c r="AG17" t="s">
        <v>87</v>
      </c>
    </row>
    <row r="18" spans="1:33">
      <c r="A18">
        <v>17</v>
      </c>
      <c r="B18" s="1">
        <v>42500</v>
      </c>
      <c r="C18" s="6">
        <v>0.70833333333333337</v>
      </c>
      <c r="D18">
        <v>8</v>
      </c>
      <c r="E18">
        <v>4</v>
      </c>
      <c r="F18" s="1">
        <f t="shared" si="11"/>
        <v>42504</v>
      </c>
      <c r="G18">
        <f t="shared" si="10"/>
        <v>135</v>
      </c>
      <c r="H18" s="6">
        <v>0.59375</v>
      </c>
      <c r="I18" s="6">
        <v>0.84375</v>
      </c>
      <c r="J18">
        <f>((F18+H18)-(B18+C18))*24</f>
        <v>93.249999999941792</v>
      </c>
      <c r="K18" t="s">
        <v>79</v>
      </c>
      <c r="L18">
        <f>40</f>
        <v>40</v>
      </c>
      <c r="M18" t="s">
        <v>30</v>
      </c>
      <c r="N18" s="6">
        <v>0.78611111111111109</v>
      </c>
      <c r="O18">
        <v>1</v>
      </c>
      <c r="P18" t="s">
        <v>32</v>
      </c>
      <c r="Q18" t="str">
        <f t="shared" si="2"/>
        <v>M</v>
      </c>
      <c r="R18">
        <v>20.8</v>
      </c>
      <c r="S18">
        <v>16.100000000000001</v>
      </c>
      <c r="T18">
        <v>123</v>
      </c>
      <c r="U18" s="11">
        <f t="shared" si="9"/>
        <v>1.3668319014565312E-2</v>
      </c>
      <c r="V18">
        <v>3</v>
      </c>
      <c r="W18">
        <f t="shared" si="3"/>
        <v>0.27272727272727271</v>
      </c>
      <c r="X18">
        <v>0</v>
      </c>
      <c r="Y18">
        <f t="shared" si="4"/>
        <v>0</v>
      </c>
      <c r="Z18">
        <v>0</v>
      </c>
      <c r="AA18">
        <f t="shared" si="5"/>
        <v>0</v>
      </c>
      <c r="AB18">
        <f t="shared" si="6"/>
        <v>3</v>
      </c>
      <c r="AC18">
        <f t="shared" si="7"/>
        <v>3.896103896103896E-2</v>
      </c>
      <c r="AD18">
        <f>(V18*[1]Sheet1!$L$18)+(X18*[1]Sheet1!$L$19)+(Z18*[1]Sheet1!$L$17)</f>
        <v>1.9214809414019562</v>
      </c>
      <c r="AE18">
        <f>'Stomach Details'!F18</f>
        <v>2.4671577981690596</v>
      </c>
      <c r="AF18">
        <f t="shared" si="8"/>
        <v>1.562179627156062E-2</v>
      </c>
    </row>
    <row r="19" spans="1:33">
      <c r="A19">
        <v>18</v>
      </c>
      <c r="B19" s="1">
        <v>42500</v>
      </c>
      <c r="C19" s="6">
        <v>0.70833333333333337</v>
      </c>
      <c r="D19">
        <v>22</v>
      </c>
      <c r="E19">
        <v>6</v>
      </c>
      <c r="F19" s="1">
        <f t="shared" si="11"/>
        <v>42504</v>
      </c>
      <c r="G19">
        <f t="shared" si="10"/>
        <v>135</v>
      </c>
      <c r="H19" s="6">
        <v>0.59375</v>
      </c>
      <c r="I19" s="6">
        <v>0.84375</v>
      </c>
      <c r="J19">
        <f t="shared" ref="J19:J28" si="12">((F19+H19)-(B19+C19))*24</f>
        <v>93.249999999941792</v>
      </c>
      <c r="K19" t="s">
        <v>79</v>
      </c>
      <c r="L19">
        <f>40</f>
        <v>40</v>
      </c>
      <c r="M19" t="s">
        <v>30</v>
      </c>
      <c r="N19" s="6">
        <v>0.78611111111111109</v>
      </c>
      <c r="O19">
        <v>2</v>
      </c>
      <c r="P19" t="s">
        <v>32</v>
      </c>
      <c r="Q19" t="str">
        <f t="shared" si="2"/>
        <v>L</v>
      </c>
      <c r="R19">
        <v>25.2</v>
      </c>
      <c r="S19">
        <v>14.5</v>
      </c>
      <c r="T19">
        <v>226</v>
      </c>
      <c r="U19" s="11">
        <f t="shared" si="9"/>
        <v>1.4122344999140163E-2</v>
      </c>
      <c r="V19">
        <v>1</v>
      </c>
      <c r="W19">
        <f t="shared" si="3"/>
        <v>9.0909090909090912E-2</v>
      </c>
      <c r="X19">
        <v>0</v>
      </c>
      <c r="Y19">
        <f t="shared" si="4"/>
        <v>0</v>
      </c>
      <c r="Z19">
        <v>0</v>
      </c>
      <c r="AA19">
        <f t="shared" si="5"/>
        <v>0</v>
      </c>
      <c r="AB19">
        <f t="shared" si="6"/>
        <v>1</v>
      </c>
      <c r="AC19">
        <f t="shared" si="7"/>
        <v>1.2987012987012988E-2</v>
      </c>
      <c r="AD19">
        <f>(V19*[1]Sheet1!$L$18)+(X19*[1]Sheet1!$L$19)+(Z19*[1]Sheet1!$L$17)</f>
        <v>0.64049364713398538</v>
      </c>
      <c r="AE19">
        <f>'Stomach Details'!F19</f>
        <v>0.64049364713398538</v>
      </c>
      <c r="AF19">
        <f t="shared" si="8"/>
        <v>2.8340426864335638E-3</v>
      </c>
    </row>
    <row r="20" spans="1:33">
      <c r="A20">
        <v>19</v>
      </c>
      <c r="B20" s="1">
        <v>42500</v>
      </c>
      <c r="C20" s="6">
        <v>0.70833333333333337</v>
      </c>
      <c r="D20">
        <v>5</v>
      </c>
      <c r="E20">
        <v>7</v>
      </c>
      <c r="F20" s="1">
        <f t="shared" si="11"/>
        <v>42504</v>
      </c>
      <c r="G20">
        <f t="shared" si="10"/>
        <v>135</v>
      </c>
      <c r="H20" s="6">
        <v>0.59375</v>
      </c>
      <c r="I20" s="6">
        <v>0.84375</v>
      </c>
      <c r="J20">
        <f t="shared" si="12"/>
        <v>93.249999999941792</v>
      </c>
      <c r="K20" t="s">
        <v>79</v>
      </c>
      <c r="L20">
        <f>40</f>
        <v>40</v>
      </c>
      <c r="M20" t="s">
        <v>30</v>
      </c>
      <c r="N20" s="6">
        <v>0.78611111111111109</v>
      </c>
      <c r="O20">
        <v>3</v>
      </c>
      <c r="P20" t="s">
        <v>33</v>
      </c>
      <c r="Q20" t="str">
        <f t="shared" si="2"/>
        <v>M</v>
      </c>
      <c r="R20">
        <v>23.7</v>
      </c>
      <c r="S20">
        <v>18.600000000000001</v>
      </c>
      <c r="T20">
        <v>210</v>
      </c>
      <c r="U20" s="11">
        <f t="shared" si="9"/>
        <v>1.5775177577793599E-2</v>
      </c>
      <c r="V20">
        <v>0</v>
      </c>
      <c r="W20">
        <f t="shared" si="3"/>
        <v>0</v>
      </c>
      <c r="X20">
        <v>0</v>
      </c>
      <c r="Y20">
        <f t="shared" si="4"/>
        <v>0</v>
      </c>
      <c r="Z20"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>(V20*[1]Sheet1!$L$18)+(X20*[1]Sheet1!$L$19)+(Z20*[1]Sheet1!$L$17)</f>
        <v>0</v>
      </c>
      <c r="AE20">
        <f>'Stomach Details'!F20</f>
        <v>0</v>
      </c>
      <c r="AF20">
        <f t="shared" si="8"/>
        <v>0</v>
      </c>
    </row>
    <row r="21" spans="1:33">
      <c r="A21">
        <v>20</v>
      </c>
      <c r="B21" s="1">
        <v>42504</v>
      </c>
      <c r="C21" s="6">
        <v>0.6875</v>
      </c>
      <c r="D21">
        <v>16</v>
      </c>
      <c r="E21">
        <v>6</v>
      </c>
      <c r="F21" s="1">
        <f t="shared" si="11"/>
        <v>42508</v>
      </c>
      <c r="G21">
        <f t="shared" si="10"/>
        <v>139</v>
      </c>
      <c r="H21" s="6">
        <v>0.59375</v>
      </c>
      <c r="I21" s="6">
        <v>0.84375</v>
      </c>
      <c r="J21">
        <f t="shared" si="12"/>
        <v>93.75</v>
      </c>
      <c r="K21" t="s">
        <v>79</v>
      </c>
      <c r="L21">
        <v>40</v>
      </c>
      <c r="M21" t="s">
        <v>86</v>
      </c>
      <c r="N21" s="6">
        <v>0.78680555555555554</v>
      </c>
      <c r="O21">
        <v>1</v>
      </c>
      <c r="P21" t="s">
        <v>32</v>
      </c>
      <c r="Q21" t="str">
        <f t="shared" si="2"/>
        <v>S</v>
      </c>
      <c r="R21">
        <v>16.3</v>
      </c>
      <c r="S21">
        <v>12.3</v>
      </c>
      <c r="T21">
        <v>48</v>
      </c>
      <c r="U21" s="11">
        <f t="shared" si="9"/>
        <v>1.1083538244095071E-2</v>
      </c>
      <c r="V21">
        <v>1</v>
      </c>
      <c r="W21">
        <f t="shared" si="3"/>
        <v>9.0909090909090912E-2</v>
      </c>
      <c r="X21">
        <v>0</v>
      </c>
      <c r="Y21">
        <f t="shared" si="4"/>
        <v>0</v>
      </c>
      <c r="Z21">
        <v>1</v>
      </c>
      <c r="AA21">
        <f t="shared" si="5"/>
        <v>1.8181818181818181E-2</v>
      </c>
      <c r="AB21">
        <f t="shared" si="6"/>
        <v>2</v>
      </c>
      <c r="AC21">
        <f t="shared" si="7"/>
        <v>2.5974025974025976E-2</v>
      </c>
      <c r="AD21">
        <f>(V21*[1]Sheet1!$L$18)+(X21*[1]Sheet1!$L$19)+(Z21*[1]Sheet1!$L$17)</f>
        <v>0.76982033227573365</v>
      </c>
      <c r="AE21">
        <f>'Stomach Details'!F21</f>
        <v>0.76982033227573365</v>
      </c>
      <c r="AF21">
        <f t="shared" si="8"/>
        <v>1.6037923589077786E-2</v>
      </c>
      <c r="AG21" t="s">
        <v>88</v>
      </c>
    </row>
    <row r="22" spans="1:33">
      <c r="A22">
        <v>21</v>
      </c>
      <c r="B22" s="1">
        <v>42504</v>
      </c>
      <c r="C22" s="6">
        <v>0.6875</v>
      </c>
      <c r="D22">
        <v>6</v>
      </c>
      <c r="E22">
        <v>7</v>
      </c>
      <c r="F22" s="1">
        <f t="shared" si="11"/>
        <v>42508</v>
      </c>
      <c r="G22">
        <f t="shared" si="10"/>
        <v>139</v>
      </c>
      <c r="H22" s="6">
        <v>0.59375</v>
      </c>
      <c r="I22" s="6">
        <v>0.84375</v>
      </c>
      <c r="J22">
        <f t="shared" si="12"/>
        <v>93.75</v>
      </c>
      <c r="K22" t="s">
        <v>79</v>
      </c>
      <c r="L22">
        <v>40</v>
      </c>
      <c r="M22" t="s">
        <v>86</v>
      </c>
      <c r="N22" s="6">
        <v>0.78680555555555554</v>
      </c>
      <c r="O22">
        <v>3</v>
      </c>
      <c r="P22" t="s">
        <v>33</v>
      </c>
      <c r="Q22" t="str">
        <f t="shared" si="2"/>
        <v>M</v>
      </c>
      <c r="R22">
        <v>23.9</v>
      </c>
      <c r="S22">
        <v>18.3</v>
      </c>
      <c r="T22">
        <v>189</v>
      </c>
      <c r="U22" s="11">
        <f t="shared" si="9"/>
        <v>1.3844207543276518E-2</v>
      </c>
      <c r="V22">
        <v>0</v>
      </c>
      <c r="W22">
        <f t="shared" si="3"/>
        <v>0</v>
      </c>
      <c r="X22">
        <v>0</v>
      </c>
      <c r="Y22">
        <f t="shared" si="4"/>
        <v>0</v>
      </c>
      <c r="Z22">
        <v>2</v>
      </c>
      <c r="AA22">
        <f t="shared" si="5"/>
        <v>3.6363636363636362E-2</v>
      </c>
      <c r="AB22">
        <f t="shared" si="6"/>
        <v>2</v>
      </c>
      <c r="AC22">
        <f t="shared" si="7"/>
        <v>2.5974025974025976E-2</v>
      </c>
      <c r="AD22">
        <f>(V22*[1]Sheet1!$L$18)+(X22*[1]Sheet1!$L$19)+(Z22*[1]Sheet1!$L$17)</f>
        <v>0.2586533702834965</v>
      </c>
      <c r="AE22">
        <f>'Stomach Details'!F22</f>
        <v>0.2586533702834965</v>
      </c>
      <c r="AF22">
        <f t="shared" si="8"/>
        <v>1.3685363507063306E-3</v>
      </c>
    </row>
    <row r="23" spans="1:33">
      <c r="A23">
        <v>22</v>
      </c>
      <c r="B23" s="1">
        <v>42522</v>
      </c>
      <c r="C23" s="6">
        <v>0.625</v>
      </c>
      <c r="D23">
        <v>19</v>
      </c>
      <c r="E23">
        <v>5</v>
      </c>
      <c r="F23" s="1">
        <f t="shared" si="11"/>
        <v>42526</v>
      </c>
      <c r="G23">
        <f t="shared" si="10"/>
        <v>157</v>
      </c>
      <c r="H23" s="6">
        <v>0.59375</v>
      </c>
      <c r="I23" s="6">
        <v>0.84375</v>
      </c>
      <c r="J23">
        <f t="shared" si="12"/>
        <v>95.25</v>
      </c>
      <c r="K23" t="s">
        <v>77</v>
      </c>
      <c r="L23">
        <f>0</f>
        <v>0</v>
      </c>
      <c r="M23" t="s">
        <v>75</v>
      </c>
      <c r="N23" s="6">
        <v>0.7909722222222223</v>
      </c>
      <c r="O23">
        <v>1</v>
      </c>
      <c r="P23" t="s">
        <v>32</v>
      </c>
      <c r="Q23" t="str">
        <f t="shared" si="2"/>
        <v>S</v>
      </c>
      <c r="R23">
        <v>16.899999999999999</v>
      </c>
      <c r="S23">
        <v>12.5</v>
      </c>
      <c r="T23">
        <v>59</v>
      </c>
      <c r="U23" s="11">
        <f t="shared" si="9"/>
        <v>1.2223396450947201E-2</v>
      </c>
      <c r="V23">
        <v>1</v>
      </c>
      <c r="W23">
        <f t="shared" si="3"/>
        <v>9.0909090909090912E-2</v>
      </c>
      <c r="X23">
        <v>4</v>
      </c>
      <c r="Y23">
        <f t="shared" si="4"/>
        <v>0.36363636363636365</v>
      </c>
      <c r="Z23">
        <v>4</v>
      </c>
      <c r="AA23">
        <f t="shared" si="5"/>
        <v>7.2727272727272724E-2</v>
      </c>
      <c r="AB23">
        <f t="shared" si="6"/>
        <v>9</v>
      </c>
      <c r="AC23">
        <f t="shared" si="7"/>
        <v>0.11688311688311688</v>
      </c>
      <c r="AD23">
        <f>(V23*[1]Sheet1!$L$18)+(X23*[1]Sheet1!$L$19)+(Z23*[1]Sheet1!$L$17)</f>
        <v>3.7786617719138778</v>
      </c>
      <c r="AE23">
        <f>'Stomach Details'!F23</f>
        <v>3.1096671851011255</v>
      </c>
      <c r="AF23">
        <f t="shared" ref="AF23:AF28" si="13">AD23/T23</f>
        <v>6.4045114778201323E-2</v>
      </c>
      <c r="AG23" t="s">
        <v>130</v>
      </c>
    </row>
    <row r="24" spans="1:33">
      <c r="A24">
        <v>23</v>
      </c>
      <c r="B24" s="1">
        <v>42522</v>
      </c>
      <c r="C24" s="6">
        <v>0.625</v>
      </c>
      <c r="D24">
        <v>22</v>
      </c>
      <c r="E24">
        <v>6</v>
      </c>
      <c r="F24" s="1">
        <f t="shared" si="11"/>
        <v>42526</v>
      </c>
      <c r="G24">
        <f t="shared" si="10"/>
        <v>157</v>
      </c>
      <c r="H24" s="6">
        <v>0.59375</v>
      </c>
      <c r="I24" s="6">
        <v>0.84375</v>
      </c>
      <c r="J24">
        <f t="shared" si="12"/>
        <v>95.25</v>
      </c>
      <c r="K24" t="s">
        <v>77</v>
      </c>
      <c r="L24" s="3">
        <v>0</v>
      </c>
      <c r="M24" t="s">
        <v>75</v>
      </c>
      <c r="N24" s="6">
        <v>0.7909722222222223</v>
      </c>
      <c r="O24">
        <v>2</v>
      </c>
      <c r="P24" t="s">
        <v>32</v>
      </c>
      <c r="Q24" t="str">
        <f t="shared" si="2"/>
        <v>S</v>
      </c>
      <c r="R24">
        <v>18.7</v>
      </c>
      <c r="S24">
        <v>14.3</v>
      </c>
      <c r="T24">
        <v>91</v>
      </c>
      <c r="U24" s="11">
        <f t="shared" si="9"/>
        <v>1.3916068976601585E-2</v>
      </c>
      <c r="V24">
        <v>0</v>
      </c>
      <c r="W24">
        <f t="shared" si="3"/>
        <v>0</v>
      </c>
      <c r="X24">
        <v>0</v>
      </c>
      <c r="Y24">
        <f t="shared" si="4"/>
        <v>0</v>
      </c>
      <c r="Z24"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>(V24*[1]Sheet1!$L$18)+(X24*[1]Sheet1!$L$19)+(Z24*[1]Sheet1!$L$17)</f>
        <v>0</v>
      </c>
      <c r="AE24">
        <f>'Stomach Details'!F24</f>
        <v>0</v>
      </c>
      <c r="AF24">
        <f t="shared" si="13"/>
        <v>0</v>
      </c>
    </row>
    <row r="25" spans="1:33">
      <c r="A25">
        <v>24</v>
      </c>
      <c r="B25" s="1">
        <v>42522</v>
      </c>
      <c r="C25" s="6">
        <v>0.625</v>
      </c>
      <c r="D25">
        <v>23</v>
      </c>
      <c r="E25">
        <v>2</v>
      </c>
      <c r="F25" s="1">
        <f t="shared" si="11"/>
        <v>42526</v>
      </c>
      <c r="G25">
        <f t="shared" si="10"/>
        <v>157</v>
      </c>
      <c r="H25" s="6">
        <v>0.59375</v>
      </c>
      <c r="I25" s="6">
        <v>0.84375</v>
      </c>
      <c r="J25">
        <f t="shared" si="12"/>
        <v>95.25</v>
      </c>
      <c r="K25" t="s">
        <v>77</v>
      </c>
      <c r="L25" s="3">
        <v>0</v>
      </c>
      <c r="M25" t="s">
        <v>75</v>
      </c>
      <c r="N25" s="6">
        <v>0.7909722222222223</v>
      </c>
      <c r="O25">
        <v>3</v>
      </c>
      <c r="P25" t="s">
        <v>33</v>
      </c>
      <c r="Q25" t="str">
        <f t="shared" si="2"/>
        <v>S</v>
      </c>
      <c r="R25">
        <v>17.600000000000001</v>
      </c>
      <c r="S25">
        <v>12.8</v>
      </c>
      <c r="T25">
        <v>55</v>
      </c>
      <c r="U25" s="11">
        <f t="shared" si="9"/>
        <v>1.0088455578512394E-2</v>
      </c>
      <c r="V25">
        <v>0</v>
      </c>
      <c r="W25">
        <f t="shared" si="3"/>
        <v>0</v>
      </c>
      <c r="X25">
        <v>0</v>
      </c>
      <c r="Y25">
        <f t="shared" si="4"/>
        <v>0</v>
      </c>
      <c r="Z25"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>(V25*[1]Sheet1!$L$18)+(X25*[1]Sheet1!$L$19)+(Z25*[1]Sheet1!$L$17)</f>
        <v>0</v>
      </c>
      <c r="AE25">
        <f>'Stomach Details'!F25</f>
        <v>0</v>
      </c>
      <c r="AF25">
        <f t="shared" si="13"/>
        <v>0</v>
      </c>
      <c r="AG25" t="s">
        <v>131</v>
      </c>
    </row>
    <row r="26" spans="1:33">
      <c r="A26">
        <v>25</v>
      </c>
      <c r="B26" s="1">
        <f>B25+2</f>
        <v>42524</v>
      </c>
      <c r="C26" s="6">
        <v>0.66666666666666663</v>
      </c>
      <c r="D26">
        <v>16</v>
      </c>
      <c r="E26">
        <v>4</v>
      </c>
      <c r="F26" s="1">
        <f t="shared" si="11"/>
        <v>42528</v>
      </c>
      <c r="G26">
        <f t="shared" si="10"/>
        <v>159</v>
      </c>
      <c r="H26" s="6">
        <v>0.59375</v>
      </c>
      <c r="I26" s="6">
        <v>0.84375</v>
      </c>
      <c r="J26">
        <f t="shared" si="12"/>
        <v>94.250000000058208</v>
      </c>
      <c r="K26" t="s">
        <v>78</v>
      </c>
      <c r="L26" s="3">
        <v>100</v>
      </c>
      <c r="M26" s="3" t="s">
        <v>75</v>
      </c>
      <c r="N26" s="6">
        <v>0.7909722222222223</v>
      </c>
      <c r="O26">
        <v>1</v>
      </c>
      <c r="P26" t="s">
        <v>33</v>
      </c>
      <c r="Q26" t="str">
        <f t="shared" si="2"/>
        <v>L</v>
      </c>
      <c r="R26">
        <v>26.9</v>
      </c>
      <c r="S26">
        <v>20.8</v>
      </c>
      <c r="T26">
        <v>300</v>
      </c>
      <c r="U26" s="11">
        <f t="shared" si="9"/>
        <v>1.5412192143388462E-2</v>
      </c>
      <c r="V26">
        <v>2</v>
      </c>
      <c r="W26">
        <f t="shared" si="3"/>
        <v>0.18181818181818182</v>
      </c>
      <c r="X26">
        <v>0</v>
      </c>
      <c r="Y26">
        <f t="shared" si="4"/>
        <v>0</v>
      </c>
      <c r="Z26">
        <v>0</v>
      </c>
      <c r="AA26">
        <f t="shared" si="5"/>
        <v>0</v>
      </c>
      <c r="AB26">
        <f t="shared" si="6"/>
        <v>2</v>
      </c>
      <c r="AC26">
        <f t="shared" si="7"/>
        <v>2.5974025974025976E-2</v>
      </c>
      <c r="AD26">
        <f>(V26*[1]Sheet1!$L$18)+(X26*[1]Sheet1!$L$19)+(Z26*[1]Sheet1!$L$17)</f>
        <v>1.2809872942679708</v>
      </c>
      <c r="AE26">
        <f>'Stomach Details'!F26</f>
        <v>1.3974362148226844</v>
      </c>
      <c r="AF26">
        <f t="shared" si="13"/>
        <v>4.2699576475599028E-3</v>
      </c>
    </row>
    <row r="27" spans="1:33">
      <c r="A27">
        <v>26</v>
      </c>
      <c r="B27" s="1">
        <f>B26</f>
        <v>42524</v>
      </c>
      <c r="C27" s="6">
        <v>0.66666666666666663</v>
      </c>
      <c r="D27">
        <v>19</v>
      </c>
      <c r="E27">
        <v>3</v>
      </c>
      <c r="F27" s="1">
        <f t="shared" si="11"/>
        <v>42528</v>
      </c>
      <c r="G27">
        <f t="shared" si="10"/>
        <v>159</v>
      </c>
      <c r="H27" s="6">
        <v>0.59375</v>
      </c>
      <c r="I27" s="6">
        <v>0.84375</v>
      </c>
      <c r="J27">
        <f t="shared" si="12"/>
        <v>94.250000000058208</v>
      </c>
      <c r="K27" t="s">
        <v>78</v>
      </c>
      <c r="L27" s="3">
        <v>100</v>
      </c>
      <c r="M27" s="3" t="s">
        <v>75</v>
      </c>
      <c r="N27" s="6">
        <v>0.7909722222222223</v>
      </c>
      <c r="O27">
        <v>2</v>
      </c>
      <c r="P27" t="s">
        <v>33</v>
      </c>
      <c r="Q27" t="str">
        <f t="shared" si="2"/>
        <v>S</v>
      </c>
      <c r="R27">
        <v>17.5</v>
      </c>
      <c r="S27">
        <v>13.1</v>
      </c>
      <c r="T27">
        <v>61</v>
      </c>
      <c r="U27" s="11">
        <f t="shared" si="9"/>
        <v>1.1381924198250728E-2</v>
      </c>
      <c r="V27">
        <v>2</v>
      </c>
      <c r="W27">
        <f t="shared" si="3"/>
        <v>0.18181818181818182</v>
      </c>
      <c r="X27">
        <v>0</v>
      </c>
      <c r="Y27">
        <f t="shared" si="4"/>
        <v>0</v>
      </c>
      <c r="Z27">
        <v>1</v>
      </c>
      <c r="AA27">
        <f t="shared" si="5"/>
        <v>1.8181818181818181E-2</v>
      </c>
      <c r="AB27">
        <f t="shared" si="6"/>
        <v>3</v>
      </c>
      <c r="AC27">
        <f t="shared" si="7"/>
        <v>3.896103896103896E-2</v>
      </c>
      <c r="AD27">
        <f>(V27*[1]Sheet1!$L$18)+(X27*[1]Sheet1!$L$19)+(Z27*[1]Sheet1!$L$17)</f>
        <v>1.410313979409719</v>
      </c>
      <c r="AE27">
        <f>'Stomach Details'!F27</f>
        <v>1.410313979409719</v>
      </c>
      <c r="AF27">
        <f t="shared" si="13"/>
        <v>2.3119901301798671E-2</v>
      </c>
      <c r="AG27" t="s">
        <v>131</v>
      </c>
    </row>
    <row r="28" spans="1:33">
      <c r="A28">
        <v>27</v>
      </c>
      <c r="B28" s="1">
        <f>B26</f>
        <v>42524</v>
      </c>
      <c r="C28" s="12">
        <v>0.66666666666666663</v>
      </c>
      <c r="D28">
        <v>27</v>
      </c>
      <c r="E28">
        <v>7</v>
      </c>
      <c r="F28" s="1">
        <f t="shared" si="11"/>
        <v>42528</v>
      </c>
      <c r="G28">
        <f t="shared" si="10"/>
        <v>159</v>
      </c>
      <c r="H28" s="6">
        <v>0.59375</v>
      </c>
      <c r="I28" s="6">
        <v>0.84375</v>
      </c>
      <c r="J28">
        <f t="shared" si="12"/>
        <v>94.250000000058208</v>
      </c>
      <c r="K28" t="s">
        <v>78</v>
      </c>
      <c r="L28" s="3">
        <v>100</v>
      </c>
      <c r="M28" s="3" t="s">
        <v>75</v>
      </c>
      <c r="N28" s="6">
        <v>0.7909722222222223</v>
      </c>
      <c r="O28">
        <v>3</v>
      </c>
      <c r="P28" t="s">
        <v>32</v>
      </c>
      <c r="Q28" t="str">
        <f t="shared" si="2"/>
        <v>M</v>
      </c>
      <c r="R28">
        <v>20.2</v>
      </c>
      <c r="S28">
        <v>16.2</v>
      </c>
      <c r="T28">
        <v>131</v>
      </c>
      <c r="U28" s="11">
        <f t="shared" si="9"/>
        <v>1.5893413672315178E-2</v>
      </c>
      <c r="V28">
        <v>1</v>
      </c>
      <c r="W28">
        <f t="shared" si="3"/>
        <v>9.0909090909090912E-2</v>
      </c>
      <c r="X28">
        <v>1</v>
      </c>
      <c r="Y28">
        <f t="shared" si="4"/>
        <v>9.0909090909090912E-2</v>
      </c>
      <c r="Z28">
        <v>0</v>
      </c>
      <c r="AA28">
        <f t="shared" si="5"/>
        <v>0</v>
      </c>
      <c r="AB28">
        <f t="shared" si="6"/>
        <v>2</v>
      </c>
      <c r="AC28">
        <f t="shared" si="7"/>
        <v>2.5974025974025976E-2</v>
      </c>
      <c r="AD28">
        <f>(V28*[1]Sheet1!$L$18)+(X28*[1]Sheet1!$L$19)+(Z28*[1]Sheet1!$L$17)</f>
        <v>1.2957089931872101</v>
      </c>
      <c r="AE28">
        <f>'Stomach Details'!F28</f>
        <v>1.1915422707183574</v>
      </c>
      <c r="AF28">
        <f t="shared" si="13"/>
        <v>9.8909083449405348E-3</v>
      </c>
      <c r="AG28" t="s">
        <v>136</v>
      </c>
    </row>
    <row r="1047730" spans="11:11">
      <c r="K1047730" t="s">
        <v>31</v>
      </c>
    </row>
    <row r="1047844" spans="2:14">
      <c r="B1047844" s="1"/>
    </row>
    <row r="1047847" spans="2:14">
      <c r="N1047847" s="6"/>
    </row>
    <row r="1048277" spans="3:3">
      <c r="C1048277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workbookViewId="0">
      <pane ySplit="1" topLeftCell="A2" activePane="bottomLeft" state="frozen"/>
      <selection pane="bottomLeft" activeCell="E26" sqref="E26"/>
    </sheetView>
  </sheetViews>
  <sheetFormatPr baseColWidth="10" defaultRowHeight="15" x14ac:dyDescent="0"/>
  <sheetData>
    <row r="1" spans="1:42">
      <c r="A1" s="5" t="s">
        <v>0</v>
      </c>
      <c r="B1" s="5" t="s">
        <v>21</v>
      </c>
      <c r="C1" s="5" t="s">
        <v>23</v>
      </c>
      <c r="D1" s="5" t="s">
        <v>25</v>
      </c>
      <c r="E1" s="5" t="s">
        <v>34</v>
      </c>
      <c r="F1" s="7" t="s">
        <v>44</v>
      </c>
      <c r="G1" s="5" t="s">
        <v>35</v>
      </c>
      <c r="H1" s="5" t="s">
        <v>46</v>
      </c>
      <c r="I1" s="5" t="s">
        <v>36</v>
      </c>
      <c r="J1" s="5" t="s">
        <v>37</v>
      </c>
      <c r="K1" s="5" t="s">
        <v>38</v>
      </c>
      <c r="L1" s="5" t="s">
        <v>47</v>
      </c>
      <c r="M1" s="5" t="s">
        <v>39</v>
      </c>
      <c r="N1" s="5" t="s">
        <v>40</v>
      </c>
      <c r="O1" s="5" t="s">
        <v>41</v>
      </c>
      <c r="P1" s="5" t="s">
        <v>48</v>
      </c>
      <c r="Q1" s="5" t="s">
        <v>42</v>
      </c>
      <c r="R1" s="5" t="s">
        <v>43</v>
      </c>
      <c r="S1" s="5" t="s">
        <v>49</v>
      </c>
      <c r="T1" s="5" t="s">
        <v>50</v>
      </c>
      <c r="U1" s="5" t="s">
        <v>51</v>
      </c>
      <c r="V1" s="5" t="s">
        <v>52</v>
      </c>
      <c r="W1" s="7" t="s">
        <v>53</v>
      </c>
      <c r="X1" s="7" t="s">
        <v>54</v>
      </c>
      <c r="Y1" s="7" t="s">
        <v>55</v>
      </c>
      <c r="Z1" s="7" t="s">
        <v>56</v>
      </c>
      <c r="AA1" s="7" t="s">
        <v>62</v>
      </c>
      <c r="AB1" s="7" t="s">
        <v>63</v>
      </c>
      <c r="AC1" s="7" t="s">
        <v>64</v>
      </c>
      <c r="AD1" s="7" t="s">
        <v>65</v>
      </c>
      <c r="AE1" s="7" t="s">
        <v>66</v>
      </c>
      <c r="AF1" s="7" t="s">
        <v>67</v>
      </c>
      <c r="AG1" s="7" t="s">
        <v>68</v>
      </c>
      <c r="AH1" s="7" t="s">
        <v>69</v>
      </c>
      <c r="AI1" s="7" t="s">
        <v>70</v>
      </c>
      <c r="AJ1" s="7" t="s">
        <v>71</v>
      </c>
      <c r="AK1" s="7" t="s">
        <v>72</v>
      </c>
      <c r="AL1" s="7" t="s">
        <v>73</v>
      </c>
      <c r="AM1" s="7" t="s">
        <v>132</v>
      </c>
      <c r="AN1" s="7" t="s">
        <v>133</v>
      </c>
      <c r="AO1" s="7" t="s">
        <v>134</v>
      </c>
      <c r="AP1" s="7" t="s">
        <v>135</v>
      </c>
    </row>
    <row r="2" spans="1:42">
      <c r="A2">
        <v>1</v>
      </c>
      <c r="B2">
        <f>'Raw Data'!V2</f>
        <v>3</v>
      </c>
      <c r="C2">
        <f>'Raw Data'!X2</f>
        <v>0</v>
      </c>
      <c r="D2">
        <f>'Raw Data'!Z2</f>
        <v>2</v>
      </c>
      <c r="E2">
        <f>SUM(B2:D2)</f>
        <v>5</v>
      </c>
      <c r="F2">
        <f>IF(G2="Chromis multilineata",(0.0216*I2^2.839),IF(G2="Thalassoma bifasciatum",(0.0107*I2^2.9162),IF(G2="Coryphopterus personatus/hyalinus",(0.0141*J2^2.987),0)))+IF(K2="Chromis multilineata",(0.0216*M2^2.839),IF(K2="Thalassoma bifasciatum",(0.0107*M2^2.9162),IF(K2="Coryphopterus personatus/hyalinus",(0.0141*N2^2.987),0)))+IF(O2="Chromis multilineata",(0.0216*Q2^2.839),IF(O2="Thalassoma bifasciatum",(0.0107*Q2^2.9162),IF(O2="Coryphopterus personatus/hyalinus",(0.0141*R2^2.987),0)))+IF(S2="Chromis multilineata",(0.0216*U2^2.839),IF(S2="Thalassoma bifasciatum",(0.0107*U2^2.9162),IF(S2="Coryphopterus personatus/hyalinus",(0.0141*V2^2.987),0)))+IF(W2="Chromis multilineata",(0.0216*Y2^2.839),IF(W2="Thalassoma bifasciatum",(0.0107*Y2^2.9162),IF(W2="Coryphopterus personatus/hyalinus",(0.0141*Z2^2.987),0)))+IF(AA2="Chromis multilineata",(0.0216*AC2^2.839),IF(AA2="Thalassoma bifasciatum",(0.0107*AC2^2.9162),IF(AA2="Coryphopterus personatus/hyalinus",(0.0141*AD2^2.987),0)))+IF(AE2="Chromis multilineata",(0.0216*AG2^2.839),IF(AE2="Thalassoma bifasciatum",(0.0107*AG2^2.9162),IF(AE2="Coryphopterus personatus/hyalinus",(0.0141*AH2^2.987),0)))+IF(AI2="Chromis multilineata",(0.0216*AK2^2.839),IF(AI2="Thalassoma bifasciatum",(0.0107*AK2^2.9162),IF(AI2="Coryphopterus personatus/hyalinus",(0.0141*AL2^2.987),0)))</f>
        <v>2.1801343116854524</v>
      </c>
      <c r="G2" t="s">
        <v>45</v>
      </c>
      <c r="H2">
        <v>1</v>
      </c>
      <c r="I2" s="8">
        <v>3.3</v>
      </c>
      <c r="J2">
        <v>3.6</v>
      </c>
      <c r="K2" t="s">
        <v>45</v>
      </c>
      <c r="L2">
        <v>2</v>
      </c>
      <c r="M2" s="8">
        <v>3.3</v>
      </c>
      <c r="N2">
        <v>2.5</v>
      </c>
      <c r="O2" t="s">
        <v>45</v>
      </c>
      <c r="P2">
        <v>4</v>
      </c>
      <c r="Q2" s="8">
        <v>3.3</v>
      </c>
      <c r="R2" s="2"/>
      <c r="S2" t="s">
        <v>57</v>
      </c>
      <c r="T2">
        <v>2</v>
      </c>
      <c r="V2" s="8">
        <v>2.1</v>
      </c>
      <c r="W2" t="s">
        <v>57</v>
      </c>
      <c r="X2">
        <v>4</v>
      </c>
      <c r="Z2" s="8">
        <v>2.1</v>
      </c>
    </row>
    <row r="3" spans="1:42">
      <c r="A3">
        <v>2</v>
      </c>
      <c r="B3">
        <f>'Raw Data'!V3</f>
        <v>0</v>
      </c>
      <c r="C3">
        <f>'Raw Data'!X3</f>
        <v>1</v>
      </c>
      <c r="D3">
        <f>'Raw Data'!Z3</f>
        <v>0</v>
      </c>
      <c r="E3">
        <f t="shared" ref="E3:E9" si="0">SUM(B3:D3)</f>
        <v>1</v>
      </c>
      <c r="F3">
        <f t="shared" ref="F3:F28" si="1">IF(G3="Chromis multilineata",(0.0216*I3^2.839),IF(G3="Thalassoma bifasciatum",(0.0107*I3^2.9162),IF(G3="Coryphopterus personatus/hyalinus",(0.0141*J3^2.987),0)))+IF(K3="Chromis multilineata",(0.0216*M3^2.839),IF(K3="Thalassoma bifasciatum",(0.0107*M3^2.9162),IF(K3="Coryphopterus personatus/hyalinus",(0.0141*N3^2.987),0)))+IF(O3="Chromis multilineata",(0.0216*Q3^2.839),IF(O3="Thalassoma bifasciatum",(0.0107*Q3^2.9162),IF(O3="Coryphopterus personatus/hyalinus",(0.0141*R3^2.987),0)))+IF(S3="Chromis multilineata",(0.0216*U3^2.839),IF(S3="Thalassoma bifasciatum",(0.0107*U3^2.9162),IF(S3="Coryphopterus personatus/hyalinus",(0.0141*V3^2.987),0)))+IF(W3="Chromis multilineata",(0.0216*Y3^2.839),IF(W3="Thalassoma bifasciatum",(0.0107*Y3^2.9162),IF(W3="Coryphopterus personatus/hyalinus",(0.0141*Z3^2.987),0)))+IF(AA3="Chromis multilineata",(0.0216*AC3^2.839),IF(AA3="Thalassoma bifasciatum",(0.0107*AC3^2.9162),IF(AA3="Coryphopterus personatus/hyalinus",(0.0141*AD3^2.987),0)))+IF(AE3="Chromis multilineata",(0.0216*AG3^2.839),IF(AE3="Thalassoma bifasciatum",(0.0107*AG3^2.9162),IF(AE3="Coryphopterus personatus/hyalinus",(0.0141*AH3^2.987),0)))+IF(AI3="Chromis multilineata",(0.0216*AK3^2.839),IF(AI3="Thalassoma bifasciatum",(0.0107*AK3^2.9162),IF(AI3="Coryphopterus personatus/hyalinus",(0.0141*AL3^2.987),0)))</f>
        <v>0.65521534605322485</v>
      </c>
      <c r="G3" t="s">
        <v>58</v>
      </c>
      <c r="H3">
        <v>2</v>
      </c>
      <c r="I3" s="8">
        <v>4.0999999999999996</v>
      </c>
      <c r="J3">
        <v>3.8</v>
      </c>
    </row>
    <row r="4" spans="1:42">
      <c r="A4">
        <v>3</v>
      </c>
      <c r="B4">
        <f>'Raw Data'!V4</f>
        <v>0</v>
      </c>
      <c r="C4">
        <f>'Raw Data'!X4</f>
        <v>2</v>
      </c>
      <c r="D4">
        <f>'Raw Data'!Z4</f>
        <v>0</v>
      </c>
      <c r="E4">
        <f t="shared" si="0"/>
        <v>2</v>
      </c>
      <c r="F4">
        <f t="shared" si="1"/>
        <v>1.3104306921064497</v>
      </c>
      <c r="G4" t="s">
        <v>58</v>
      </c>
      <c r="H4">
        <v>1</v>
      </c>
      <c r="I4">
        <v>4.0999999999999996</v>
      </c>
      <c r="J4">
        <v>3.5</v>
      </c>
      <c r="K4" t="s">
        <v>58</v>
      </c>
      <c r="L4">
        <v>2</v>
      </c>
      <c r="M4" s="8">
        <v>4.0999999999999996</v>
      </c>
    </row>
    <row r="5" spans="1:42">
      <c r="A5">
        <v>4</v>
      </c>
      <c r="B5">
        <f>'Raw Data'!V5</f>
        <v>3</v>
      </c>
      <c r="C5">
        <f>'Raw Data'!X5</f>
        <v>0</v>
      </c>
      <c r="D5">
        <f>'Raw Data'!Z5</f>
        <v>0</v>
      </c>
      <c r="E5">
        <f t="shared" si="0"/>
        <v>3</v>
      </c>
      <c r="F5">
        <f t="shared" si="1"/>
        <v>2.2142550208261977</v>
      </c>
      <c r="G5" t="s">
        <v>45</v>
      </c>
      <c r="H5">
        <v>1</v>
      </c>
      <c r="I5">
        <v>3.4</v>
      </c>
      <c r="J5">
        <v>2.8</v>
      </c>
      <c r="K5" t="s">
        <v>45</v>
      </c>
      <c r="L5">
        <v>1</v>
      </c>
      <c r="M5">
        <v>3.4</v>
      </c>
      <c r="N5">
        <v>2.8</v>
      </c>
      <c r="O5" t="s">
        <v>45</v>
      </c>
      <c r="P5">
        <v>1</v>
      </c>
      <c r="Q5">
        <v>3.6</v>
      </c>
      <c r="R5">
        <v>3</v>
      </c>
    </row>
    <row r="6" spans="1:42">
      <c r="A6">
        <v>5</v>
      </c>
      <c r="B6">
        <f>'Raw Data'!V6</f>
        <v>2</v>
      </c>
      <c r="C6">
        <f>'Raw Data'!X6</f>
        <v>0</v>
      </c>
      <c r="D6">
        <f>'Raw Data'!Z6</f>
        <v>0</v>
      </c>
      <c r="E6">
        <f t="shared" si="0"/>
        <v>2</v>
      </c>
      <c r="F6">
        <f t="shared" si="1"/>
        <v>1.2809872942679708</v>
      </c>
      <c r="G6" t="s">
        <v>45</v>
      </c>
      <c r="H6">
        <v>2</v>
      </c>
      <c r="I6" s="8">
        <v>3.3</v>
      </c>
      <c r="J6">
        <v>2.9</v>
      </c>
      <c r="K6" t="s">
        <v>45</v>
      </c>
      <c r="L6">
        <v>2</v>
      </c>
      <c r="M6" s="8">
        <v>3.3</v>
      </c>
      <c r="N6">
        <v>2.6</v>
      </c>
    </row>
    <row r="7" spans="1:42">
      <c r="A7">
        <v>6</v>
      </c>
      <c r="B7">
        <f>'Raw Data'!V7</f>
        <v>4</v>
      </c>
      <c r="C7">
        <f>'Raw Data'!X7</f>
        <v>1</v>
      </c>
      <c r="D7">
        <f>'Raw Data'!Z7</f>
        <v>3</v>
      </c>
      <c r="E7">
        <f t="shared" si="0"/>
        <v>8</v>
      </c>
      <c r="F7">
        <f t="shared" si="1"/>
        <v>4.1664812739374071</v>
      </c>
      <c r="G7" t="s">
        <v>45</v>
      </c>
      <c r="H7">
        <v>1</v>
      </c>
      <c r="I7">
        <v>3.7</v>
      </c>
      <c r="J7">
        <v>2.8</v>
      </c>
      <c r="K7" t="s">
        <v>45</v>
      </c>
      <c r="L7">
        <v>1</v>
      </c>
      <c r="M7">
        <v>3.8</v>
      </c>
      <c r="N7">
        <v>3</v>
      </c>
      <c r="O7" t="s">
        <v>45</v>
      </c>
      <c r="P7">
        <v>2</v>
      </c>
      <c r="Q7" s="8">
        <v>3.3</v>
      </c>
      <c r="R7" s="2"/>
      <c r="S7" t="s">
        <v>45</v>
      </c>
      <c r="T7">
        <v>2</v>
      </c>
      <c r="U7" s="8">
        <v>3.3</v>
      </c>
      <c r="W7" t="s">
        <v>57</v>
      </c>
      <c r="X7">
        <v>1</v>
      </c>
      <c r="Y7">
        <v>1.7</v>
      </c>
      <c r="Z7" s="8">
        <v>2.1</v>
      </c>
      <c r="AA7" t="s">
        <v>57</v>
      </c>
      <c r="AB7">
        <v>1</v>
      </c>
      <c r="AC7">
        <v>1.7</v>
      </c>
      <c r="AD7" s="8">
        <v>2.1</v>
      </c>
      <c r="AE7" t="s">
        <v>57</v>
      </c>
      <c r="AF7">
        <v>2</v>
      </c>
      <c r="AH7" s="8">
        <v>2.1</v>
      </c>
      <c r="AI7" t="s">
        <v>58</v>
      </c>
      <c r="AJ7">
        <v>2</v>
      </c>
      <c r="AK7" s="8">
        <v>4.0999999999999996</v>
      </c>
      <c r="AL7">
        <v>3.7</v>
      </c>
    </row>
    <row r="8" spans="1:42">
      <c r="A8">
        <v>7</v>
      </c>
      <c r="B8">
        <f>'Raw Data'!V8</f>
        <v>2</v>
      </c>
      <c r="C8">
        <f>'Raw Data'!X8</f>
        <v>0</v>
      </c>
      <c r="D8">
        <f>'Raw Data'!Z8</f>
        <v>0</v>
      </c>
      <c r="E8">
        <f t="shared" si="0"/>
        <v>2</v>
      </c>
      <c r="F8">
        <f t="shared" si="1"/>
        <v>0.75694256768869894</v>
      </c>
      <c r="G8" t="s">
        <v>45</v>
      </c>
      <c r="H8">
        <v>1</v>
      </c>
      <c r="I8">
        <v>3.5</v>
      </c>
      <c r="J8">
        <v>2.8</v>
      </c>
      <c r="K8" t="s">
        <v>45</v>
      </c>
      <c r="L8">
        <v>1</v>
      </c>
      <c r="N8">
        <v>3</v>
      </c>
    </row>
    <row r="9" spans="1:42">
      <c r="A9">
        <v>8</v>
      </c>
      <c r="B9">
        <f>'Raw Data'!V9</f>
        <v>3</v>
      </c>
      <c r="C9">
        <f>'Raw Data'!X9</f>
        <v>0</v>
      </c>
      <c r="D9">
        <f>'Raw Data'!Z9</f>
        <v>0</v>
      </c>
      <c r="E9">
        <f t="shared" si="0"/>
        <v>3</v>
      </c>
      <c r="F9">
        <f t="shared" si="1"/>
        <v>2.2369905734413851</v>
      </c>
      <c r="G9" t="s">
        <v>45</v>
      </c>
      <c r="H9">
        <v>1</v>
      </c>
      <c r="I9" s="8">
        <v>3.3</v>
      </c>
      <c r="J9">
        <v>3.3</v>
      </c>
      <c r="K9" t="s">
        <v>45</v>
      </c>
      <c r="L9">
        <v>1</v>
      </c>
      <c r="M9">
        <v>3.8</v>
      </c>
      <c r="N9">
        <v>3.1</v>
      </c>
      <c r="O9" t="s">
        <v>45</v>
      </c>
      <c r="P9">
        <v>4</v>
      </c>
      <c r="Q9" s="8">
        <v>3.3</v>
      </c>
    </row>
    <row r="10" spans="1:42">
      <c r="A10">
        <v>9</v>
      </c>
      <c r="B10">
        <f>'Raw Data'!V10</f>
        <v>2</v>
      </c>
      <c r="C10">
        <f>'Raw Data'!X10</f>
        <v>0</v>
      </c>
      <c r="D10">
        <f>'Raw Data'!Z10</f>
        <v>1</v>
      </c>
      <c r="E10">
        <f t="shared" ref="E10:E11" si="2">SUM(B10:D10)</f>
        <v>3</v>
      </c>
      <c r="F10">
        <f t="shared" si="1"/>
        <v>1.6464378621766309</v>
      </c>
      <c r="G10" t="s">
        <v>45</v>
      </c>
      <c r="H10">
        <v>1</v>
      </c>
      <c r="I10">
        <v>3.4</v>
      </c>
      <c r="J10">
        <v>2.9</v>
      </c>
      <c r="K10" t="s">
        <v>45</v>
      </c>
      <c r="L10">
        <v>1</v>
      </c>
      <c r="M10">
        <v>3.6</v>
      </c>
      <c r="N10">
        <v>3</v>
      </c>
      <c r="O10" t="s">
        <v>57</v>
      </c>
      <c r="P10">
        <v>4</v>
      </c>
      <c r="R10" s="8">
        <v>2.1</v>
      </c>
    </row>
    <row r="11" spans="1:42">
      <c r="A11">
        <v>10</v>
      </c>
      <c r="B11">
        <f>'Raw Data'!V11</f>
        <v>0</v>
      </c>
      <c r="C11">
        <f>'Raw Data'!X11</f>
        <v>0</v>
      </c>
      <c r="D11">
        <f>'Raw Data'!Z11</f>
        <v>0</v>
      </c>
      <c r="E11">
        <f t="shared" si="2"/>
        <v>0</v>
      </c>
      <c r="F11">
        <f t="shared" si="1"/>
        <v>0</v>
      </c>
    </row>
    <row r="12" spans="1:42">
      <c r="A12">
        <v>11</v>
      </c>
      <c r="B12">
        <f>'Raw Data'!V12</f>
        <v>0</v>
      </c>
      <c r="C12">
        <f>'Raw Data'!X12</f>
        <v>0</v>
      </c>
      <c r="D12">
        <f>'Raw Data'!Z12</f>
        <v>0</v>
      </c>
      <c r="E12">
        <f t="shared" ref="E12:E14" si="3">SUM(B12:D12)</f>
        <v>0</v>
      </c>
      <c r="F12">
        <f t="shared" si="1"/>
        <v>0</v>
      </c>
    </row>
    <row r="13" spans="1:42">
      <c r="A13">
        <v>12</v>
      </c>
      <c r="B13">
        <f>'Raw Data'!V13</f>
        <v>3</v>
      </c>
      <c r="C13">
        <f>'Raw Data'!X13</f>
        <v>1</v>
      </c>
      <c r="D13">
        <f>'Raw Data'!Z13</f>
        <v>0</v>
      </c>
      <c r="E13">
        <f t="shared" si="3"/>
        <v>4</v>
      </c>
      <c r="F13">
        <f t="shared" si="1"/>
        <v>3.0716796056041922</v>
      </c>
      <c r="G13" t="s">
        <v>45</v>
      </c>
      <c r="H13">
        <v>1</v>
      </c>
      <c r="I13">
        <v>3.6</v>
      </c>
      <c r="J13">
        <v>2.9</v>
      </c>
      <c r="K13" t="s">
        <v>45</v>
      </c>
      <c r="L13">
        <v>1</v>
      </c>
      <c r="M13">
        <v>3.8</v>
      </c>
      <c r="N13">
        <v>3</v>
      </c>
      <c r="O13" t="s">
        <v>45</v>
      </c>
      <c r="P13">
        <v>1</v>
      </c>
      <c r="Q13" s="8">
        <v>3.3</v>
      </c>
      <c r="S13" t="s">
        <v>58</v>
      </c>
      <c r="T13">
        <v>2</v>
      </c>
      <c r="U13" s="8">
        <v>4.0999999999999996</v>
      </c>
      <c r="V13">
        <v>2.8</v>
      </c>
    </row>
    <row r="14" spans="1:42">
      <c r="A14">
        <v>13</v>
      </c>
      <c r="B14">
        <f>'Raw Data'!V14</f>
        <v>1</v>
      </c>
      <c r="C14">
        <f>'Raw Data'!X14</f>
        <v>0</v>
      </c>
      <c r="D14">
        <f>'Raw Data'!Z14</f>
        <v>0</v>
      </c>
      <c r="E14">
        <f t="shared" si="3"/>
        <v>1</v>
      </c>
      <c r="F14">
        <f t="shared" si="1"/>
        <v>0.64049364713398538</v>
      </c>
      <c r="G14" t="s">
        <v>45</v>
      </c>
      <c r="H14">
        <v>3</v>
      </c>
      <c r="I14" s="8">
        <v>3.3</v>
      </c>
    </row>
    <row r="15" spans="1:42">
      <c r="A15">
        <v>14</v>
      </c>
      <c r="B15">
        <f>'Raw Data'!V15</f>
        <v>0</v>
      </c>
      <c r="C15">
        <f>'Raw Data'!X15</f>
        <v>0</v>
      </c>
      <c r="D15">
        <f>'Raw Data'!Z15</f>
        <v>0</v>
      </c>
      <c r="E15">
        <f t="shared" ref="E15:E17" si="4">SUM(B15:D15)</f>
        <v>0</v>
      </c>
      <c r="F15">
        <f t="shared" si="1"/>
        <v>0</v>
      </c>
    </row>
    <row r="16" spans="1:42">
      <c r="A16">
        <v>15</v>
      </c>
      <c r="B16">
        <f>'Raw Data'!V16</f>
        <v>0</v>
      </c>
      <c r="C16">
        <f>'Raw Data'!X16</f>
        <v>0</v>
      </c>
      <c r="D16">
        <f>'Raw Data'!Z16</f>
        <v>0</v>
      </c>
      <c r="E16">
        <f t="shared" si="4"/>
        <v>0</v>
      </c>
      <c r="F16">
        <f t="shared" si="1"/>
        <v>0</v>
      </c>
    </row>
    <row r="17" spans="1:42">
      <c r="A17">
        <v>16</v>
      </c>
      <c r="B17">
        <f>'Raw Data'!V17</f>
        <v>1</v>
      </c>
      <c r="C17">
        <f>'Raw Data'!X17</f>
        <v>0</v>
      </c>
      <c r="D17">
        <f>'Raw Data'!Z17</f>
        <v>0</v>
      </c>
      <c r="E17">
        <f t="shared" si="4"/>
        <v>1</v>
      </c>
      <c r="F17">
        <f t="shared" si="1"/>
        <v>0.64049364713398538</v>
      </c>
      <c r="G17" t="s">
        <v>45</v>
      </c>
      <c r="H17">
        <v>1</v>
      </c>
      <c r="I17" s="8">
        <v>3.3</v>
      </c>
      <c r="J17">
        <v>3.4</v>
      </c>
    </row>
    <row r="18" spans="1:42">
      <c r="A18">
        <v>17</v>
      </c>
      <c r="B18">
        <f>'Raw Data'!V18</f>
        <v>3</v>
      </c>
      <c r="C18">
        <f>'Raw Data'!X18</f>
        <v>0</v>
      </c>
      <c r="D18">
        <f>'Raw Data'!Z18</f>
        <v>0</v>
      </c>
      <c r="E18">
        <f t="shared" ref="E18:E25" si="5">SUM(B18:D18)</f>
        <v>3</v>
      </c>
      <c r="F18">
        <f t="shared" si="1"/>
        <v>2.4671577981690596</v>
      </c>
      <c r="G18" t="s">
        <v>45</v>
      </c>
      <c r="H18">
        <v>1</v>
      </c>
      <c r="I18">
        <v>4.0999999999999996</v>
      </c>
      <c r="J18">
        <v>3.3</v>
      </c>
      <c r="K18" t="s">
        <v>45</v>
      </c>
      <c r="L18">
        <v>1</v>
      </c>
      <c r="M18" s="8">
        <v>3.3</v>
      </c>
      <c r="N18">
        <v>3.5</v>
      </c>
      <c r="O18" t="s">
        <v>45</v>
      </c>
      <c r="P18">
        <v>1</v>
      </c>
      <c r="Q18" s="8">
        <v>3.3</v>
      </c>
      <c r="R18">
        <v>3.6</v>
      </c>
    </row>
    <row r="19" spans="1:42">
      <c r="A19">
        <v>18</v>
      </c>
      <c r="B19">
        <f>'Raw Data'!V19</f>
        <v>1</v>
      </c>
      <c r="C19">
        <f>'Raw Data'!X19</f>
        <v>0</v>
      </c>
      <c r="D19">
        <f>'Raw Data'!Z19</f>
        <v>0</v>
      </c>
      <c r="E19">
        <f t="shared" si="5"/>
        <v>1</v>
      </c>
      <c r="F19">
        <f t="shared" si="1"/>
        <v>0.64049364713398538</v>
      </c>
      <c r="G19" t="s">
        <v>45</v>
      </c>
      <c r="H19">
        <v>2</v>
      </c>
      <c r="I19" s="8">
        <v>3.3</v>
      </c>
    </row>
    <row r="20" spans="1:42">
      <c r="A20">
        <v>19</v>
      </c>
      <c r="B20">
        <f>'Raw Data'!V20</f>
        <v>0</v>
      </c>
      <c r="C20">
        <f>'Raw Data'!X20</f>
        <v>0</v>
      </c>
      <c r="D20">
        <f>'Raw Data'!Z20</f>
        <v>0</v>
      </c>
      <c r="E20">
        <f t="shared" si="5"/>
        <v>0</v>
      </c>
      <c r="F20">
        <f t="shared" si="1"/>
        <v>0</v>
      </c>
    </row>
    <row r="21" spans="1:42">
      <c r="A21">
        <v>20</v>
      </c>
      <c r="B21">
        <f>'Raw Data'!V21</f>
        <v>1</v>
      </c>
      <c r="C21">
        <f>'Raw Data'!X21</f>
        <v>0</v>
      </c>
      <c r="D21">
        <f>'Raw Data'!Z21</f>
        <v>1</v>
      </c>
      <c r="E21">
        <f t="shared" si="5"/>
        <v>2</v>
      </c>
      <c r="F21">
        <f t="shared" si="1"/>
        <v>0.76982033227573365</v>
      </c>
      <c r="G21" t="s">
        <v>45</v>
      </c>
      <c r="H21">
        <v>3</v>
      </c>
      <c r="I21" s="8">
        <v>3.3</v>
      </c>
      <c r="K21" t="s">
        <v>57</v>
      </c>
      <c r="L21">
        <v>4</v>
      </c>
      <c r="N21" s="8">
        <v>2.1</v>
      </c>
    </row>
    <row r="22" spans="1:42">
      <c r="A22">
        <v>21</v>
      </c>
      <c r="B22">
        <f>'Raw Data'!V22</f>
        <v>0</v>
      </c>
      <c r="C22">
        <f>'Raw Data'!X22</f>
        <v>0</v>
      </c>
      <c r="D22">
        <f>'Raw Data'!Z22</f>
        <v>2</v>
      </c>
      <c r="E22">
        <f t="shared" si="5"/>
        <v>2</v>
      </c>
      <c r="F22">
        <f t="shared" si="1"/>
        <v>0.2586533702834965</v>
      </c>
      <c r="G22" t="s">
        <v>57</v>
      </c>
      <c r="H22">
        <v>2</v>
      </c>
      <c r="J22" s="8">
        <v>2.1</v>
      </c>
      <c r="K22" t="s">
        <v>57</v>
      </c>
      <c r="L22">
        <v>2</v>
      </c>
      <c r="N22" s="8">
        <v>2.1</v>
      </c>
    </row>
    <row r="23" spans="1:42">
      <c r="A23">
        <v>22</v>
      </c>
      <c r="B23">
        <f>'Raw Data'!V23</f>
        <v>1</v>
      </c>
      <c r="C23">
        <f>'Raw Data'!X23</f>
        <v>4</v>
      </c>
      <c r="D23">
        <f>'Raw Data'!Z23</f>
        <v>4</v>
      </c>
      <c r="E23">
        <f t="shared" si="5"/>
        <v>9</v>
      </c>
      <c r="F23">
        <f t="shared" si="1"/>
        <v>3.1096671851011255</v>
      </c>
      <c r="G23" t="s">
        <v>45</v>
      </c>
      <c r="H23">
        <v>1</v>
      </c>
      <c r="I23">
        <v>3.5</v>
      </c>
      <c r="J23">
        <v>2.9</v>
      </c>
      <c r="K23" t="s">
        <v>57</v>
      </c>
      <c r="L23">
        <v>2</v>
      </c>
      <c r="N23" s="8">
        <v>2.1</v>
      </c>
      <c r="O23" t="s">
        <v>57</v>
      </c>
      <c r="P23">
        <v>1</v>
      </c>
      <c r="R23" s="8">
        <v>2.1</v>
      </c>
      <c r="S23" t="s">
        <v>57</v>
      </c>
      <c r="T23">
        <v>1</v>
      </c>
      <c r="V23" s="8">
        <v>2.1</v>
      </c>
      <c r="W23" t="s">
        <v>57</v>
      </c>
      <c r="X23">
        <v>1</v>
      </c>
      <c r="Z23" s="8">
        <v>2.1</v>
      </c>
      <c r="AA23" t="s">
        <v>58</v>
      </c>
      <c r="AB23">
        <v>2</v>
      </c>
      <c r="AC23" s="8">
        <v>4.0999999999999996</v>
      </c>
      <c r="AE23" t="s">
        <v>58</v>
      </c>
      <c r="AF23">
        <v>2</v>
      </c>
      <c r="AG23" s="8">
        <v>4.0999999999999996</v>
      </c>
      <c r="AI23" t="s">
        <v>58</v>
      </c>
      <c r="AJ23">
        <v>1</v>
      </c>
      <c r="AK23">
        <v>3.8</v>
      </c>
      <c r="AL23">
        <v>3.3</v>
      </c>
      <c r="AM23" t="s">
        <v>58</v>
      </c>
      <c r="AN23">
        <v>1</v>
      </c>
      <c r="AO23" s="13">
        <v>4.0999999999999996</v>
      </c>
      <c r="AP23">
        <v>2.7</v>
      </c>
    </row>
    <row r="24" spans="1:42">
      <c r="A24">
        <v>23</v>
      </c>
      <c r="B24">
        <f>'Raw Data'!V24</f>
        <v>0</v>
      </c>
      <c r="C24">
        <f>'Raw Data'!X24</f>
        <v>0</v>
      </c>
      <c r="D24">
        <f>'Raw Data'!Z24</f>
        <v>0</v>
      </c>
      <c r="E24">
        <f t="shared" si="5"/>
        <v>0</v>
      </c>
      <c r="F24">
        <f t="shared" si="1"/>
        <v>0</v>
      </c>
    </row>
    <row r="25" spans="1:42">
      <c r="A25">
        <v>24</v>
      </c>
      <c r="B25">
        <f>'Raw Data'!V25</f>
        <v>0</v>
      </c>
      <c r="C25">
        <f>'Raw Data'!X25</f>
        <v>0</v>
      </c>
      <c r="D25">
        <f>'Raw Data'!Z25</f>
        <v>0</v>
      </c>
      <c r="E25">
        <f t="shared" si="5"/>
        <v>0</v>
      </c>
      <c r="F25">
        <f t="shared" si="1"/>
        <v>0</v>
      </c>
    </row>
    <row r="26" spans="1:42">
      <c r="A26">
        <v>25</v>
      </c>
      <c r="B26">
        <f>'Raw Data'!V26</f>
        <v>2</v>
      </c>
      <c r="C26">
        <f>'Raw Data'!X26</f>
        <v>0</v>
      </c>
      <c r="D26">
        <f>'Raw Data'!Z26</f>
        <v>0</v>
      </c>
      <c r="E26">
        <f t="shared" ref="E26:E28" si="6">SUM(B26:D26)</f>
        <v>2</v>
      </c>
      <c r="F26">
        <f t="shared" si="1"/>
        <v>1.3974362148226844</v>
      </c>
      <c r="G26" t="s">
        <v>45</v>
      </c>
      <c r="H26">
        <v>1</v>
      </c>
      <c r="I26">
        <v>3.5</v>
      </c>
      <c r="J26">
        <v>3</v>
      </c>
      <c r="K26" t="s">
        <v>45</v>
      </c>
      <c r="L26">
        <v>2</v>
      </c>
      <c r="M26" s="8">
        <v>3.3</v>
      </c>
      <c r="N26" s="2">
        <v>2.5</v>
      </c>
    </row>
    <row r="27" spans="1:42">
      <c r="A27">
        <v>26</v>
      </c>
      <c r="B27">
        <f>'Raw Data'!V27</f>
        <v>2</v>
      </c>
      <c r="C27">
        <f>'Raw Data'!X27</f>
        <v>0</v>
      </c>
      <c r="D27">
        <f>'Raw Data'!Z27</f>
        <v>1</v>
      </c>
      <c r="E27">
        <f t="shared" si="6"/>
        <v>3</v>
      </c>
      <c r="F27">
        <f t="shared" si="1"/>
        <v>1.410313979409719</v>
      </c>
      <c r="G27" t="s">
        <v>45</v>
      </c>
      <c r="H27">
        <v>1</v>
      </c>
      <c r="I27" s="8">
        <v>3.3</v>
      </c>
      <c r="J27">
        <v>3.1</v>
      </c>
      <c r="K27" t="s">
        <v>45</v>
      </c>
      <c r="L27">
        <v>2</v>
      </c>
      <c r="M27" s="8">
        <v>3.3</v>
      </c>
      <c r="N27" s="2">
        <v>2.5</v>
      </c>
      <c r="O27" t="s">
        <v>57</v>
      </c>
      <c r="P27">
        <v>3</v>
      </c>
      <c r="R27" s="8">
        <v>2.1</v>
      </c>
    </row>
    <row r="28" spans="1:42">
      <c r="A28">
        <v>27</v>
      </c>
      <c r="B28">
        <f>'Raw Data'!V28</f>
        <v>1</v>
      </c>
      <c r="C28">
        <f>'Raw Data'!X28</f>
        <v>1</v>
      </c>
      <c r="D28">
        <f>'Raw Data'!Z28</f>
        <v>0</v>
      </c>
      <c r="E28">
        <f t="shared" si="6"/>
        <v>2</v>
      </c>
      <c r="F28">
        <f t="shared" si="1"/>
        <v>1.1915422707183574</v>
      </c>
      <c r="G28" t="s">
        <v>45</v>
      </c>
      <c r="H28">
        <v>2</v>
      </c>
      <c r="I28">
        <v>3.1</v>
      </c>
      <c r="J28">
        <v>2.5</v>
      </c>
      <c r="K28" t="s">
        <v>58</v>
      </c>
      <c r="L28">
        <v>2</v>
      </c>
      <c r="M28" s="8">
        <v>4.0999999999999996</v>
      </c>
      <c r="N28" s="2">
        <v>3.4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F55" sqref="F55"/>
    </sheetView>
  </sheetViews>
  <sheetFormatPr baseColWidth="10" defaultRowHeight="15" x14ac:dyDescent="0"/>
  <sheetData>
    <row r="1" spans="1:8">
      <c r="A1" s="5" t="s">
        <v>80</v>
      </c>
      <c r="B1" s="5" t="s">
        <v>85</v>
      </c>
      <c r="C1" s="5" t="s">
        <v>17</v>
      </c>
      <c r="D1" s="5" t="s">
        <v>18</v>
      </c>
      <c r="E1" s="5" t="s">
        <v>81</v>
      </c>
      <c r="F1" s="5" t="s">
        <v>82</v>
      </c>
      <c r="G1" s="5" t="s">
        <v>83</v>
      </c>
      <c r="H1" s="5" t="s">
        <v>84</v>
      </c>
    </row>
    <row r="2" spans="1:8">
      <c r="A2">
        <v>1</v>
      </c>
      <c r="B2" t="str">
        <f>'Raw Data'!Q2</f>
        <v>M</v>
      </c>
      <c r="C2">
        <f>'Raw Data'!R2</f>
        <v>20.2</v>
      </c>
      <c r="D2">
        <f>'Raw Data'!S2</f>
        <v>15.2</v>
      </c>
      <c r="E2" t="str">
        <f>'Stomach Details'!G2</f>
        <v>Chromis multilineata</v>
      </c>
      <c r="F2">
        <f>'Stomach Details'!H2</f>
        <v>1</v>
      </c>
      <c r="G2">
        <f>'Stomach Details'!I2</f>
        <v>3.3</v>
      </c>
      <c r="H2">
        <f>'Stomach Details'!J2</f>
        <v>3.6</v>
      </c>
    </row>
    <row r="3" spans="1:8">
      <c r="A3">
        <v>1</v>
      </c>
      <c r="B3" t="str">
        <f t="shared" ref="B3:D3" si="0">B2</f>
        <v>M</v>
      </c>
      <c r="C3">
        <f t="shared" si="0"/>
        <v>20.2</v>
      </c>
      <c r="D3">
        <f t="shared" si="0"/>
        <v>15.2</v>
      </c>
      <c r="E3" t="str">
        <f>'Stomach Details'!K2</f>
        <v>Chromis multilineata</v>
      </c>
      <c r="F3">
        <f>'Stomach Details'!L2</f>
        <v>2</v>
      </c>
      <c r="G3">
        <f>'Stomach Details'!M2</f>
        <v>3.3</v>
      </c>
      <c r="H3">
        <f>'Stomach Details'!N2</f>
        <v>2.5</v>
      </c>
    </row>
    <row r="4" spans="1:8">
      <c r="A4">
        <v>1</v>
      </c>
      <c r="B4" t="str">
        <f t="shared" ref="B4:C6" si="1">B3</f>
        <v>M</v>
      </c>
      <c r="C4">
        <f t="shared" si="1"/>
        <v>20.2</v>
      </c>
      <c r="D4">
        <f t="shared" ref="D4:D6" si="2">D3</f>
        <v>15.2</v>
      </c>
      <c r="E4" t="str">
        <f>'Stomach Details'!O2</f>
        <v>Chromis multilineata</v>
      </c>
      <c r="F4">
        <f>'Stomach Details'!P2</f>
        <v>4</v>
      </c>
      <c r="G4">
        <f>'Stomach Details'!Q2</f>
        <v>3.3</v>
      </c>
      <c r="H4">
        <f>'Stomach Details'!R2</f>
        <v>0</v>
      </c>
    </row>
    <row r="5" spans="1:8">
      <c r="A5">
        <v>1</v>
      </c>
      <c r="B5" t="str">
        <f t="shared" si="1"/>
        <v>M</v>
      </c>
      <c r="C5">
        <f t="shared" si="1"/>
        <v>20.2</v>
      </c>
      <c r="D5">
        <f t="shared" si="2"/>
        <v>15.2</v>
      </c>
      <c r="E5" t="str">
        <f>'Stomach Details'!S2</f>
        <v>Coryphopterus personatus/hyalinus</v>
      </c>
      <c r="F5">
        <f>'Stomach Details'!T2</f>
        <v>2</v>
      </c>
      <c r="G5">
        <f>'Stomach Details'!U2</f>
        <v>0</v>
      </c>
      <c r="H5">
        <f>'Stomach Details'!V2</f>
        <v>2.1</v>
      </c>
    </row>
    <row r="6" spans="1:8">
      <c r="A6">
        <v>1</v>
      </c>
      <c r="B6" t="str">
        <f t="shared" si="1"/>
        <v>M</v>
      </c>
      <c r="C6">
        <f t="shared" si="1"/>
        <v>20.2</v>
      </c>
      <c r="D6">
        <f t="shared" si="2"/>
        <v>15.2</v>
      </c>
      <c r="E6" t="str">
        <f>'Stomach Details'!W2</f>
        <v>Coryphopterus personatus/hyalinus</v>
      </c>
      <c r="F6">
        <f>'Stomach Details'!X2</f>
        <v>4</v>
      </c>
      <c r="G6">
        <f>'Stomach Details'!Y2</f>
        <v>0</v>
      </c>
      <c r="H6">
        <f>'Stomach Details'!Z2</f>
        <v>2.1</v>
      </c>
    </row>
    <row r="7" spans="1:8">
      <c r="A7">
        <v>2</v>
      </c>
      <c r="B7" t="str">
        <f>'Raw Data'!Q7</f>
        <v>S</v>
      </c>
      <c r="C7">
        <f>'Raw Data'!R7</f>
        <v>15.4</v>
      </c>
      <c r="D7">
        <f>'Raw Data'!S7</f>
        <v>11.7</v>
      </c>
      <c r="E7" t="str">
        <f>'Stomach Details'!G3</f>
        <v>Thalassoma bifasciatum</v>
      </c>
      <c r="F7">
        <f>'Stomach Details'!H3</f>
        <v>2</v>
      </c>
      <c r="G7">
        <f>'Stomach Details'!I3</f>
        <v>4.0999999999999996</v>
      </c>
      <c r="H7">
        <f>'Stomach Details'!J3</f>
        <v>3.8</v>
      </c>
    </row>
    <row r="8" spans="1:8">
      <c r="A8">
        <v>3</v>
      </c>
      <c r="B8" t="str">
        <f>'Raw Data'!Q8</f>
        <v>S</v>
      </c>
      <c r="C8">
        <f>'Raw Data'!R8</f>
        <v>19.100000000000001</v>
      </c>
      <c r="D8">
        <f>'Raw Data'!S8</f>
        <v>14.2</v>
      </c>
      <c r="E8" t="str">
        <f>'Stomach Details'!G4</f>
        <v>Thalassoma bifasciatum</v>
      </c>
      <c r="F8">
        <f>'Stomach Details'!H4</f>
        <v>1</v>
      </c>
      <c r="G8">
        <f>'Stomach Details'!I4</f>
        <v>4.0999999999999996</v>
      </c>
      <c r="H8">
        <f>'Stomach Details'!J4</f>
        <v>3.5</v>
      </c>
    </row>
    <row r="9" spans="1:8">
      <c r="A9">
        <v>3</v>
      </c>
      <c r="B9" t="str">
        <f t="shared" ref="B9:D9" si="3">B8</f>
        <v>S</v>
      </c>
      <c r="C9">
        <f t="shared" si="3"/>
        <v>19.100000000000001</v>
      </c>
      <c r="D9">
        <f t="shared" si="3"/>
        <v>14.2</v>
      </c>
      <c r="E9" t="str">
        <f>'Stomach Details'!K4</f>
        <v>Thalassoma bifasciatum</v>
      </c>
      <c r="F9">
        <f>'Stomach Details'!L4</f>
        <v>2</v>
      </c>
      <c r="G9">
        <f>'Stomach Details'!M4</f>
        <v>4.0999999999999996</v>
      </c>
      <c r="H9">
        <f>'Stomach Details'!N4</f>
        <v>0</v>
      </c>
    </row>
    <row r="10" spans="1:8">
      <c r="A10">
        <v>4</v>
      </c>
      <c r="B10" t="str">
        <f>'Raw Data'!Q5</f>
        <v>L</v>
      </c>
      <c r="C10">
        <f>'Raw Data'!R5</f>
        <v>25.2</v>
      </c>
      <c r="D10">
        <f>'Raw Data'!S5</f>
        <v>19.399999999999999</v>
      </c>
      <c r="E10" t="str">
        <f>'Stomach Details'!G5</f>
        <v>Chromis multilineata</v>
      </c>
      <c r="F10">
        <f>'Stomach Details'!H5</f>
        <v>1</v>
      </c>
      <c r="G10">
        <f>'Stomach Details'!I5</f>
        <v>3.4</v>
      </c>
      <c r="H10">
        <f>'Stomach Details'!J5</f>
        <v>2.8</v>
      </c>
    </row>
    <row r="11" spans="1:8">
      <c r="A11">
        <v>4</v>
      </c>
      <c r="B11" t="str">
        <f t="shared" ref="B11:D11" si="4">B10</f>
        <v>L</v>
      </c>
      <c r="C11">
        <f t="shared" si="4"/>
        <v>25.2</v>
      </c>
      <c r="D11">
        <f t="shared" si="4"/>
        <v>19.399999999999999</v>
      </c>
      <c r="E11" t="str">
        <f>'Stomach Details'!K5</f>
        <v>Chromis multilineata</v>
      </c>
      <c r="F11">
        <f>'Stomach Details'!L5</f>
        <v>1</v>
      </c>
      <c r="G11">
        <f>'Stomach Details'!M5</f>
        <v>3.4</v>
      </c>
      <c r="H11">
        <f>'Stomach Details'!N5</f>
        <v>2.8</v>
      </c>
    </row>
    <row r="12" spans="1:8">
      <c r="A12">
        <v>4</v>
      </c>
      <c r="B12" t="str">
        <f t="shared" ref="B12:C12" si="5">B11</f>
        <v>L</v>
      </c>
      <c r="C12">
        <f t="shared" si="5"/>
        <v>25.2</v>
      </c>
      <c r="D12">
        <f t="shared" ref="D12" si="6">D11</f>
        <v>19.399999999999999</v>
      </c>
      <c r="E12" t="str">
        <f>'Stomach Details'!O5</f>
        <v>Chromis multilineata</v>
      </c>
      <c r="F12">
        <f>'Stomach Details'!P5</f>
        <v>1</v>
      </c>
      <c r="G12">
        <f>'Stomach Details'!Q5</f>
        <v>3.6</v>
      </c>
      <c r="H12">
        <f>'Stomach Details'!R5</f>
        <v>3</v>
      </c>
    </row>
    <row r="13" spans="1:8">
      <c r="A13">
        <v>5</v>
      </c>
      <c r="B13" t="str">
        <f>'Raw Data'!Q6</f>
        <v>M</v>
      </c>
      <c r="C13">
        <f>'Raw Data'!R6</f>
        <v>20.100000000000001</v>
      </c>
      <c r="D13">
        <f>'Raw Data'!S6</f>
        <v>15.7</v>
      </c>
      <c r="E13" t="str">
        <f>'Stomach Details'!G6</f>
        <v>Chromis multilineata</v>
      </c>
      <c r="F13">
        <f>'Stomach Details'!H6</f>
        <v>2</v>
      </c>
      <c r="G13">
        <f>'Stomach Details'!I6</f>
        <v>3.3</v>
      </c>
      <c r="H13">
        <f>'Stomach Details'!J6</f>
        <v>2.9</v>
      </c>
    </row>
    <row r="14" spans="1:8">
      <c r="A14">
        <v>5</v>
      </c>
      <c r="B14" t="str">
        <f t="shared" ref="B14:D14" si="7">B13</f>
        <v>M</v>
      </c>
      <c r="C14">
        <f t="shared" si="7"/>
        <v>20.100000000000001</v>
      </c>
      <c r="D14">
        <f t="shared" si="7"/>
        <v>15.7</v>
      </c>
      <c r="E14" t="str">
        <f>'Stomach Details'!K6</f>
        <v>Chromis multilineata</v>
      </c>
      <c r="F14">
        <f>'Stomach Details'!L6</f>
        <v>2</v>
      </c>
      <c r="G14">
        <f>'Stomach Details'!M6</f>
        <v>3.3</v>
      </c>
      <c r="H14">
        <f>'Stomach Details'!N6</f>
        <v>2.6</v>
      </c>
    </row>
    <row r="15" spans="1:8">
      <c r="A15">
        <v>6</v>
      </c>
      <c r="B15" t="str">
        <f>'Raw Data'!Q7</f>
        <v>S</v>
      </c>
      <c r="C15">
        <f>'Raw Data'!R7</f>
        <v>15.4</v>
      </c>
      <c r="D15">
        <f>'Raw Data'!S7</f>
        <v>11.7</v>
      </c>
      <c r="E15" t="str">
        <f>'Stomach Details'!G7</f>
        <v>Chromis multilineata</v>
      </c>
      <c r="F15">
        <f>'Stomach Details'!H7</f>
        <v>1</v>
      </c>
      <c r="G15">
        <f>'Stomach Details'!I7</f>
        <v>3.7</v>
      </c>
      <c r="H15">
        <f>'Stomach Details'!J7</f>
        <v>2.8</v>
      </c>
    </row>
    <row r="16" spans="1:8">
      <c r="A16">
        <v>6</v>
      </c>
      <c r="B16" t="str">
        <f t="shared" ref="B16:D16" si="8">B15</f>
        <v>S</v>
      </c>
      <c r="C16">
        <f t="shared" si="8"/>
        <v>15.4</v>
      </c>
      <c r="D16">
        <f t="shared" si="8"/>
        <v>11.7</v>
      </c>
      <c r="E16" t="str">
        <f>'Stomach Details'!K7</f>
        <v>Chromis multilineata</v>
      </c>
      <c r="F16">
        <f>'Stomach Details'!L7</f>
        <v>1</v>
      </c>
      <c r="G16">
        <f>'Stomach Details'!M7</f>
        <v>3.8</v>
      </c>
      <c r="H16">
        <f>'Stomach Details'!N7</f>
        <v>3</v>
      </c>
    </row>
    <row r="17" spans="1:8">
      <c r="A17">
        <v>6</v>
      </c>
      <c r="B17" t="str">
        <f t="shared" ref="B17:C22" si="9">B16</f>
        <v>S</v>
      </c>
      <c r="C17">
        <f t="shared" si="9"/>
        <v>15.4</v>
      </c>
      <c r="D17">
        <f t="shared" ref="D17:D22" si="10">D16</f>
        <v>11.7</v>
      </c>
      <c r="E17" t="str">
        <f>'Stomach Details'!O7</f>
        <v>Chromis multilineata</v>
      </c>
      <c r="F17">
        <f>'Stomach Details'!P7</f>
        <v>2</v>
      </c>
      <c r="G17">
        <f>'Stomach Details'!Q7</f>
        <v>3.3</v>
      </c>
      <c r="H17">
        <f>'Stomach Details'!R7</f>
        <v>0</v>
      </c>
    </row>
    <row r="18" spans="1:8">
      <c r="A18">
        <v>6</v>
      </c>
      <c r="B18" t="str">
        <f t="shared" si="9"/>
        <v>S</v>
      </c>
      <c r="C18">
        <f t="shared" si="9"/>
        <v>15.4</v>
      </c>
      <c r="D18">
        <f t="shared" si="10"/>
        <v>11.7</v>
      </c>
      <c r="E18" t="str">
        <f>'Stomach Details'!S7</f>
        <v>Chromis multilineata</v>
      </c>
      <c r="F18">
        <f>'Stomach Details'!T7</f>
        <v>2</v>
      </c>
      <c r="G18">
        <f>'Stomach Details'!U7</f>
        <v>3.3</v>
      </c>
      <c r="H18">
        <f>'Stomach Details'!V7</f>
        <v>0</v>
      </c>
    </row>
    <row r="19" spans="1:8">
      <c r="A19">
        <v>6</v>
      </c>
      <c r="B19" t="str">
        <f t="shared" si="9"/>
        <v>S</v>
      </c>
      <c r="C19">
        <f t="shared" si="9"/>
        <v>15.4</v>
      </c>
      <c r="D19">
        <f t="shared" si="10"/>
        <v>11.7</v>
      </c>
      <c r="E19" t="str">
        <f>'Stomach Details'!W7</f>
        <v>Coryphopterus personatus/hyalinus</v>
      </c>
      <c r="F19">
        <f>'Stomach Details'!X7</f>
        <v>1</v>
      </c>
      <c r="G19">
        <f>'Stomach Details'!Y7</f>
        <v>1.7</v>
      </c>
      <c r="H19">
        <f>'Stomach Details'!Z7</f>
        <v>2.1</v>
      </c>
    </row>
    <row r="20" spans="1:8">
      <c r="A20">
        <v>6</v>
      </c>
      <c r="B20" t="str">
        <f t="shared" si="9"/>
        <v>S</v>
      </c>
      <c r="C20">
        <f t="shared" si="9"/>
        <v>15.4</v>
      </c>
      <c r="D20">
        <f t="shared" si="10"/>
        <v>11.7</v>
      </c>
      <c r="E20" t="str">
        <f>'Stomach Details'!AA7</f>
        <v>Coryphopterus personatus/hyalinus</v>
      </c>
      <c r="F20">
        <f>'Stomach Details'!AB7</f>
        <v>1</v>
      </c>
      <c r="G20">
        <f>'Stomach Details'!AC7</f>
        <v>1.7</v>
      </c>
      <c r="H20">
        <f>'Stomach Details'!AD7</f>
        <v>2.1</v>
      </c>
    </row>
    <row r="21" spans="1:8">
      <c r="A21">
        <v>6</v>
      </c>
      <c r="B21" t="str">
        <f t="shared" si="9"/>
        <v>S</v>
      </c>
      <c r="C21">
        <f t="shared" si="9"/>
        <v>15.4</v>
      </c>
      <c r="D21">
        <f t="shared" si="10"/>
        <v>11.7</v>
      </c>
      <c r="E21" t="str">
        <f>'Stomach Details'!AE7</f>
        <v>Coryphopterus personatus/hyalinus</v>
      </c>
      <c r="F21">
        <f>'Stomach Details'!AF7</f>
        <v>2</v>
      </c>
      <c r="G21">
        <f>'Stomach Details'!AG7</f>
        <v>0</v>
      </c>
      <c r="H21">
        <f>'Stomach Details'!AH7</f>
        <v>2.1</v>
      </c>
    </row>
    <row r="22" spans="1:8">
      <c r="A22">
        <v>6</v>
      </c>
      <c r="B22" t="str">
        <f t="shared" si="9"/>
        <v>S</v>
      </c>
      <c r="C22">
        <f t="shared" si="9"/>
        <v>15.4</v>
      </c>
      <c r="D22">
        <f t="shared" si="10"/>
        <v>11.7</v>
      </c>
      <c r="E22" t="str">
        <f>'Stomach Details'!AI7</f>
        <v>Thalassoma bifasciatum</v>
      </c>
      <c r="F22">
        <f>'Stomach Details'!AJ7</f>
        <v>2</v>
      </c>
      <c r="G22">
        <f>'Stomach Details'!AK7</f>
        <v>4.0999999999999996</v>
      </c>
      <c r="H22">
        <f>'Stomach Details'!AL7</f>
        <v>3.7</v>
      </c>
    </row>
    <row r="23" spans="1:8">
      <c r="A23">
        <v>7</v>
      </c>
      <c r="B23" t="str">
        <f>'Raw Data'!Q8</f>
        <v>S</v>
      </c>
      <c r="C23">
        <f>'Raw Data'!R8</f>
        <v>19.100000000000001</v>
      </c>
      <c r="D23">
        <f>'Raw Data'!S8</f>
        <v>14.2</v>
      </c>
      <c r="E23" t="str">
        <f>'Stomach Details'!G8</f>
        <v>Chromis multilineata</v>
      </c>
      <c r="F23">
        <f>'Stomach Details'!H8</f>
        <v>1</v>
      </c>
      <c r="G23">
        <f>'Stomach Details'!I8</f>
        <v>3.5</v>
      </c>
      <c r="H23">
        <f>'Stomach Details'!J8</f>
        <v>2.8</v>
      </c>
    </row>
    <row r="24" spans="1:8">
      <c r="A24">
        <v>7</v>
      </c>
      <c r="B24" t="str">
        <f t="shared" ref="B24:D24" si="11">B23</f>
        <v>S</v>
      </c>
      <c r="C24">
        <f t="shared" si="11"/>
        <v>19.100000000000001</v>
      </c>
      <c r="D24">
        <f t="shared" si="11"/>
        <v>14.2</v>
      </c>
      <c r="E24" t="str">
        <f>'Stomach Details'!K8</f>
        <v>Chromis multilineata</v>
      </c>
      <c r="F24">
        <f>'Stomach Details'!L8</f>
        <v>1</v>
      </c>
      <c r="G24">
        <f>'Stomach Details'!M8</f>
        <v>0</v>
      </c>
      <c r="H24">
        <f>'Stomach Details'!N8</f>
        <v>3</v>
      </c>
    </row>
    <row r="25" spans="1:8">
      <c r="A25">
        <v>8</v>
      </c>
      <c r="B25" t="str">
        <f>'Raw Data'!Q9</f>
        <v>S</v>
      </c>
      <c r="C25">
        <f>'Raw Data'!R9</f>
        <v>15.3</v>
      </c>
      <c r="D25">
        <f>'Raw Data'!S9</f>
        <v>12.3</v>
      </c>
      <c r="E25" t="str">
        <f>'Stomach Details'!G9</f>
        <v>Chromis multilineata</v>
      </c>
      <c r="F25">
        <f>'Stomach Details'!H9</f>
        <v>1</v>
      </c>
      <c r="G25">
        <f>'Stomach Details'!I9</f>
        <v>3.3</v>
      </c>
      <c r="H25">
        <f>'Stomach Details'!J9</f>
        <v>3.3</v>
      </c>
    </row>
    <row r="26" spans="1:8">
      <c r="A26">
        <v>8</v>
      </c>
      <c r="B26" t="str">
        <f t="shared" ref="B26:D26" si="12">B25</f>
        <v>S</v>
      </c>
      <c r="C26">
        <f t="shared" si="12"/>
        <v>15.3</v>
      </c>
      <c r="D26">
        <f t="shared" si="12"/>
        <v>12.3</v>
      </c>
      <c r="E26" t="str">
        <f>'Stomach Details'!K9</f>
        <v>Chromis multilineata</v>
      </c>
      <c r="F26">
        <f>'Stomach Details'!L9</f>
        <v>1</v>
      </c>
      <c r="G26">
        <f>'Stomach Details'!M9</f>
        <v>3.8</v>
      </c>
      <c r="H26">
        <f>'Stomach Details'!N9</f>
        <v>3.1</v>
      </c>
    </row>
    <row r="27" spans="1:8">
      <c r="A27">
        <v>8</v>
      </c>
      <c r="B27" t="str">
        <f t="shared" ref="B27:C27" si="13">B26</f>
        <v>S</v>
      </c>
      <c r="C27">
        <f t="shared" si="13"/>
        <v>15.3</v>
      </c>
      <c r="D27">
        <f t="shared" ref="D27" si="14">D26</f>
        <v>12.3</v>
      </c>
      <c r="E27" t="str">
        <f>'Stomach Details'!O9</f>
        <v>Chromis multilineata</v>
      </c>
      <c r="F27">
        <f>'Stomach Details'!P9</f>
        <v>4</v>
      </c>
      <c r="G27">
        <f>'Stomach Details'!Q9</f>
        <v>3.3</v>
      </c>
      <c r="H27">
        <f>'Stomach Details'!R9</f>
        <v>0</v>
      </c>
    </row>
    <row r="28" spans="1:8">
      <c r="A28">
        <v>9</v>
      </c>
      <c r="B28" t="str">
        <f>'Raw Data'!Q10</f>
        <v>L</v>
      </c>
      <c r="C28">
        <f>'Raw Data'!R10</f>
        <v>25.9</v>
      </c>
      <c r="D28">
        <f>'Raw Data'!S10</f>
        <v>20.100000000000001</v>
      </c>
      <c r="E28" t="str">
        <f>'Stomach Details'!G10</f>
        <v>Chromis multilineata</v>
      </c>
      <c r="F28">
        <f>'Stomach Details'!H10</f>
        <v>1</v>
      </c>
      <c r="G28">
        <f>'Stomach Details'!I10</f>
        <v>3.4</v>
      </c>
      <c r="H28">
        <f>'Stomach Details'!J10</f>
        <v>2.9</v>
      </c>
    </row>
    <row r="29" spans="1:8">
      <c r="A29">
        <v>9</v>
      </c>
      <c r="B29" t="str">
        <f t="shared" ref="B29:D29" si="15">B28</f>
        <v>L</v>
      </c>
      <c r="C29">
        <f t="shared" si="15"/>
        <v>25.9</v>
      </c>
      <c r="D29">
        <f t="shared" si="15"/>
        <v>20.100000000000001</v>
      </c>
      <c r="E29" t="str">
        <f>'Stomach Details'!K10</f>
        <v>Chromis multilineata</v>
      </c>
      <c r="F29">
        <f>'Stomach Details'!L10</f>
        <v>1</v>
      </c>
      <c r="G29">
        <f>'Stomach Details'!M10</f>
        <v>3.6</v>
      </c>
      <c r="H29">
        <f>'Stomach Details'!N10</f>
        <v>3</v>
      </c>
    </row>
    <row r="30" spans="1:8">
      <c r="A30">
        <v>9</v>
      </c>
      <c r="B30" t="str">
        <f t="shared" ref="B30" si="16">B29</f>
        <v>L</v>
      </c>
      <c r="C30">
        <f t="shared" ref="C30" si="17">C29</f>
        <v>25.9</v>
      </c>
      <c r="D30">
        <f t="shared" ref="D30" si="18">D29</f>
        <v>20.100000000000001</v>
      </c>
      <c r="E30" t="str">
        <f>'Stomach Details'!O10</f>
        <v>Coryphopterus personatus/hyalinus</v>
      </c>
      <c r="F30">
        <f>'Stomach Details'!P10</f>
        <v>4</v>
      </c>
      <c r="G30">
        <f>'Stomach Details'!Q10</f>
        <v>0</v>
      </c>
      <c r="H30">
        <f>'Stomach Details'!R10</f>
        <v>2.1</v>
      </c>
    </row>
    <row r="31" spans="1:8">
      <c r="A31">
        <v>12</v>
      </c>
      <c r="B31" t="str">
        <f>'Raw Data'!Q13</f>
        <v>M</v>
      </c>
      <c r="C31">
        <f>'Raw Data'!R13</f>
        <v>20.2</v>
      </c>
      <c r="D31">
        <f>'Raw Data'!S13</f>
        <v>16.3</v>
      </c>
      <c r="E31" t="str">
        <f>'Stomach Details'!G13</f>
        <v>Chromis multilineata</v>
      </c>
      <c r="F31">
        <f>'Stomach Details'!H13</f>
        <v>1</v>
      </c>
      <c r="G31">
        <f>'Stomach Details'!I13</f>
        <v>3.6</v>
      </c>
      <c r="H31">
        <f>'Stomach Details'!J13</f>
        <v>2.9</v>
      </c>
    </row>
    <row r="32" spans="1:8">
      <c r="A32">
        <v>12</v>
      </c>
      <c r="B32" t="str">
        <f t="shared" ref="B32:D32" si="19">B31</f>
        <v>M</v>
      </c>
      <c r="C32">
        <f t="shared" si="19"/>
        <v>20.2</v>
      </c>
      <c r="D32">
        <f t="shared" si="19"/>
        <v>16.3</v>
      </c>
      <c r="E32" t="str">
        <f>'Stomach Details'!K13</f>
        <v>Chromis multilineata</v>
      </c>
      <c r="F32">
        <f>'Stomach Details'!L13</f>
        <v>1</v>
      </c>
      <c r="G32">
        <f>'Stomach Details'!M13</f>
        <v>3.8</v>
      </c>
      <c r="H32">
        <f>'Stomach Details'!N13</f>
        <v>3</v>
      </c>
    </row>
    <row r="33" spans="1:8">
      <c r="A33">
        <v>12</v>
      </c>
      <c r="B33" t="str">
        <f t="shared" ref="B33:B34" si="20">B32</f>
        <v>M</v>
      </c>
      <c r="C33">
        <f t="shared" ref="C33:C34" si="21">C32</f>
        <v>20.2</v>
      </c>
      <c r="D33">
        <f t="shared" ref="D33:D34" si="22">D32</f>
        <v>16.3</v>
      </c>
      <c r="E33" t="str">
        <f>'Stomach Details'!O13</f>
        <v>Chromis multilineata</v>
      </c>
      <c r="F33">
        <f>'Stomach Details'!P13</f>
        <v>1</v>
      </c>
      <c r="G33">
        <f>'Stomach Details'!Q13</f>
        <v>3.3</v>
      </c>
      <c r="H33">
        <f>'Stomach Details'!R13</f>
        <v>0</v>
      </c>
    </row>
    <row r="34" spans="1:8">
      <c r="A34">
        <v>12</v>
      </c>
      <c r="B34" t="str">
        <f t="shared" si="20"/>
        <v>M</v>
      </c>
      <c r="C34">
        <f t="shared" si="21"/>
        <v>20.2</v>
      </c>
      <c r="D34">
        <f t="shared" si="22"/>
        <v>16.3</v>
      </c>
      <c r="E34" t="str">
        <f>'Stomach Details'!S13</f>
        <v>Thalassoma bifasciatum</v>
      </c>
      <c r="F34">
        <f>'Stomach Details'!T13</f>
        <v>2</v>
      </c>
      <c r="G34">
        <f>'Stomach Details'!U13</f>
        <v>4.0999999999999996</v>
      </c>
      <c r="H34">
        <f>'Stomach Details'!V13</f>
        <v>2.8</v>
      </c>
    </row>
    <row r="35" spans="1:8">
      <c r="A35">
        <v>13</v>
      </c>
      <c r="B35" t="str">
        <f>'Raw Data'!Q14</f>
        <v>M</v>
      </c>
      <c r="C35">
        <f>'Raw Data'!R14</f>
        <v>22.8</v>
      </c>
      <c r="D35">
        <f>'Raw Data'!S14</f>
        <v>17.8</v>
      </c>
      <c r="E35" t="str">
        <f>'Stomach Details'!G14</f>
        <v>Chromis multilineata</v>
      </c>
      <c r="F35">
        <f>'Stomach Details'!H14</f>
        <v>3</v>
      </c>
      <c r="G35">
        <f>'Stomach Details'!I14</f>
        <v>3.3</v>
      </c>
      <c r="H35">
        <f>'Stomach Details'!J14</f>
        <v>0</v>
      </c>
    </row>
    <row r="36" spans="1:8">
      <c r="A36">
        <v>16</v>
      </c>
      <c r="B36" t="str">
        <f>'Raw Data'!Q17</f>
        <v>S</v>
      </c>
      <c r="C36">
        <f>'Raw Data'!R17</f>
        <v>19.3</v>
      </c>
      <c r="D36">
        <f>'Raw Data'!S17</f>
        <v>14.7</v>
      </c>
      <c r="E36" t="str">
        <f>'Stomach Details'!G17</f>
        <v>Chromis multilineata</v>
      </c>
      <c r="F36">
        <f>'Stomach Details'!H17</f>
        <v>1</v>
      </c>
      <c r="G36">
        <f>'Stomach Details'!I17</f>
        <v>3.3</v>
      </c>
      <c r="H36">
        <f>'Stomach Details'!J17</f>
        <v>3.4</v>
      </c>
    </row>
    <row r="37" spans="1:8">
      <c r="A37">
        <v>17</v>
      </c>
      <c r="B37" t="str">
        <f>'Raw Data'!Q18</f>
        <v>M</v>
      </c>
      <c r="C37">
        <f>'Raw Data'!R18</f>
        <v>20.8</v>
      </c>
      <c r="D37">
        <f>'Raw Data'!S18</f>
        <v>16.100000000000001</v>
      </c>
      <c r="E37" t="str">
        <f>'Stomach Details'!G18</f>
        <v>Chromis multilineata</v>
      </c>
      <c r="F37">
        <f>'Stomach Details'!H18</f>
        <v>1</v>
      </c>
      <c r="G37">
        <f>'Stomach Details'!I18</f>
        <v>4.0999999999999996</v>
      </c>
      <c r="H37">
        <f>'Stomach Details'!J18</f>
        <v>3.3</v>
      </c>
    </row>
    <row r="38" spans="1:8">
      <c r="A38">
        <v>17</v>
      </c>
      <c r="B38" t="str">
        <f t="shared" ref="B38:D38" si="23">B37</f>
        <v>M</v>
      </c>
      <c r="C38">
        <f t="shared" si="23"/>
        <v>20.8</v>
      </c>
      <c r="D38">
        <f t="shared" si="23"/>
        <v>16.100000000000001</v>
      </c>
      <c r="E38" t="str">
        <f>'Stomach Details'!K18</f>
        <v>Chromis multilineata</v>
      </c>
      <c r="F38">
        <f>'Stomach Details'!L18</f>
        <v>1</v>
      </c>
      <c r="G38">
        <f>'Stomach Details'!M18</f>
        <v>3.3</v>
      </c>
      <c r="H38">
        <f>'Stomach Details'!N18</f>
        <v>3.5</v>
      </c>
    </row>
    <row r="39" spans="1:8">
      <c r="A39">
        <v>17</v>
      </c>
      <c r="B39" t="str">
        <f t="shared" ref="B39:D39" si="24">B37</f>
        <v>M</v>
      </c>
      <c r="C39">
        <f t="shared" si="24"/>
        <v>20.8</v>
      </c>
      <c r="D39">
        <f t="shared" si="24"/>
        <v>16.100000000000001</v>
      </c>
      <c r="E39" t="str">
        <f>'Stomach Details'!O18</f>
        <v>Chromis multilineata</v>
      </c>
      <c r="F39">
        <f>'Stomach Details'!P18</f>
        <v>1</v>
      </c>
      <c r="G39">
        <f>'Stomach Details'!Q18</f>
        <v>3.3</v>
      </c>
      <c r="H39">
        <f>'Stomach Details'!R18</f>
        <v>3.6</v>
      </c>
    </row>
    <row r="40" spans="1:8">
      <c r="A40">
        <v>18</v>
      </c>
      <c r="B40" t="str">
        <f>'Raw Data'!Q19</f>
        <v>L</v>
      </c>
      <c r="C40">
        <f>'Raw Data'!R19</f>
        <v>25.2</v>
      </c>
      <c r="D40">
        <f>'Raw Data'!S19</f>
        <v>14.5</v>
      </c>
      <c r="E40" t="str">
        <f>'Stomach Details'!G19</f>
        <v>Chromis multilineata</v>
      </c>
      <c r="F40">
        <f>'Stomach Details'!H19</f>
        <v>2</v>
      </c>
      <c r="G40">
        <f>'Stomach Details'!I19</f>
        <v>3.3</v>
      </c>
      <c r="H40">
        <f>'Stomach Details'!J19</f>
        <v>0</v>
      </c>
    </row>
    <row r="41" spans="1:8">
      <c r="A41">
        <v>20</v>
      </c>
      <c r="B41" t="str">
        <f>'Raw Data'!Q21</f>
        <v>S</v>
      </c>
      <c r="C41">
        <f>'Raw Data'!R21</f>
        <v>16.3</v>
      </c>
      <c r="D41">
        <f>'Raw Data'!S21</f>
        <v>12.3</v>
      </c>
      <c r="E41" t="str">
        <f>'Stomach Details'!G21</f>
        <v>Chromis multilineata</v>
      </c>
      <c r="F41">
        <f>'Stomach Details'!H21</f>
        <v>3</v>
      </c>
      <c r="G41">
        <f>'Stomach Details'!I21</f>
        <v>3.3</v>
      </c>
      <c r="H41">
        <f>'Stomach Details'!J21</f>
        <v>0</v>
      </c>
    </row>
    <row r="42" spans="1:8">
      <c r="A42">
        <v>20</v>
      </c>
      <c r="B42" t="str">
        <f t="shared" ref="B42:D42" si="25">B41</f>
        <v>S</v>
      </c>
      <c r="C42">
        <f t="shared" si="25"/>
        <v>16.3</v>
      </c>
      <c r="D42">
        <f t="shared" si="25"/>
        <v>12.3</v>
      </c>
      <c r="E42" t="str">
        <f>'Stomach Details'!K21</f>
        <v>Coryphopterus personatus/hyalinus</v>
      </c>
      <c r="F42">
        <f>'Stomach Details'!L21</f>
        <v>4</v>
      </c>
      <c r="G42">
        <f>'Stomach Details'!M21</f>
        <v>0</v>
      </c>
      <c r="H42">
        <f>'Stomach Details'!N21</f>
        <v>2.1</v>
      </c>
    </row>
    <row r="43" spans="1:8">
      <c r="A43">
        <v>21</v>
      </c>
      <c r="B43" t="str">
        <f>'Raw Data'!Q22</f>
        <v>M</v>
      </c>
      <c r="C43">
        <f>'Raw Data'!R22</f>
        <v>23.9</v>
      </c>
      <c r="D43">
        <f>'Raw Data'!S22</f>
        <v>18.3</v>
      </c>
      <c r="E43" t="str">
        <f>'Stomach Details'!G22</f>
        <v>Coryphopterus personatus/hyalinus</v>
      </c>
      <c r="F43">
        <f>'Stomach Details'!H22</f>
        <v>2</v>
      </c>
      <c r="G43">
        <f>'Stomach Details'!I22</f>
        <v>0</v>
      </c>
      <c r="H43">
        <f>'Stomach Details'!J22</f>
        <v>2.1</v>
      </c>
    </row>
    <row r="44" spans="1:8">
      <c r="A44">
        <v>21</v>
      </c>
      <c r="B44" t="s">
        <v>91</v>
      </c>
      <c r="C44">
        <v>23.9</v>
      </c>
      <c r="D44">
        <v>18.3</v>
      </c>
      <c r="E44" t="str">
        <f>'Stomach Details'!K22</f>
        <v>Coryphopterus personatus/hyalinus</v>
      </c>
      <c r="F44">
        <f>'Stomach Details'!L22</f>
        <v>2</v>
      </c>
      <c r="G44">
        <f>'Stomach Details'!M22</f>
        <v>0</v>
      </c>
      <c r="H44">
        <f>'Stomach Details'!N22</f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baseColWidth="10" defaultRowHeight="15" x14ac:dyDescent="0"/>
  <cols>
    <col min="1" max="1" width="5" bestFit="1" customWidth="1"/>
    <col min="2" max="2" width="18.33203125" bestFit="1" customWidth="1"/>
  </cols>
  <sheetData>
    <row r="1" spans="1:5">
      <c r="A1" t="s">
        <v>141</v>
      </c>
      <c r="B1" t="s">
        <v>138</v>
      </c>
      <c r="C1" t="s">
        <v>139</v>
      </c>
      <c r="D1" t="s">
        <v>144</v>
      </c>
      <c r="E1" t="s">
        <v>146</v>
      </c>
    </row>
    <row r="2" spans="1:5">
      <c r="A2" t="s">
        <v>142</v>
      </c>
      <c r="B2" t="s">
        <v>143</v>
      </c>
      <c r="C2" t="s">
        <v>140</v>
      </c>
      <c r="D2" t="s">
        <v>145</v>
      </c>
      <c r="E2" t="s">
        <v>147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 Data</vt:lpstr>
      <vt:lpstr>Stomach Details</vt:lpstr>
      <vt:lpstr>Prey Details</vt:lpstr>
      <vt:lpstr>Electivity Indices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Lillie Ritger</dc:creator>
  <cp:lastModifiedBy>Amelia Lillie Ritger</cp:lastModifiedBy>
  <dcterms:created xsi:type="dcterms:W3CDTF">2016-04-27T03:20:11Z</dcterms:created>
  <dcterms:modified xsi:type="dcterms:W3CDTF">2016-09-07T22:06:03Z</dcterms:modified>
</cp:coreProperties>
</file>