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15.xml" ContentType="application/vnd.openxmlformats-officedocument.drawing+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Usuario\Desktop\MAESTRIA DATA ANALYTICS\MODELOS PREDICTIVOS\PROYECTO FINAL - BTC\V2\"/>
    </mc:Choice>
  </mc:AlternateContent>
  <xr:revisionPtr revIDLastSave="0" documentId="13_ncr:1_{A4946DC1-C7DF-4FC6-8330-E03394EF016C}" xr6:coauthVersionLast="47" xr6:coauthVersionMax="47" xr10:uidLastSave="{00000000-0000-0000-0000-000000000000}"/>
  <bookViews>
    <workbookView xWindow="-108" yWindow="-108" windowWidth="23256" windowHeight="12576" tabRatio="918" activeTab="1" xr2:uid="{BE2368FF-5C67-46C2-A7C0-AC0FCB63FF84}"/>
  </bookViews>
  <sheets>
    <sheet name="data" sheetId="1" r:id="rId1"/>
    <sheet name="RESUMEN" sheetId="13" r:id="rId2"/>
    <sheet name="RESUMEN ML" sheetId="20" r:id="rId3"/>
    <sheet name="data (2)" sheetId="2" state="hidden" r:id="rId4"/>
    <sheet name="ESTADÍSTICOS" sheetId="19" r:id="rId5"/>
    <sheet name="01. PROMEDIO MÓVIL" sheetId="3" r:id="rId6"/>
    <sheet name="02. REGRESION LINEAL" sheetId="16" r:id="rId7"/>
    <sheet name="03. CUBICA" sheetId="9" r:id="rId8"/>
    <sheet name="04. 4TO GRADO" sheetId="10" state="hidden" r:id="rId9"/>
    <sheet name="04. SUAVIZACIÓN EXPO" sheetId="11" r:id="rId10"/>
    <sheet name="05. HOLT" sheetId="12" r:id="rId11"/>
    <sheet name="06. WINTER" sheetId="18" r:id="rId12"/>
    <sheet name="07.MARKOV" sheetId="14" r:id="rId13"/>
    <sheet name="RANDOM FOREST" sheetId="21" r:id="rId14"/>
    <sheet name="GAUSSIAN PROCESSES" sheetId="22" r:id="rId15"/>
    <sheet name="MULTILAYER PERCEPTRON" sheetId="23" r:id="rId16"/>
    <sheet name="SMOreg" sheetId="24" r:id="rId17"/>
    <sheet name="MARKOV (2)" sheetId="17" state="hidden" r:id="rId18"/>
    <sheet name="Hoja1" sheetId="15" state="hidden" r:id="rId19"/>
    <sheet name="Hoja7" sheetId="8" state="hidden" r:id="rId20"/>
    <sheet name="Hoja3" sheetId="4" state="hidden" r:id="rId21"/>
    <sheet name="Hoja4" sheetId="5" state="hidden" r:id="rId22"/>
  </sheets>
  <definedNames>
    <definedName name="_xlchart.v1.0" hidden="1">ESTADÍSTICOS!$V$1</definedName>
    <definedName name="_xlchart.v1.1" hidden="1">ESTADÍSTICOS!$V$2:$V$58</definedName>
    <definedName name="solver_adj" localSheetId="9" hidden="1">'04. SUAVIZACIÓN EXPO'!$C$63</definedName>
    <definedName name="solver_adj" localSheetId="10" hidden="1">'05. HOLT'!$C$63:$C$64</definedName>
    <definedName name="solver_adj" localSheetId="11" hidden="1">'06. WINTER'!$W$12:$W$14</definedName>
    <definedName name="solver_cvg" localSheetId="9" hidden="1">0.0001</definedName>
    <definedName name="solver_cvg" localSheetId="10" hidden="1">0.0001</definedName>
    <definedName name="solver_cvg" localSheetId="11" hidden="1">0.0001</definedName>
    <definedName name="solver_drv" localSheetId="9" hidden="1">1</definedName>
    <definedName name="solver_drv" localSheetId="10" hidden="1">1</definedName>
    <definedName name="solver_drv" localSheetId="11" hidden="1">2</definedName>
    <definedName name="solver_eng" localSheetId="9" hidden="1">3</definedName>
    <definedName name="solver_eng" localSheetId="10" hidden="1">3</definedName>
    <definedName name="solver_eng" localSheetId="11" hidden="1">3</definedName>
    <definedName name="solver_est" localSheetId="9" hidden="1">1</definedName>
    <definedName name="solver_est" localSheetId="10" hidden="1">1</definedName>
    <definedName name="solver_est" localSheetId="11" hidden="1">1</definedName>
    <definedName name="solver_itr" localSheetId="9" hidden="1">2147483647</definedName>
    <definedName name="solver_itr" localSheetId="10" hidden="1">2147483647</definedName>
    <definedName name="solver_itr" localSheetId="11" hidden="1">2147483647</definedName>
    <definedName name="solver_lhs1" localSheetId="9" hidden="1">'04. SUAVIZACIÓN EXPO'!$C$63</definedName>
    <definedName name="solver_lhs1" localSheetId="10" hidden="1">'05. HOLT'!$C$63</definedName>
    <definedName name="solver_lhs1" localSheetId="11" hidden="1">'06. WINTER'!$W$12</definedName>
    <definedName name="solver_lhs2" localSheetId="9" hidden="1">'04. SUAVIZACIÓN EXPO'!$C$65</definedName>
    <definedName name="solver_lhs2" localSheetId="10" hidden="1">'05. HOLT'!$C$64</definedName>
    <definedName name="solver_lhs2" localSheetId="11" hidden="1">'06. WINTER'!$W$13</definedName>
    <definedName name="solver_lhs3" localSheetId="9" hidden="1">'04. SUAVIZACIÓN EXPO'!$C$66</definedName>
    <definedName name="solver_lhs3" localSheetId="10" hidden="1">'05. HOLT'!$C$66</definedName>
    <definedName name="solver_lhs3" localSheetId="11" hidden="1">'06. WINTER'!$W$14</definedName>
    <definedName name="solver_lhs4" localSheetId="10" hidden="1">'05. HOLT'!$C$67</definedName>
    <definedName name="solver_lhs4" localSheetId="11" hidden="1">'06. WINTER'!$Z$6</definedName>
    <definedName name="solver_lhs5" localSheetId="11" hidden="1">'06. WINTER'!$Z$7</definedName>
    <definedName name="solver_mip" localSheetId="9" hidden="1">2147483647</definedName>
    <definedName name="solver_mip" localSheetId="10" hidden="1">2147483647</definedName>
    <definedName name="solver_mip" localSheetId="11" hidden="1">2147483647</definedName>
    <definedName name="solver_mni" localSheetId="9" hidden="1">30</definedName>
    <definedName name="solver_mni" localSheetId="10" hidden="1">30</definedName>
    <definedName name="solver_mni" localSheetId="11" hidden="1">30</definedName>
    <definedName name="solver_mrt" localSheetId="9" hidden="1">0.075</definedName>
    <definedName name="solver_mrt" localSheetId="10" hidden="1">0.075</definedName>
    <definedName name="solver_mrt" localSheetId="11" hidden="1">0.075</definedName>
    <definedName name="solver_msl" localSheetId="9" hidden="1">2</definedName>
    <definedName name="solver_msl" localSheetId="10" hidden="1">2</definedName>
    <definedName name="solver_msl" localSheetId="11" hidden="1">2</definedName>
    <definedName name="solver_neg" localSheetId="9" hidden="1">1</definedName>
    <definedName name="solver_neg" localSheetId="10" hidden="1">1</definedName>
    <definedName name="solver_neg" localSheetId="11" hidden="1">1</definedName>
    <definedName name="solver_nod" localSheetId="9" hidden="1">2147483647</definedName>
    <definedName name="solver_nod" localSheetId="10" hidden="1">2147483647</definedName>
    <definedName name="solver_nod" localSheetId="11" hidden="1">2147483647</definedName>
    <definedName name="solver_num" localSheetId="9" hidden="1">3</definedName>
    <definedName name="solver_num" localSheetId="10" hidden="1">4</definedName>
    <definedName name="solver_num" localSheetId="11" hidden="1">5</definedName>
    <definedName name="solver_nwt" localSheetId="9" hidden="1">1</definedName>
    <definedName name="solver_nwt" localSheetId="10" hidden="1">1</definedName>
    <definedName name="solver_nwt" localSheetId="11" hidden="1">1</definedName>
    <definedName name="solver_opt" localSheetId="9" hidden="1">'04. SUAVIZACIÓN EXPO'!$H$59</definedName>
    <definedName name="solver_opt" localSheetId="10" hidden="1">'05. HOLT'!$I$59</definedName>
    <definedName name="solver_opt" localSheetId="11" hidden="1">'06. WINTER'!$Z$3</definedName>
    <definedName name="solver_pre" localSheetId="9" hidden="1">0.000001</definedName>
    <definedName name="solver_pre" localSheetId="10" hidden="1">0.000001</definedName>
    <definedName name="solver_pre" localSheetId="11" hidden="1">0.000001</definedName>
    <definedName name="solver_rbv" localSheetId="9" hidden="1">1</definedName>
    <definedName name="solver_rbv" localSheetId="10" hidden="1">1</definedName>
    <definedName name="solver_rbv" localSheetId="11" hidden="1">2</definedName>
    <definedName name="solver_rel1" localSheetId="9" hidden="1">1</definedName>
    <definedName name="solver_rel1" localSheetId="10" hidden="1">1</definedName>
    <definedName name="solver_rel1" localSheetId="11" hidden="1">1</definedName>
    <definedName name="solver_rel2" localSheetId="9" hidden="1">3</definedName>
    <definedName name="solver_rel2" localSheetId="10" hidden="1">1</definedName>
    <definedName name="solver_rel2" localSheetId="11" hidden="1">1</definedName>
    <definedName name="solver_rel3" localSheetId="9" hidden="1">1</definedName>
    <definedName name="solver_rel3" localSheetId="10" hidden="1">3</definedName>
    <definedName name="solver_rel3" localSheetId="11" hidden="1">1</definedName>
    <definedName name="solver_rel4" localSheetId="10" hidden="1">1</definedName>
    <definedName name="solver_rel4" localSheetId="11" hidden="1">3</definedName>
    <definedName name="solver_rel5" localSheetId="11" hidden="1">1</definedName>
    <definedName name="solver_rhs1" localSheetId="9" hidden="1">1</definedName>
    <definedName name="solver_rhs1" localSheetId="10" hidden="1">1</definedName>
    <definedName name="solver_rhs1" localSheetId="11" hidden="1">1</definedName>
    <definedName name="solver_rhs2" localSheetId="9" hidden="1">-5.99</definedName>
    <definedName name="solver_rhs2" localSheetId="10" hidden="1">1</definedName>
    <definedName name="solver_rhs2" localSheetId="11" hidden="1">1</definedName>
    <definedName name="solver_rhs3" localSheetId="9" hidden="1">5.99</definedName>
    <definedName name="solver_rhs3" localSheetId="10" hidden="1">-5.9</definedName>
    <definedName name="solver_rhs3" localSheetId="11" hidden="1">1</definedName>
    <definedName name="solver_rhs4" localSheetId="10" hidden="1">5.9</definedName>
    <definedName name="solver_rhs4" localSheetId="11" hidden="1">-5.99</definedName>
    <definedName name="solver_rhs5" localSheetId="11" hidden="1">5.99</definedName>
    <definedName name="solver_rlx" localSheetId="9" hidden="1">2</definedName>
    <definedName name="solver_rlx" localSheetId="10" hidden="1">2</definedName>
    <definedName name="solver_rlx" localSheetId="11" hidden="1">2</definedName>
    <definedName name="solver_rsd" localSheetId="9" hidden="1">0</definedName>
    <definedName name="solver_rsd" localSheetId="10" hidden="1">0</definedName>
    <definedName name="solver_rsd" localSheetId="11" hidden="1">0</definedName>
    <definedName name="solver_scl" localSheetId="9" hidden="1">1</definedName>
    <definedName name="solver_scl" localSheetId="10" hidden="1">1</definedName>
    <definedName name="solver_scl" localSheetId="11" hidden="1">2</definedName>
    <definedName name="solver_sho" localSheetId="9" hidden="1">2</definedName>
    <definedName name="solver_sho" localSheetId="10" hidden="1">2</definedName>
    <definedName name="solver_sho" localSheetId="11" hidden="1">2</definedName>
    <definedName name="solver_ssz" localSheetId="9" hidden="1">100</definedName>
    <definedName name="solver_ssz" localSheetId="10" hidden="1">100</definedName>
    <definedName name="solver_ssz" localSheetId="11" hidden="1">100</definedName>
    <definedName name="solver_tim" localSheetId="9" hidden="1">2147483647</definedName>
    <definedName name="solver_tim" localSheetId="10" hidden="1">2147483647</definedName>
    <definedName name="solver_tim" localSheetId="11" hidden="1">2147483647</definedName>
    <definedName name="solver_tol" localSheetId="9" hidden="1">0.01</definedName>
    <definedName name="solver_tol" localSheetId="10" hidden="1">0.01</definedName>
    <definedName name="solver_tol" localSheetId="11" hidden="1">0.01</definedName>
    <definedName name="solver_typ" localSheetId="9" hidden="1">2</definedName>
    <definedName name="solver_typ" localSheetId="10" hidden="1">2</definedName>
    <definedName name="solver_typ" localSheetId="11" hidden="1">2</definedName>
    <definedName name="solver_val" localSheetId="9" hidden="1">0</definedName>
    <definedName name="solver_val" localSheetId="10" hidden="1">0</definedName>
    <definedName name="solver_val" localSheetId="11" hidden="1">0</definedName>
    <definedName name="solver_ver" localSheetId="9" hidden="1">3</definedName>
    <definedName name="solver_ver" localSheetId="10" hidden="1">3</definedName>
    <definedName name="solver_ver" localSheetId="1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1" i="14" l="1"/>
  <c r="W20" i="14"/>
  <c r="W19" i="14"/>
  <c r="N5" i="20"/>
  <c r="M5" i="20"/>
  <c r="L5" i="20"/>
  <c r="K5" i="20"/>
  <c r="J5" i="20"/>
  <c r="I5" i="20"/>
  <c r="E58" i="24"/>
  <c r="F58" i="24" s="1"/>
  <c r="I58" i="24" s="1"/>
  <c r="B58" i="24"/>
  <c r="B57" i="24"/>
  <c r="E57" i="24" s="1"/>
  <c r="F57" i="24" s="1"/>
  <c r="I57" i="24" s="1"/>
  <c r="E56" i="24"/>
  <c r="F56" i="24" s="1"/>
  <c r="I56" i="24" s="1"/>
  <c r="B56" i="24"/>
  <c r="B55" i="24"/>
  <c r="E55" i="24" s="1"/>
  <c r="F55" i="24" s="1"/>
  <c r="I55" i="24" s="1"/>
  <c r="B54" i="24"/>
  <c r="E54" i="24" s="1"/>
  <c r="F54" i="24" s="1"/>
  <c r="I54" i="24" s="1"/>
  <c r="B53" i="24"/>
  <c r="E53" i="24" s="1"/>
  <c r="F53" i="24" s="1"/>
  <c r="I53" i="24" s="1"/>
  <c r="E52" i="24"/>
  <c r="F52" i="24" s="1"/>
  <c r="I52" i="24" s="1"/>
  <c r="B52" i="24"/>
  <c r="B51" i="24"/>
  <c r="E51" i="24" s="1"/>
  <c r="F51" i="24" s="1"/>
  <c r="I51" i="24" s="1"/>
  <c r="E50" i="24"/>
  <c r="F50" i="24" s="1"/>
  <c r="I50" i="24" s="1"/>
  <c r="B50" i="24"/>
  <c r="B49" i="24"/>
  <c r="E49" i="24" s="1"/>
  <c r="F49" i="24" s="1"/>
  <c r="I49" i="24" s="1"/>
  <c r="E48" i="24"/>
  <c r="F48" i="24" s="1"/>
  <c r="I48" i="24" s="1"/>
  <c r="B48" i="24"/>
  <c r="B47" i="24"/>
  <c r="E47" i="24" s="1"/>
  <c r="F47" i="24" s="1"/>
  <c r="I47" i="24" s="1"/>
  <c r="B46" i="24"/>
  <c r="E46" i="24" s="1"/>
  <c r="F46" i="24" s="1"/>
  <c r="I46" i="24" s="1"/>
  <c r="B45" i="24"/>
  <c r="E45" i="24" s="1"/>
  <c r="F45" i="24" s="1"/>
  <c r="I45" i="24" s="1"/>
  <c r="E44" i="24"/>
  <c r="F44" i="24" s="1"/>
  <c r="I44" i="24" s="1"/>
  <c r="B44" i="24"/>
  <c r="B43" i="24"/>
  <c r="E43" i="24" s="1"/>
  <c r="F43" i="24" s="1"/>
  <c r="I43" i="24" s="1"/>
  <c r="E42" i="24"/>
  <c r="F42" i="24" s="1"/>
  <c r="I42" i="24" s="1"/>
  <c r="B42" i="24"/>
  <c r="B41" i="24"/>
  <c r="E41" i="24" s="1"/>
  <c r="F41" i="24" s="1"/>
  <c r="I41" i="24" s="1"/>
  <c r="E40" i="24"/>
  <c r="F40" i="24" s="1"/>
  <c r="I40" i="24" s="1"/>
  <c r="B40" i="24"/>
  <c r="B39" i="24"/>
  <c r="E39" i="24" s="1"/>
  <c r="F39" i="24" s="1"/>
  <c r="I39" i="24" s="1"/>
  <c r="B38" i="24"/>
  <c r="E38" i="24" s="1"/>
  <c r="F38" i="24" s="1"/>
  <c r="I38" i="24" s="1"/>
  <c r="B37" i="24"/>
  <c r="E37" i="24" s="1"/>
  <c r="F37" i="24" s="1"/>
  <c r="I37" i="24" s="1"/>
  <c r="E36" i="24"/>
  <c r="F36" i="24" s="1"/>
  <c r="I36" i="24" s="1"/>
  <c r="B36" i="24"/>
  <c r="B35" i="24"/>
  <c r="E35" i="24" s="1"/>
  <c r="F35" i="24" s="1"/>
  <c r="I35" i="24" s="1"/>
  <c r="E34" i="24"/>
  <c r="F34" i="24" s="1"/>
  <c r="I34" i="24" s="1"/>
  <c r="B34" i="24"/>
  <c r="B33" i="24"/>
  <c r="E33" i="24" s="1"/>
  <c r="F33" i="24" s="1"/>
  <c r="I33" i="24" s="1"/>
  <c r="E32" i="24"/>
  <c r="F32" i="24" s="1"/>
  <c r="I32" i="24" s="1"/>
  <c r="B32" i="24"/>
  <c r="B31" i="24"/>
  <c r="E31" i="24" s="1"/>
  <c r="F31" i="24" s="1"/>
  <c r="I31" i="24" s="1"/>
  <c r="B30" i="24"/>
  <c r="E30" i="24" s="1"/>
  <c r="F30" i="24" s="1"/>
  <c r="I30" i="24" s="1"/>
  <c r="B29" i="24"/>
  <c r="E29" i="24" s="1"/>
  <c r="F29" i="24" s="1"/>
  <c r="I29" i="24" s="1"/>
  <c r="E28" i="24"/>
  <c r="F28" i="24" s="1"/>
  <c r="I28" i="24" s="1"/>
  <c r="B28" i="24"/>
  <c r="B27" i="24"/>
  <c r="E27" i="24" s="1"/>
  <c r="F27" i="24" s="1"/>
  <c r="I27" i="24" s="1"/>
  <c r="E26" i="24"/>
  <c r="F26" i="24" s="1"/>
  <c r="I26" i="24" s="1"/>
  <c r="B26" i="24"/>
  <c r="B25" i="24"/>
  <c r="E25" i="24" s="1"/>
  <c r="F25" i="24" s="1"/>
  <c r="I25" i="24" s="1"/>
  <c r="E24" i="24"/>
  <c r="F24" i="24" s="1"/>
  <c r="I24" i="24" s="1"/>
  <c r="B24" i="24"/>
  <c r="B23" i="24"/>
  <c r="E23" i="24" s="1"/>
  <c r="F23" i="24" s="1"/>
  <c r="I23" i="24" s="1"/>
  <c r="E22" i="24"/>
  <c r="F22" i="24" s="1"/>
  <c r="I22" i="24" s="1"/>
  <c r="B22" i="24"/>
  <c r="B21" i="24"/>
  <c r="E21" i="24" s="1"/>
  <c r="F21" i="24" s="1"/>
  <c r="I21" i="24" s="1"/>
  <c r="E20" i="24"/>
  <c r="F20" i="24" s="1"/>
  <c r="I20" i="24" s="1"/>
  <c r="B20" i="24"/>
  <c r="B19" i="24"/>
  <c r="E19" i="24" s="1"/>
  <c r="F19" i="24" s="1"/>
  <c r="I19" i="24" s="1"/>
  <c r="E18" i="24"/>
  <c r="F18" i="24" s="1"/>
  <c r="I18" i="24" s="1"/>
  <c r="B18" i="24"/>
  <c r="B17" i="24"/>
  <c r="E17" i="24" s="1"/>
  <c r="F17" i="24" s="1"/>
  <c r="I17" i="24" s="1"/>
  <c r="E16" i="24"/>
  <c r="F16" i="24" s="1"/>
  <c r="I16" i="24" s="1"/>
  <c r="B16" i="24"/>
  <c r="A16" i="24"/>
  <c r="A17" i="24" s="1"/>
  <c r="B15" i="24"/>
  <c r="E15" i="24" s="1"/>
  <c r="A15" i="24"/>
  <c r="G15" i="24" s="1"/>
  <c r="G14" i="24"/>
  <c r="E14" i="24"/>
  <c r="F14" i="24" s="1"/>
  <c r="B14" i="24"/>
  <c r="F13" i="24"/>
  <c r="E13" i="24"/>
  <c r="F12" i="24"/>
  <c r="E12" i="24"/>
  <c r="F11" i="24"/>
  <c r="E11" i="24"/>
  <c r="F10" i="24"/>
  <c r="E10" i="24"/>
  <c r="F9" i="24"/>
  <c r="E9" i="24"/>
  <c r="F8" i="24"/>
  <c r="E8" i="24"/>
  <c r="F7" i="24"/>
  <c r="E7" i="24"/>
  <c r="F6" i="24"/>
  <c r="E6" i="24"/>
  <c r="E5" i="24"/>
  <c r="F5" i="24" s="1"/>
  <c r="F4" i="24"/>
  <c r="E4" i="24"/>
  <c r="F3" i="24"/>
  <c r="E3" i="24"/>
  <c r="F2" i="24"/>
  <c r="E2" i="24"/>
  <c r="N4" i="20"/>
  <c r="M4" i="20"/>
  <c r="L4" i="20"/>
  <c r="K4" i="20"/>
  <c r="J4" i="20"/>
  <c r="I4" i="20"/>
  <c r="E58" i="23"/>
  <c r="F58" i="23" s="1"/>
  <c r="I58" i="23" s="1"/>
  <c r="B58" i="23"/>
  <c r="F57" i="23"/>
  <c r="I57" i="23" s="1"/>
  <c r="E57" i="23"/>
  <c r="B57" i="23"/>
  <c r="F56" i="23"/>
  <c r="I56" i="23" s="1"/>
  <c r="E56" i="23"/>
  <c r="B56" i="23"/>
  <c r="B55" i="23"/>
  <c r="E55" i="23" s="1"/>
  <c r="F55" i="23" s="1"/>
  <c r="I55" i="23" s="1"/>
  <c r="B54" i="23"/>
  <c r="E54" i="23" s="1"/>
  <c r="F54" i="23" s="1"/>
  <c r="I54" i="23" s="1"/>
  <c r="E53" i="23"/>
  <c r="F53" i="23" s="1"/>
  <c r="I53" i="23" s="1"/>
  <c r="B53" i="23"/>
  <c r="E52" i="23"/>
  <c r="F52" i="23" s="1"/>
  <c r="I52" i="23" s="1"/>
  <c r="B52" i="23"/>
  <c r="B51" i="23"/>
  <c r="E51" i="23" s="1"/>
  <c r="F51" i="23" s="1"/>
  <c r="I51" i="23" s="1"/>
  <c r="E50" i="23"/>
  <c r="F50" i="23" s="1"/>
  <c r="I50" i="23" s="1"/>
  <c r="B50" i="23"/>
  <c r="F49" i="23"/>
  <c r="I49" i="23" s="1"/>
  <c r="E49" i="23"/>
  <c r="B49" i="23"/>
  <c r="F48" i="23"/>
  <c r="I48" i="23" s="1"/>
  <c r="E48" i="23"/>
  <c r="B48" i="23"/>
  <c r="B47" i="23"/>
  <c r="E47" i="23" s="1"/>
  <c r="F47" i="23" s="1"/>
  <c r="I47" i="23" s="1"/>
  <c r="B46" i="23"/>
  <c r="E46" i="23" s="1"/>
  <c r="F46" i="23" s="1"/>
  <c r="I46" i="23" s="1"/>
  <c r="E45" i="23"/>
  <c r="F45" i="23" s="1"/>
  <c r="I45" i="23" s="1"/>
  <c r="B45" i="23"/>
  <c r="E44" i="23"/>
  <c r="F44" i="23" s="1"/>
  <c r="I44" i="23" s="1"/>
  <c r="B44" i="23"/>
  <c r="B43" i="23"/>
  <c r="E43" i="23" s="1"/>
  <c r="F43" i="23" s="1"/>
  <c r="I43" i="23" s="1"/>
  <c r="E42" i="23"/>
  <c r="F42" i="23" s="1"/>
  <c r="I42" i="23" s="1"/>
  <c r="B42" i="23"/>
  <c r="F41" i="23"/>
  <c r="I41" i="23" s="1"/>
  <c r="E41" i="23"/>
  <c r="B41" i="23"/>
  <c r="F40" i="23"/>
  <c r="I40" i="23" s="1"/>
  <c r="E40" i="23"/>
  <c r="B40" i="23"/>
  <c r="B39" i="23"/>
  <c r="E39" i="23" s="1"/>
  <c r="F39" i="23" s="1"/>
  <c r="I39" i="23" s="1"/>
  <c r="B38" i="23"/>
  <c r="E38" i="23" s="1"/>
  <c r="F38" i="23" s="1"/>
  <c r="I38" i="23" s="1"/>
  <c r="E37" i="23"/>
  <c r="F37" i="23" s="1"/>
  <c r="I37" i="23" s="1"/>
  <c r="B37" i="23"/>
  <c r="E36" i="23"/>
  <c r="F36" i="23" s="1"/>
  <c r="I36" i="23" s="1"/>
  <c r="B36" i="23"/>
  <c r="B35" i="23"/>
  <c r="E35" i="23" s="1"/>
  <c r="F35" i="23" s="1"/>
  <c r="I35" i="23" s="1"/>
  <c r="E34" i="23"/>
  <c r="F34" i="23" s="1"/>
  <c r="I34" i="23" s="1"/>
  <c r="B34" i="23"/>
  <c r="F33" i="23"/>
  <c r="I33" i="23" s="1"/>
  <c r="E33" i="23"/>
  <c r="B33" i="23"/>
  <c r="F32" i="23"/>
  <c r="I32" i="23" s="1"/>
  <c r="E32" i="23"/>
  <c r="B32" i="23"/>
  <c r="B31" i="23"/>
  <c r="E31" i="23" s="1"/>
  <c r="F31" i="23" s="1"/>
  <c r="I31" i="23" s="1"/>
  <c r="B30" i="23"/>
  <c r="E30" i="23" s="1"/>
  <c r="F30" i="23" s="1"/>
  <c r="I30" i="23" s="1"/>
  <c r="E29" i="23"/>
  <c r="F29" i="23" s="1"/>
  <c r="I29" i="23" s="1"/>
  <c r="B29" i="23"/>
  <c r="E28" i="23"/>
  <c r="F28" i="23" s="1"/>
  <c r="I28" i="23" s="1"/>
  <c r="B28" i="23"/>
  <c r="B27" i="23"/>
  <c r="E27" i="23" s="1"/>
  <c r="F27" i="23" s="1"/>
  <c r="I27" i="23" s="1"/>
  <c r="E26" i="23"/>
  <c r="F26" i="23" s="1"/>
  <c r="I26" i="23" s="1"/>
  <c r="B26" i="23"/>
  <c r="F25" i="23"/>
  <c r="I25" i="23" s="1"/>
  <c r="E25" i="23"/>
  <c r="B25" i="23"/>
  <c r="F24" i="23"/>
  <c r="I24" i="23" s="1"/>
  <c r="E24" i="23"/>
  <c r="B24" i="23"/>
  <c r="B23" i="23"/>
  <c r="E23" i="23" s="1"/>
  <c r="F23" i="23" s="1"/>
  <c r="I23" i="23" s="1"/>
  <c r="B22" i="23"/>
  <c r="E22" i="23" s="1"/>
  <c r="F22" i="23" s="1"/>
  <c r="I22" i="23" s="1"/>
  <c r="B21" i="23"/>
  <c r="E21" i="23" s="1"/>
  <c r="F21" i="23" s="1"/>
  <c r="I21" i="23" s="1"/>
  <c r="E20" i="23"/>
  <c r="F20" i="23" s="1"/>
  <c r="I20" i="23" s="1"/>
  <c r="B20" i="23"/>
  <c r="B19" i="23"/>
  <c r="E19" i="23" s="1"/>
  <c r="F19" i="23" s="1"/>
  <c r="I19" i="23" s="1"/>
  <c r="E18" i="23"/>
  <c r="F18" i="23" s="1"/>
  <c r="I18" i="23" s="1"/>
  <c r="B18" i="23"/>
  <c r="E17" i="23"/>
  <c r="F17" i="23" s="1"/>
  <c r="I17" i="23" s="1"/>
  <c r="B17" i="23"/>
  <c r="E16" i="23"/>
  <c r="F16" i="23" s="1"/>
  <c r="I16" i="23" s="1"/>
  <c r="B16" i="23"/>
  <c r="B15" i="23"/>
  <c r="E15" i="23" s="1"/>
  <c r="F15" i="23" s="1"/>
  <c r="I15" i="23" s="1"/>
  <c r="A15" i="23"/>
  <c r="A16" i="23" s="1"/>
  <c r="B14" i="23"/>
  <c r="E14" i="23" s="1"/>
  <c r="F13" i="23"/>
  <c r="E13" i="23"/>
  <c r="F12" i="23"/>
  <c r="E12" i="23"/>
  <c r="F11" i="23"/>
  <c r="E11" i="23"/>
  <c r="E10" i="23"/>
  <c r="F10" i="23" s="1"/>
  <c r="F9" i="23"/>
  <c r="E9" i="23"/>
  <c r="F8" i="23"/>
  <c r="E8" i="23"/>
  <c r="F7" i="23"/>
  <c r="E7" i="23"/>
  <c r="E6" i="23"/>
  <c r="F6" i="23" s="1"/>
  <c r="E5" i="23"/>
  <c r="F5" i="23" s="1"/>
  <c r="F4" i="23"/>
  <c r="E4" i="23"/>
  <c r="E3" i="23"/>
  <c r="F3" i="23" s="1"/>
  <c r="F2" i="23"/>
  <c r="E2" i="23"/>
  <c r="N3" i="20"/>
  <c r="M3" i="20"/>
  <c r="L3" i="20"/>
  <c r="K3" i="20"/>
  <c r="J3" i="20"/>
  <c r="I3" i="20"/>
  <c r="B58" i="22"/>
  <c r="E58" i="22" s="1"/>
  <c r="F58" i="22" s="1"/>
  <c r="I58" i="22" s="1"/>
  <c r="E57" i="22"/>
  <c r="F57" i="22" s="1"/>
  <c r="I57" i="22" s="1"/>
  <c r="B57" i="22"/>
  <c r="B56" i="22"/>
  <c r="E56" i="22" s="1"/>
  <c r="F56" i="22" s="1"/>
  <c r="I56" i="22" s="1"/>
  <c r="E55" i="22"/>
  <c r="F55" i="22" s="1"/>
  <c r="I55" i="22" s="1"/>
  <c r="B55" i="22"/>
  <c r="F54" i="22"/>
  <c r="I54" i="22" s="1"/>
  <c r="E54" i="22"/>
  <c r="B54" i="22"/>
  <c r="B53" i="22"/>
  <c r="E53" i="22" s="1"/>
  <c r="F53" i="22" s="1"/>
  <c r="I53" i="22" s="1"/>
  <c r="E52" i="22"/>
  <c r="F52" i="22" s="1"/>
  <c r="I52" i="22" s="1"/>
  <c r="B52" i="22"/>
  <c r="E51" i="22"/>
  <c r="F51" i="22" s="1"/>
  <c r="I51" i="22" s="1"/>
  <c r="B51" i="22"/>
  <c r="B50" i="22"/>
  <c r="E50" i="22" s="1"/>
  <c r="F50" i="22" s="1"/>
  <c r="I50" i="22" s="1"/>
  <c r="E49" i="22"/>
  <c r="F49" i="22" s="1"/>
  <c r="I49" i="22" s="1"/>
  <c r="B49" i="22"/>
  <c r="B48" i="22"/>
  <c r="E48" i="22" s="1"/>
  <c r="F48" i="22" s="1"/>
  <c r="I48" i="22" s="1"/>
  <c r="E47" i="22"/>
  <c r="F47" i="22" s="1"/>
  <c r="I47" i="22" s="1"/>
  <c r="B47" i="22"/>
  <c r="F46" i="22"/>
  <c r="I46" i="22" s="1"/>
  <c r="E46" i="22"/>
  <c r="B46" i="22"/>
  <c r="B45" i="22"/>
  <c r="E45" i="22" s="1"/>
  <c r="F45" i="22" s="1"/>
  <c r="I45" i="22" s="1"/>
  <c r="E44" i="22"/>
  <c r="F44" i="22" s="1"/>
  <c r="I44" i="22" s="1"/>
  <c r="B44" i="22"/>
  <c r="E43" i="22"/>
  <c r="F43" i="22" s="1"/>
  <c r="I43" i="22" s="1"/>
  <c r="B43" i="22"/>
  <c r="B42" i="22"/>
  <c r="E42" i="22" s="1"/>
  <c r="F42" i="22" s="1"/>
  <c r="I42" i="22" s="1"/>
  <c r="E41" i="22"/>
  <c r="F41" i="22" s="1"/>
  <c r="I41" i="22" s="1"/>
  <c r="B41" i="22"/>
  <c r="B40" i="22"/>
  <c r="E40" i="22" s="1"/>
  <c r="F40" i="22" s="1"/>
  <c r="I40" i="22" s="1"/>
  <c r="E39" i="22"/>
  <c r="F39" i="22" s="1"/>
  <c r="I39" i="22" s="1"/>
  <c r="B39" i="22"/>
  <c r="F38" i="22"/>
  <c r="I38" i="22" s="1"/>
  <c r="E38" i="22"/>
  <c r="B38" i="22"/>
  <c r="B37" i="22"/>
  <c r="E37" i="22" s="1"/>
  <c r="F37" i="22" s="1"/>
  <c r="I37" i="22" s="1"/>
  <c r="E36" i="22"/>
  <c r="F36" i="22" s="1"/>
  <c r="I36" i="22" s="1"/>
  <c r="B36" i="22"/>
  <c r="E35" i="22"/>
  <c r="F35" i="22" s="1"/>
  <c r="I35" i="22" s="1"/>
  <c r="B35" i="22"/>
  <c r="B34" i="22"/>
  <c r="E34" i="22" s="1"/>
  <c r="F34" i="22" s="1"/>
  <c r="I34" i="22" s="1"/>
  <c r="E33" i="22"/>
  <c r="F33" i="22" s="1"/>
  <c r="I33" i="22" s="1"/>
  <c r="B33" i="22"/>
  <c r="B32" i="22"/>
  <c r="E32" i="22" s="1"/>
  <c r="F32" i="22" s="1"/>
  <c r="I32" i="22" s="1"/>
  <c r="E31" i="22"/>
  <c r="F31" i="22" s="1"/>
  <c r="I31" i="22" s="1"/>
  <c r="B31" i="22"/>
  <c r="F30" i="22"/>
  <c r="I30" i="22" s="1"/>
  <c r="E30" i="22"/>
  <c r="B30" i="22"/>
  <c r="B29" i="22"/>
  <c r="E29" i="22" s="1"/>
  <c r="F29" i="22" s="1"/>
  <c r="I29" i="22" s="1"/>
  <c r="E28" i="22"/>
  <c r="F28" i="22" s="1"/>
  <c r="I28" i="22" s="1"/>
  <c r="B28" i="22"/>
  <c r="E27" i="22"/>
  <c r="F27" i="22" s="1"/>
  <c r="I27" i="22" s="1"/>
  <c r="B27" i="22"/>
  <c r="B26" i="22"/>
  <c r="E26" i="22" s="1"/>
  <c r="F26" i="22" s="1"/>
  <c r="I26" i="22" s="1"/>
  <c r="E25" i="22"/>
  <c r="F25" i="22" s="1"/>
  <c r="I25" i="22" s="1"/>
  <c r="B25" i="22"/>
  <c r="B24" i="22"/>
  <c r="E24" i="22" s="1"/>
  <c r="F24" i="22" s="1"/>
  <c r="I24" i="22" s="1"/>
  <c r="E23" i="22"/>
  <c r="F23" i="22" s="1"/>
  <c r="I23" i="22" s="1"/>
  <c r="B23" i="22"/>
  <c r="F22" i="22"/>
  <c r="I22" i="22" s="1"/>
  <c r="E22" i="22"/>
  <c r="B22" i="22"/>
  <c r="B21" i="22"/>
  <c r="E21" i="22" s="1"/>
  <c r="F21" i="22" s="1"/>
  <c r="I21" i="22" s="1"/>
  <c r="E20" i="22"/>
  <c r="F20" i="22" s="1"/>
  <c r="I20" i="22" s="1"/>
  <c r="B20" i="22"/>
  <c r="E19" i="22"/>
  <c r="F19" i="22" s="1"/>
  <c r="I19" i="22" s="1"/>
  <c r="B19" i="22"/>
  <c r="B18" i="22"/>
  <c r="E18" i="22" s="1"/>
  <c r="F18" i="22" s="1"/>
  <c r="I18" i="22" s="1"/>
  <c r="E17" i="22"/>
  <c r="F17" i="22" s="1"/>
  <c r="I17" i="22" s="1"/>
  <c r="B17" i="22"/>
  <c r="A17" i="22"/>
  <c r="A18" i="22" s="1"/>
  <c r="B16" i="22"/>
  <c r="E16" i="22" s="1"/>
  <c r="F16" i="22" s="1"/>
  <c r="I16" i="22" s="1"/>
  <c r="A16" i="22"/>
  <c r="E15" i="22"/>
  <c r="F15" i="22" s="1"/>
  <c r="I15" i="22" s="1"/>
  <c r="B15" i="22"/>
  <c r="A15" i="22"/>
  <c r="E14" i="22"/>
  <c r="G14" i="22" s="1"/>
  <c r="B14" i="22"/>
  <c r="F13" i="22"/>
  <c r="E13" i="22"/>
  <c r="E12" i="22"/>
  <c r="F12" i="22" s="1"/>
  <c r="E11" i="22"/>
  <c r="F11" i="22" s="1"/>
  <c r="F10" i="22"/>
  <c r="E10" i="22"/>
  <c r="F9" i="22"/>
  <c r="E9" i="22"/>
  <c r="E8" i="22"/>
  <c r="F8" i="22" s="1"/>
  <c r="E7" i="22"/>
  <c r="F7" i="22" s="1"/>
  <c r="F6" i="22"/>
  <c r="E6" i="22"/>
  <c r="F5" i="22"/>
  <c r="E5" i="22"/>
  <c r="E4" i="22"/>
  <c r="F4" i="22" s="1"/>
  <c r="F3" i="22"/>
  <c r="E3" i="22"/>
  <c r="E2" i="22"/>
  <c r="F2" i="22" s="1"/>
  <c r="N2" i="20"/>
  <c r="L2" i="20"/>
  <c r="K2" i="20"/>
  <c r="F17" i="21"/>
  <c r="F16"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F18" i="21" s="1"/>
  <c r="E17" i="21"/>
  <c r="E16" i="21"/>
  <c r="E15" i="21"/>
  <c r="F15" i="21" s="1"/>
  <c r="E14" i="21"/>
  <c r="F14" i="21" s="1"/>
  <c r="F47" i="20"/>
  <c r="F46" i="20"/>
  <c r="F45" i="20"/>
  <c r="F44" i="20"/>
  <c r="F43" i="20"/>
  <c r="F42" i="20"/>
  <c r="F41" i="20"/>
  <c r="F40" i="20"/>
  <c r="F39" i="20"/>
  <c r="F38" i="20"/>
  <c r="F37" i="20"/>
  <c r="F36" i="20"/>
  <c r="F35" i="20"/>
  <c r="F34" i="20"/>
  <c r="F33" i="20"/>
  <c r="F32" i="20"/>
  <c r="F31" i="20"/>
  <c r="F30" i="20"/>
  <c r="F29" i="20"/>
  <c r="F28" i="20"/>
  <c r="F27" i="20"/>
  <c r="F26" i="20"/>
  <c r="F25" i="20"/>
  <c r="F24" i="20"/>
  <c r="F23" i="20"/>
  <c r="F22" i="20"/>
  <c r="F21" i="20"/>
  <c r="F20" i="20"/>
  <c r="F19" i="20"/>
  <c r="F18" i="20"/>
  <c r="F17" i="20"/>
  <c r="F16" i="20"/>
  <c r="F15" i="20"/>
  <c r="F14" i="20"/>
  <c r="F13" i="20"/>
  <c r="F12" i="20"/>
  <c r="F11" i="20"/>
  <c r="F10" i="20"/>
  <c r="F9" i="20"/>
  <c r="F8" i="20"/>
  <c r="F7" i="20"/>
  <c r="F6" i="20"/>
  <c r="F5" i="20"/>
  <c r="F4" i="20"/>
  <c r="F3" i="20"/>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M2" i="20"/>
  <c r="F60" i="18"/>
  <c r="E8" i="13"/>
  <c r="D8" i="13"/>
  <c r="C8" i="13"/>
  <c r="B8" i="13"/>
  <c r="F8" i="13" s="1"/>
  <c r="V5" i="18"/>
  <c r="U5" i="18"/>
  <c r="Q59" i="18"/>
  <c r="Q58" i="18"/>
  <c r="Q57" i="18"/>
  <c r="Q56" i="18"/>
  <c r="Q55" i="18"/>
  <c r="Q54" i="18"/>
  <c r="Q53" i="18"/>
  <c r="Q52" i="18"/>
  <c r="Q51" i="18"/>
  <c r="Q50" i="18"/>
  <c r="Q49" i="18"/>
  <c r="Q48" i="18"/>
  <c r="Q47" i="18"/>
  <c r="Q46" i="18"/>
  <c r="Q45" i="18"/>
  <c r="Q44" i="18"/>
  <c r="Q43" i="18"/>
  <c r="Q42" i="18"/>
  <c r="Q41" i="18"/>
  <c r="Q40" i="18"/>
  <c r="Q39" i="18"/>
  <c r="Q38" i="18"/>
  <c r="Q37" i="18"/>
  <c r="Q36" i="18"/>
  <c r="Q35" i="18"/>
  <c r="Q34" i="18"/>
  <c r="Q33" i="18"/>
  <c r="Q32" i="18"/>
  <c r="Q31" i="18"/>
  <c r="Q30" i="18"/>
  <c r="Q29" i="18"/>
  <c r="Q28" i="18"/>
  <c r="Q27" i="18"/>
  <c r="Q26" i="18"/>
  <c r="Q25" i="18"/>
  <c r="Q24" i="18"/>
  <c r="Q23" i="18"/>
  <c r="Q22" i="18"/>
  <c r="Q21" i="18"/>
  <c r="Q20" i="18"/>
  <c r="Q19" i="18"/>
  <c r="Q18" i="18"/>
  <c r="Q17" i="18"/>
  <c r="Q16" i="18"/>
  <c r="Q15" i="18"/>
  <c r="Q14" i="18"/>
  <c r="Q13" i="18"/>
  <c r="Q12" i="18"/>
  <c r="Q11" i="18"/>
  <c r="Q10" i="18"/>
  <c r="Q9" i="18"/>
  <c r="Q8" i="18"/>
  <c r="Q7" i="18"/>
  <c r="Q6" i="18"/>
  <c r="Q5" i="18"/>
  <c r="F15" i="24" l="1"/>
  <c r="I15" i="24" s="1"/>
  <c r="G16" i="24"/>
  <c r="A18" i="24"/>
  <c r="G17" i="24"/>
  <c r="H14" i="24"/>
  <c r="K14" i="24" s="1"/>
  <c r="I14" i="24"/>
  <c r="A17" i="23"/>
  <c r="G16" i="23"/>
  <c r="G15" i="23"/>
  <c r="G14" i="23"/>
  <c r="F14" i="23"/>
  <c r="F14" i="22"/>
  <c r="H15" i="22"/>
  <c r="K15" i="22" s="1"/>
  <c r="G16" i="22"/>
  <c r="H18" i="22"/>
  <c r="K18" i="22" s="1"/>
  <c r="G18" i="22"/>
  <c r="A19" i="22"/>
  <c r="H16" i="22"/>
  <c r="K16" i="22" s="1"/>
  <c r="G15" i="22"/>
  <c r="I14" i="22"/>
  <c r="H14" i="22"/>
  <c r="K14" i="22" s="1"/>
  <c r="G17" i="22"/>
  <c r="H17" i="22"/>
  <c r="K17" i="22" s="1"/>
  <c r="G14" i="21"/>
  <c r="H14" i="21"/>
  <c r="K14" i="21" s="1"/>
  <c r="I14" i="21"/>
  <c r="J14" i="21" s="1"/>
  <c r="G8" i="13"/>
  <c r="R3" i="18"/>
  <c r="S3" i="18" s="1"/>
  <c r="R59" i="18"/>
  <c r="S59" i="18" s="1"/>
  <c r="D2" i="18"/>
  <c r="R49" i="18"/>
  <c r="S49" i="18" s="1"/>
  <c r="R4" i="18"/>
  <c r="S4" i="18" s="1"/>
  <c r="R16" i="18"/>
  <c r="S16" i="18" s="1"/>
  <c r="R9" i="18"/>
  <c r="C2" i="18"/>
  <c r="H15" i="24" l="1"/>
  <c r="K15" i="24" s="1"/>
  <c r="H17" i="24"/>
  <c r="K17" i="24" s="1"/>
  <c r="A19" i="24"/>
  <c r="H18" i="24"/>
  <c r="K18" i="24" s="1"/>
  <c r="G18" i="24"/>
  <c r="H16" i="24"/>
  <c r="K16" i="24" s="1"/>
  <c r="J52" i="24"/>
  <c r="J44" i="24"/>
  <c r="J36" i="24"/>
  <c r="J28" i="24"/>
  <c r="J20" i="24"/>
  <c r="J51" i="24"/>
  <c r="J43" i="24"/>
  <c r="J35" i="24"/>
  <c r="J27" i="24"/>
  <c r="J19" i="24"/>
  <c r="J21" i="24"/>
  <c r="J58" i="24"/>
  <c r="J50" i="24"/>
  <c r="J42" i="24"/>
  <c r="J34" i="24"/>
  <c r="J26" i="24"/>
  <c r="J18" i="24"/>
  <c r="J57" i="24"/>
  <c r="J49" i="24"/>
  <c r="J41" i="24"/>
  <c r="J33" i="24"/>
  <c r="J25" i="24"/>
  <c r="J17" i="24"/>
  <c r="J56" i="24"/>
  <c r="J48" i="24"/>
  <c r="J40" i="24"/>
  <c r="J32" i="24"/>
  <c r="J24" i="24"/>
  <c r="J16" i="24"/>
  <c r="J55" i="24"/>
  <c r="J47" i="24"/>
  <c r="J39" i="24"/>
  <c r="J31" i="24"/>
  <c r="J23" i="24"/>
  <c r="J15" i="24"/>
  <c r="J54" i="24"/>
  <c r="J46" i="24"/>
  <c r="J38" i="24"/>
  <c r="J30" i="24"/>
  <c r="J22" i="24"/>
  <c r="J14" i="24"/>
  <c r="J53" i="24"/>
  <c r="J45" i="24"/>
  <c r="J37" i="24"/>
  <c r="J29" i="24"/>
  <c r="H14" i="23"/>
  <c r="K14" i="23" s="1"/>
  <c r="H15" i="23"/>
  <c r="K15" i="23" s="1"/>
  <c r="I14" i="23"/>
  <c r="H16" i="23"/>
  <c r="K16" i="23" s="1"/>
  <c r="A18" i="23"/>
  <c r="H17" i="23"/>
  <c r="K17" i="23" s="1"/>
  <c r="G17" i="23"/>
  <c r="H19" i="22"/>
  <c r="K19" i="22" s="1"/>
  <c r="G19" i="22"/>
  <c r="A20" i="22"/>
  <c r="J51" i="22"/>
  <c r="J43" i="22"/>
  <c r="J35" i="22"/>
  <c r="J27" i="22"/>
  <c r="J19" i="22"/>
  <c r="J58" i="22"/>
  <c r="J50" i="22"/>
  <c r="J42" i="22"/>
  <c r="J34" i="22"/>
  <c r="J57" i="22"/>
  <c r="J49" i="22"/>
  <c r="J41" i="22"/>
  <c r="J33" i="22"/>
  <c r="J25" i="22"/>
  <c r="J17" i="22"/>
  <c r="J23" i="22"/>
  <c r="J15" i="22"/>
  <c r="J56" i="22"/>
  <c r="J48" i="22"/>
  <c r="J40" i="22"/>
  <c r="J32" i="22"/>
  <c r="J24" i="22"/>
  <c r="J16" i="22"/>
  <c r="J55" i="22"/>
  <c r="J47" i="22"/>
  <c r="J39" i="22"/>
  <c r="J31" i="22"/>
  <c r="J54" i="22"/>
  <c r="J46" i="22"/>
  <c r="J38" i="22"/>
  <c r="J30" i="22"/>
  <c r="J22" i="22"/>
  <c r="J14" i="22"/>
  <c r="J20" i="22"/>
  <c r="J18" i="22"/>
  <c r="J53" i="22"/>
  <c r="J45" i="22"/>
  <c r="J37" i="22"/>
  <c r="J29" i="22"/>
  <c r="J21" i="22"/>
  <c r="J52" i="22"/>
  <c r="J44" i="22"/>
  <c r="J36" i="22"/>
  <c r="J28" i="22"/>
  <c r="J26" i="22"/>
  <c r="R44" i="18"/>
  <c r="S44" i="18" s="1"/>
  <c r="R24" i="18"/>
  <c r="S24" i="18" s="1"/>
  <c r="R54" i="18"/>
  <c r="S54" i="18" s="1"/>
  <c r="R31" i="18"/>
  <c r="S31" i="18" s="1"/>
  <c r="R32" i="18"/>
  <c r="S32" i="18" s="1"/>
  <c r="R26" i="18"/>
  <c r="S26" i="18" s="1"/>
  <c r="R5" i="18"/>
  <c r="S5" i="18" s="1"/>
  <c r="R25" i="18"/>
  <c r="S25" i="18" s="1"/>
  <c r="R37" i="18"/>
  <c r="S37" i="18" s="1"/>
  <c r="R46" i="18"/>
  <c r="S46" i="18" s="1"/>
  <c r="R23" i="18"/>
  <c r="S23" i="18" s="1"/>
  <c r="R18" i="18"/>
  <c r="S18" i="18" s="1"/>
  <c r="R52" i="18"/>
  <c r="S52" i="18" s="1"/>
  <c r="R39" i="18"/>
  <c r="S39" i="18" s="1"/>
  <c r="R40" i="18"/>
  <c r="S40" i="18" s="1"/>
  <c r="R34" i="18"/>
  <c r="S34" i="18" s="1"/>
  <c r="R19" i="18"/>
  <c r="S19" i="18" s="1"/>
  <c r="R57" i="18"/>
  <c r="S57" i="18" s="1"/>
  <c r="R21" i="18"/>
  <c r="S21" i="18" s="1"/>
  <c r="R56" i="18"/>
  <c r="S56" i="18" s="1"/>
  <c r="R35" i="18"/>
  <c r="S35" i="18" s="1"/>
  <c r="R20" i="18"/>
  <c r="S20" i="18" s="1"/>
  <c r="R29" i="18"/>
  <c r="S29" i="18" s="1"/>
  <c r="R7" i="18"/>
  <c r="R41" i="18"/>
  <c r="S41" i="18" s="1"/>
  <c r="R58" i="18"/>
  <c r="S58" i="18" s="1"/>
  <c r="R43" i="18"/>
  <c r="S43" i="18" s="1"/>
  <c r="R28" i="18"/>
  <c r="S28" i="18" s="1"/>
  <c r="R30" i="18"/>
  <c r="S30" i="18" s="1"/>
  <c r="R47" i="18"/>
  <c r="S47" i="18" s="1"/>
  <c r="R48" i="18"/>
  <c r="S48" i="18" s="1"/>
  <c r="R42" i="18"/>
  <c r="S42" i="18" s="1"/>
  <c r="R27" i="18"/>
  <c r="S27" i="18" s="1"/>
  <c r="R6" i="18"/>
  <c r="S6" i="18" s="1"/>
  <c r="R8" i="18"/>
  <c r="R55" i="18"/>
  <c r="S55" i="18" s="1"/>
  <c r="R50" i="18"/>
  <c r="S50" i="18" s="1"/>
  <c r="R22" i="18"/>
  <c r="S22" i="18" s="1"/>
  <c r="R53" i="18"/>
  <c r="S53" i="18" s="1"/>
  <c r="R45" i="18"/>
  <c r="S45" i="18" s="1"/>
  <c r="R33" i="18"/>
  <c r="S33" i="18" s="1"/>
  <c r="R17" i="18"/>
  <c r="S17" i="18" s="1"/>
  <c r="R51" i="18"/>
  <c r="S51" i="18" s="1"/>
  <c r="R36" i="18"/>
  <c r="S36" i="18" s="1"/>
  <c r="R38" i="18"/>
  <c r="S38" i="18" s="1"/>
  <c r="A20" i="24" l="1"/>
  <c r="H19" i="24"/>
  <c r="K19" i="24" s="1"/>
  <c r="G19" i="24"/>
  <c r="A19" i="23"/>
  <c r="H18" i="23"/>
  <c r="K18" i="23" s="1"/>
  <c r="G18" i="23"/>
  <c r="J52" i="23"/>
  <c r="J44" i="23"/>
  <c r="J36" i="23"/>
  <c r="J28" i="23"/>
  <c r="J20" i="23"/>
  <c r="J51" i="23"/>
  <c r="J43" i="23"/>
  <c r="J35" i="23"/>
  <c r="J27" i="23"/>
  <c r="J19" i="23"/>
  <c r="J58" i="23"/>
  <c r="J50" i="23"/>
  <c r="J42" i="23"/>
  <c r="J34" i="23"/>
  <c r="J26" i="23"/>
  <c r="J18" i="23"/>
  <c r="J32" i="23"/>
  <c r="J57" i="23"/>
  <c r="J49" i="23"/>
  <c r="J41" i="23"/>
  <c r="J33" i="23"/>
  <c r="J25" i="23"/>
  <c r="J17" i="23"/>
  <c r="J56" i="23"/>
  <c r="J48" i="23"/>
  <c r="J40" i="23"/>
  <c r="J24" i="23"/>
  <c r="J16" i="23"/>
  <c r="J55" i="23"/>
  <c r="J47" i="23"/>
  <c r="J39" i="23"/>
  <c r="J31" i="23"/>
  <c r="J23" i="23"/>
  <c r="J15" i="23"/>
  <c r="J54" i="23"/>
  <c r="J46" i="23"/>
  <c r="J38" i="23"/>
  <c r="J30" i="23"/>
  <c r="J22" i="23"/>
  <c r="J14" i="23"/>
  <c r="J53" i="23"/>
  <c r="J45" i="23"/>
  <c r="J37" i="23"/>
  <c r="J29" i="23"/>
  <c r="J21" i="23"/>
  <c r="G20" i="22"/>
  <c r="A21" i="22"/>
  <c r="H20" i="22"/>
  <c r="K20" i="22" s="1"/>
  <c r="R15" i="18"/>
  <c r="S15" i="18" s="1"/>
  <c r="R13" i="18"/>
  <c r="S13" i="18" s="1"/>
  <c r="R12" i="18"/>
  <c r="S12" i="18" s="1"/>
  <c r="R11" i="18"/>
  <c r="S11" i="18" s="1"/>
  <c r="R10" i="18"/>
  <c r="S10" i="18" s="1"/>
  <c r="S9" i="18"/>
  <c r="S8" i="18"/>
  <c r="S7" i="18"/>
  <c r="S61" i="18" s="1"/>
  <c r="R14" i="18"/>
  <c r="S14" i="18" s="1"/>
  <c r="H20" i="24" l="1"/>
  <c r="K20" i="24" s="1"/>
  <c r="G20" i="24"/>
  <c r="A21" i="24"/>
  <c r="H19" i="23"/>
  <c r="K19" i="23" s="1"/>
  <c r="G19" i="23"/>
  <c r="A20" i="23"/>
  <c r="H21" i="22"/>
  <c r="K21" i="22" s="1"/>
  <c r="G21" i="22"/>
  <c r="A22" i="22"/>
  <c r="S62" i="18"/>
  <c r="E4" i="18" s="1"/>
  <c r="S63" i="18"/>
  <c r="E5" i="18" s="1"/>
  <c r="S64" i="18"/>
  <c r="E6" i="18" s="1"/>
  <c r="E3" i="18"/>
  <c r="C3" i="18" s="1"/>
  <c r="H21" i="24" l="1"/>
  <c r="K21" i="24" s="1"/>
  <c r="G21" i="24"/>
  <c r="A22" i="24"/>
  <c r="H20" i="23"/>
  <c r="K20" i="23" s="1"/>
  <c r="G20" i="23"/>
  <c r="A21" i="23"/>
  <c r="G22" i="22"/>
  <c r="A23" i="22"/>
  <c r="H22" i="22"/>
  <c r="K22" i="22" s="1"/>
  <c r="F3" i="18"/>
  <c r="G3" i="18" s="1"/>
  <c r="H22" i="24" l="1"/>
  <c r="K22" i="24" s="1"/>
  <c r="G22" i="24"/>
  <c r="A23" i="24"/>
  <c r="H21" i="23"/>
  <c r="K21" i="23" s="1"/>
  <c r="G21" i="23"/>
  <c r="A22" i="23"/>
  <c r="A24" i="22"/>
  <c r="H23" i="22"/>
  <c r="K23" i="22" s="1"/>
  <c r="G23" i="22"/>
  <c r="D3" i="18"/>
  <c r="E7" i="18"/>
  <c r="I3" i="18"/>
  <c r="H3" i="18"/>
  <c r="G23" i="24" l="1"/>
  <c r="A24" i="24"/>
  <c r="H23" i="24"/>
  <c r="K23" i="24" s="1"/>
  <c r="H22" i="23"/>
  <c r="K22" i="23" s="1"/>
  <c r="G22" i="23"/>
  <c r="A23" i="23"/>
  <c r="A25" i="22"/>
  <c r="H24" i="22"/>
  <c r="K24" i="22" s="1"/>
  <c r="G24" i="22"/>
  <c r="F4" i="18"/>
  <c r="G4" i="18" s="1"/>
  <c r="C4" i="18"/>
  <c r="D4" i="18" s="1"/>
  <c r="J3" i="18"/>
  <c r="M3" i="18" s="1"/>
  <c r="K3" i="18"/>
  <c r="A25" i="24" l="1"/>
  <c r="G24" i="24"/>
  <c r="H24" i="24"/>
  <c r="K24" i="24" s="1"/>
  <c r="G23" i="23"/>
  <c r="A24" i="23"/>
  <c r="H23" i="23"/>
  <c r="K23" i="23" s="1"/>
  <c r="A26" i="22"/>
  <c r="H25" i="22"/>
  <c r="K25" i="22" s="1"/>
  <c r="G25" i="22"/>
  <c r="H4" i="18"/>
  <c r="I4" i="18"/>
  <c r="F5" i="18"/>
  <c r="G5" i="18" s="1"/>
  <c r="H5" i="18" s="1"/>
  <c r="K5" i="18" s="1"/>
  <c r="C5" i="18"/>
  <c r="E8" i="18"/>
  <c r="L3" i="18"/>
  <c r="A26" i="24" l="1"/>
  <c r="H25" i="24"/>
  <c r="K25" i="24" s="1"/>
  <c r="G25" i="24"/>
  <c r="A25" i="23"/>
  <c r="H24" i="23"/>
  <c r="K24" i="23" s="1"/>
  <c r="G24" i="23"/>
  <c r="H26" i="22"/>
  <c r="K26" i="22" s="1"/>
  <c r="G26" i="22"/>
  <c r="A27" i="22"/>
  <c r="I5" i="18"/>
  <c r="K4" i="18"/>
  <c r="J4" i="18"/>
  <c r="M4" i="18" s="1"/>
  <c r="J5" i="18"/>
  <c r="M5" i="18" s="1"/>
  <c r="D5" i="18"/>
  <c r="F6" i="18" s="1"/>
  <c r="G6" i="18" s="1"/>
  <c r="E9" i="18"/>
  <c r="A27" i="24" l="1"/>
  <c r="H26" i="24"/>
  <c r="K26" i="24" s="1"/>
  <c r="G26" i="24"/>
  <c r="A26" i="23"/>
  <c r="H25" i="23"/>
  <c r="K25" i="23" s="1"/>
  <c r="G25" i="23"/>
  <c r="H27" i="22"/>
  <c r="K27" i="22" s="1"/>
  <c r="G27" i="22"/>
  <c r="A28" i="22"/>
  <c r="H6" i="18"/>
  <c r="I6" i="18"/>
  <c r="C6" i="18"/>
  <c r="E10" i="18" s="1"/>
  <c r="L5" i="18"/>
  <c r="L4" i="18"/>
  <c r="A28" i="24" l="1"/>
  <c r="H27" i="24"/>
  <c r="K27" i="24" s="1"/>
  <c r="G27" i="24"/>
  <c r="A27" i="23"/>
  <c r="H26" i="23"/>
  <c r="K26" i="23" s="1"/>
  <c r="G26" i="23"/>
  <c r="G28" i="22"/>
  <c r="H28" i="22"/>
  <c r="K28" i="22" s="1"/>
  <c r="A29" i="22"/>
  <c r="A15" i="21"/>
  <c r="D6" i="18"/>
  <c r="F7" i="18" s="1"/>
  <c r="G7" i="18" s="1"/>
  <c r="K6" i="18"/>
  <c r="J6" i="18"/>
  <c r="M6" i="18" s="1"/>
  <c r="H28" i="24" l="1"/>
  <c r="K28" i="24" s="1"/>
  <c r="G28" i="24"/>
  <c r="A29" i="24"/>
  <c r="H27" i="23"/>
  <c r="K27" i="23" s="1"/>
  <c r="G27" i="23"/>
  <c r="A28" i="23"/>
  <c r="H29" i="22"/>
  <c r="K29" i="22" s="1"/>
  <c r="A30" i="22"/>
  <c r="G29" i="22"/>
  <c r="H15" i="21"/>
  <c r="G15" i="21"/>
  <c r="A16" i="21"/>
  <c r="C7" i="18"/>
  <c r="D7" i="18" s="1"/>
  <c r="L6" i="18"/>
  <c r="H7" i="18"/>
  <c r="I7" i="18"/>
  <c r="H29" i="24" l="1"/>
  <c r="K29" i="24" s="1"/>
  <c r="G29" i="24"/>
  <c r="A30" i="24"/>
  <c r="H28" i="23"/>
  <c r="K28" i="23" s="1"/>
  <c r="G28" i="23"/>
  <c r="A29" i="23"/>
  <c r="G30" i="22"/>
  <c r="A31" i="22"/>
  <c r="H30" i="22"/>
  <c r="K30" i="22" s="1"/>
  <c r="H16" i="21"/>
  <c r="G16" i="21"/>
  <c r="A17" i="21"/>
  <c r="C8" i="18"/>
  <c r="D8" i="18" s="1"/>
  <c r="E11" i="18"/>
  <c r="F8" i="18"/>
  <c r="G8" i="18" s="1"/>
  <c r="H8" i="18" s="1"/>
  <c r="K8" i="18" s="1"/>
  <c r="K7" i="18"/>
  <c r="J7" i="18"/>
  <c r="M7" i="18" s="1"/>
  <c r="H30" i="24" l="1"/>
  <c r="K30" i="24" s="1"/>
  <c r="G30" i="24"/>
  <c r="A31" i="24"/>
  <c r="H29" i="23"/>
  <c r="K29" i="23" s="1"/>
  <c r="G29" i="23"/>
  <c r="A30" i="23"/>
  <c r="A32" i="22"/>
  <c r="H31" i="22"/>
  <c r="K31" i="22" s="1"/>
  <c r="G31" i="22"/>
  <c r="G17" i="21"/>
  <c r="H17" i="21"/>
  <c r="A18" i="21"/>
  <c r="E12" i="18"/>
  <c r="C9" i="18"/>
  <c r="D9" i="18" s="1"/>
  <c r="F9" i="18"/>
  <c r="G9" i="18" s="1"/>
  <c r="I9" i="18" s="1"/>
  <c r="J8" i="18"/>
  <c r="M8" i="18" s="1"/>
  <c r="I8" i="18"/>
  <c r="L7" i="18"/>
  <c r="L8" i="18"/>
  <c r="G31" i="24" l="1"/>
  <c r="A32" i="24"/>
  <c r="H31" i="24"/>
  <c r="K31" i="24" s="1"/>
  <c r="H30" i="23"/>
  <c r="K30" i="23" s="1"/>
  <c r="G30" i="23"/>
  <c r="A31" i="23"/>
  <c r="A33" i="22"/>
  <c r="H32" i="22"/>
  <c r="K32" i="22" s="1"/>
  <c r="G32" i="22"/>
  <c r="H18" i="21"/>
  <c r="G18" i="21"/>
  <c r="A19" i="21"/>
  <c r="H9" i="18"/>
  <c r="K9" i="18" s="1"/>
  <c r="F10" i="18"/>
  <c r="G10" i="18" s="1"/>
  <c r="H10" i="18" s="1"/>
  <c r="K10" i="18" s="1"/>
  <c r="C10" i="18"/>
  <c r="E14" i="18" s="1"/>
  <c r="E13" i="18"/>
  <c r="A33" i="24" l="1"/>
  <c r="H32" i="24"/>
  <c r="K32" i="24" s="1"/>
  <c r="G32" i="24"/>
  <c r="G31" i="23"/>
  <c r="A32" i="23"/>
  <c r="H31" i="23"/>
  <c r="K31" i="23" s="1"/>
  <c r="A34" i="22"/>
  <c r="H33" i="22"/>
  <c r="K33" i="22" s="1"/>
  <c r="G33" i="22"/>
  <c r="G19" i="21"/>
  <c r="A20" i="21"/>
  <c r="J9" i="18"/>
  <c r="M9" i="18" s="1"/>
  <c r="I10" i="18"/>
  <c r="D10" i="18"/>
  <c r="F11" i="18" s="1"/>
  <c r="G11" i="18" s="1"/>
  <c r="I11" i="18" s="1"/>
  <c r="J10" i="18"/>
  <c r="M10" i="18" s="1"/>
  <c r="L9" i="18"/>
  <c r="L10" i="18"/>
  <c r="A34" i="24" l="1"/>
  <c r="H33" i="24"/>
  <c r="K33" i="24" s="1"/>
  <c r="G33" i="24"/>
  <c r="A33" i="23"/>
  <c r="H32" i="23"/>
  <c r="K32" i="23" s="1"/>
  <c r="G32" i="23"/>
  <c r="H34" i="22"/>
  <c r="K34" i="22" s="1"/>
  <c r="G34" i="22"/>
  <c r="A35" i="22"/>
  <c r="G20" i="21"/>
  <c r="A21" i="21"/>
  <c r="C11" i="18"/>
  <c r="E15" i="18" s="1"/>
  <c r="H11" i="18"/>
  <c r="K11" i="18" s="1"/>
  <c r="A35" i="24" l="1"/>
  <c r="H34" i="24"/>
  <c r="K34" i="24" s="1"/>
  <c r="G34" i="24"/>
  <c r="A34" i="23"/>
  <c r="H33" i="23"/>
  <c r="K33" i="23" s="1"/>
  <c r="G33" i="23"/>
  <c r="H35" i="22"/>
  <c r="K35" i="22" s="1"/>
  <c r="G35" i="22"/>
  <c r="A36" i="22"/>
  <c r="G21" i="21"/>
  <c r="A22" i="21"/>
  <c r="J11" i="18"/>
  <c r="M11" i="18" s="1"/>
  <c r="D11" i="18"/>
  <c r="F12" i="18" s="1"/>
  <c r="G12" i="18" s="1"/>
  <c r="H12" i="18" s="1"/>
  <c r="L11" i="18"/>
  <c r="H35" i="24" l="1"/>
  <c r="K35" i="24" s="1"/>
  <c r="G35" i="24"/>
  <c r="A36" i="24"/>
  <c r="A35" i="23"/>
  <c r="H34" i="23"/>
  <c r="K34" i="23" s="1"/>
  <c r="G34" i="23"/>
  <c r="H36" i="22"/>
  <c r="K36" i="22" s="1"/>
  <c r="G36" i="22"/>
  <c r="A37" i="22"/>
  <c r="G22" i="21"/>
  <c r="A23" i="21"/>
  <c r="C12" i="18"/>
  <c r="E16" i="18" s="1"/>
  <c r="I12" i="18"/>
  <c r="K12" i="18"/>
  <c r="J12" i="18"/>
  <c r="M12" i="18" s="1"/>
  <c r="H36" i="24" l="1"/>
  <c r="K36" i="24" s="1"/>
  <c r="G36" i="24"/>
  <c r="A37" i="24"/>
  <c r="H35" i="23"/>
  <c r="K35" i="23" s="1"/>
  <c r="G35" i="23"/>
  <c r="A36" i="23"/>
  <c r="H37" i="22"/>
  <c r="K37" i="22" s="1"/>
  <c r="G37" i="22"/>
  <c r="A38" i="22"/>
  <c r="G23" i="21"/>
  <c r="A24" i="21"/>
  <c r="D12" i="18"/>
  <c r="F13" i="18" s="1"/>
  <c r="G13" i="18" s="1"/>
  <c r="H13" i="18" s="1"/>
  <c r="L12" i="18"/>
  <c r="H37" i="24" l="1"/>
  <c r="K37" i="24" s="1"/>
  <c r="G37" i="24"/>
  <c r="A38" i="24"/>
  <c r="H36" i="23"/>
  <c r="K36" i="23" s="1"/>
  <c r="G36" i="23"/>
  <c r="A37" i="23"/>
  <c r="G38" i="22"/>
  <c r="A39" i="22"/>
  <c r="H38" i="22"/>
  <c r="K38" i="22" s="1"/>
  <c r="G24" i="21"/>
  <c r="A25" i="21"/>
  <c r="C13" i="18"/>
  <c r="E17" i="18" s="1"/>
  <c r="I13" i="18"/>
  <c r="K13" i="18"/>
  <c r="L13" i="18" s="1"/>
  <c r="J13" i="18"/>
  <c r="M13" i="18" s="1"/>
  <c r="H38" i="24" l="1"/>
  <c r="K38" i="24" s="1"/>
  <c r="G38" i="24"/>
  <c r="A39" i="24"/>
  <c r="H37" i="23"/>
  <c r="K37" i="23" s="1"/>
  <c r="G37" i="23"/>
  <c r="A38" i="23"/>
  <c r="A40" i="22"/>
  <c r="H39" i="22"/>
  <c r="K39" i="22" s="1"/>
  <c r="G39" i="22"/>
  <c r="G25" i="21"/>
  <c r="A26" i="21"/>
  <c r="D13" i="18"/>
  <c r="F14" i="18" s="1"/>
  <c r="G14" i="18" s="1"/>
  <c r="H14" i="18" s="1"/>
  <c r="G39" i="24" l="1"/>
  <c r="A40" i="24"/>
  <c r="H39" i="24"/>
  <c r="K39" i="24" s="1"/>
  <c r="H38" i="23"/>
  <c r="K38" i="23" s="1"/>
  <c r="G38" i="23"/>
  <c r="A39" i="23"/>
  <c r="A41" i="22"/>
  <c r="H40" i="22"/>
  <c r="K40" i="22" s="1"/>
  <c r="G40" i="22"/>
  <c r="G26" i="21"/>
  <c r="A27" i="21"/>
  <c r="C14" i="18"/>
  <c r="D14" i="18" s="1"/>
  <c r="I14" i="18"/>
  <c r="K14" i="18"/>
  <c r="L14" i="18" s="1"/>
  <c r="J14" i="18"/>
  <c r="M14" i="18" s="1"/>
  <c r="A41" i="24" l="1"/>
  <c r="G40" i="24"/>
  <c r="H40" i="24"/>
  <c r="K40" i="24" s="1"/>
  <c r="G39" i="23"/>
  <c r="A40" i="23"/>
  <c r="H39" i="23"/>
  <c r="K39" i="23" s="1"/>
  <c r="A42" i="22"/>
  <c r="H41" i="22"/>
  <c r="K41" i="22" s="1"/>
  <c r="G41" i="22"/>
  <c r="G27" i="21"/>
  <c r="A28" i="21"/>
  <c r="C15" i="18"/>
  <c r="E19" i="18" s="1"/>
  <c r="E18" i="18"/>
  <c r="F15" i="18"/>
  <c r="G15" i="18" s="1"/>
  <c r="H15" i="18" s="1"/>
  <c r="A42" i="24" l="1"/>
  <c r="H41" i="24"/>
  <c r="K41" i="24" s="1"/>
  <c r="G41" i="24"/>
  <c r="A41" i="23"/>
  <c r="H40" i="23"/>
  <c r="K40" i="23" s="1"/>
  <c r="G40" i="23"/>
  <c r="H42" i="22"/>
  <c r="K42" i="22" s="1"/>
  <c r="G42" i="22"/>
  <c r="A43" i="22"/>
  <c r="G28" i="21"/>
  <c r="A29" i="21"/>
  <c r="I15" i="18"/>
  <c r="D15" i="18"/>
  <c r="F16" i="18" s="1"/>
  <c r="G16" i="18" s="1"/>
  <c r="H16" i="18" s="1"/>
  <c r="K15" i="18"/>
  <c r="L15" i="18" s="1"/>
  <c r="J15" i="18"/>
  <c r="M15" i="18" s="1"/>
  <c r="A43" i="24" l="1"/>
  <c r="H42" i="24"/>
  <c r="K42" i="24" s="1"/>
  <c r="G42" i="24"/>
  <c r="A42" i="23"/>
  <c r="H41" i="23"/>
  <c r="K41" i="23" s="1"/>
  <c r="G41" i="23"/>
  <c r="H43" i="22"/>
  <c r="K43" i="22" s="1"/>
  <c r="G43" i="22"/>
  <c r="A44" i="22"/>
  <c r="G29" i="21"/>
  <c r="A30" i="21"/>
  <c r="I16" i="18"/>
  <c r="C16" i="18"/>
  <c r="E20" i="18" s="1"/>
  <c r="K16" i="18"/>
  <c r="L16" i="18" s="1"/>
  <c r="J16" i="18"/>
  <c r="M16" i="18" s="1"/>
  <c r="H43" i="24" l="1"/>
  <c r="K43" i="24" s="1"/>
  <c r="G43" i="24"/>
  <c r="A44" i="24"/>
  <c r="A43" i="23"/>
  <c r="H42" i="23"/>
  <c r="K42" i="23" s="1"/>
  <c r="G42" i="23"/>
  <c r="H44" i="22"/>
  <c r="K44" i="22" s="1"/>
  <c r="G44" i="22"/>
  <c r="A45" i="22"/>
  <c r="G30" i="21"/>
  <c r="A31" i="21"/>
  <c r="D16" i="18"/>
  <c r="C17" i="18" s="1"/>
  <c r="E21" i="18" s="1"/>
  <c r="H44" i="24" l="1"/>
  <c r="K44" i="24" s="1"/>
  <c r="G44" i="24"/>
  <c r="A45" i="24"/>
  <c r="H43" i="23"/>
  <c r="K43" i="23" s="1"/>
  <c r="G43" i="23"/>
  <c r="A44" i="23"/>
  <c r="H45" i="22"/>
  <c r="K45" i="22" s="1"/>
  <c r="G45" i="22"/>
  <c r="A46" i="22"/>
  <c r="G31" i="21"/>
  <c r="A32" i="21"/>
  <c r="D17" i="18"/>
  <c r="C18" i="18" s="1"/>
  <c r="E22" i="18" s="1"/>
  <c r="F17" i="18"/>
  <c r="G17" i="18" s="1"/>
  <c r="H17" i="18" s="1"/>
  <c r="K17" i="18" s="1"/>
  <c r="L17" i="18" s="1"/>
  <c r="H45" i="24" l="1"/>
  <c r="K45" i="24" s="1"/>
  <c r="G45" i="24"/>
  <c r="A46" i="24"/>
  <c r="H44" i="23"/>
  <c r="K44" i="23" s="1"/>
  <c r="G44" i="23"/>
  <c r="A45" i="23"/>
  <c r="G46" i="22"/>
  <c r="A47" i="22"/>
  <c r="H46" i="22"/>
  <c r="K46" i="22" s="1"/>
  <c r="G32" i="21"/>
  <c r="A33" i="21"/>
  <c r="F18" i="18"/>
  <c r="G18" i="18" s="1"/>
  <c r="H18" i="18" s="1"/>
  <c r="K18" i="18" s="1"/>
  <c r="L18" i="18" s="1"/>
  <c r="I17" i="18"/>
  <c r="J17" i="18"/>
  <c r="M17" i="18" s="1"/>
  <c r="D18" i="18"/>
  <c r="C19" i="18" s="1"/>
  <c r="D19" i="18" s="1"/>
  <c r="C20" i="18" s="1"/>
  <c r="D20" i="18" s="1"/>
  <c r="C21" i="18" s="1"/>
  <c r="H46" i="24" l="1"/>
  <c r="K46" i="24" s="1"/>
  <c r="G46" i="24"/>
  <c r="A47" i="24"/>
  <c r="H45" i="23"/>
  <c r="K45" i="23" s="1"/>
  <c r="G45" i="23"/>
  <c r="A46" i="23"/>
  <c r="A48" i="22"/>
  <c r="H47" i="22"/>
  <c r="K47" i="22" s="1"/>
  <c r="G47" i="22"/>
  <c r="G33" i="21"/>
  <c r="A34" i="21"/>
  <c r="J18" i="18"/>
  <c r="M18" i="18" s="1"/>
  <c r="I18" i="18"/>
  <c r="E24" i="18"/>
  <c r="F19" i="18"/>
  <c r="G19" i="18" s="1"/>
  <c r="I19" i="18" s="1"/>
  <c r="E23" i="18"/>
  <c r="F20" i="18"/>
  <c r="G20" i="18" s="1"/>
  <c r="H20" i="18" s="1"/>
  <c r="F21" i="18"/>
  <c r="G21" i="18" s="1"/>
  <c r="E25" i="18"/>
  <c r="D21" i="18"/>
  <c r="C22" i="18" s="1"/>
  <c r="G47" i="24" l="1"/>
  <c r="A48" i="24"/>
  <c r="H47" i="24"/>
  <c r="K47" i="24" s="1"/>
  <c r="H46" i="23"/>
  <c r="K46" i="23" s="1"/>
  <c r="G46" i="23"/>
  <c r="A47" i="23"/>
  <c r="A49" i="22"/>
  <c r="H48" i="22"/>
  <c r="K48" i="22" s="1"/>
  <c r="G48" i="22"/>
  <c r="G34" i="21"/>
  <c r="A35" i="21"/>
  <c r="I21" i="18"/>
  <c r="H19" i="18"/>
  <c r="K19" i="18" s="1"/>
  <c r="L19" i="18" s="1"/>
  <c r="I20" i="18"/>
  <c r="H21" i="18"/>
  <c r="F22" i="18"/>
  <c r="G22" i="18" s="1"/>
  <c r="E26" i="18"/>
  <c r="D22" i="18"/>
  <c r="C23" i="18" s="1"/>
  <c r="K20" i="18"/>
  <c r="A49" i="24" l="1"/>
  <c r="H48" i="24"/>
  <c r="K48" i="24" s="1"/>
  <c r="G48" i="24"/>
  <c r="G47" i="23"/>
  <c r="A48" i="23"/>
  <c r="H47" i="23"/>
  <c r="K47" i="23" s="1"/>
  <c r="A50" i="22"/>
  <c r="H49" i="22"/>
  <c r="K49" i="22" s="1"/>
  <c r="G49" i="22"/>
  <c r="G35" i="21"/>
  <c r="A36" i="21"/>
  <c r="J21" i="18"/>
  <c r="M21" i="18" s="1"/>
  <c r="J19" i="18"/>
  <c r="M19" i="18" s="1"/>
  <c r="J20" i="18"/>
  <c r="M20" i="18" s="1"/>
  <c r="L20" i="18"/>
  <c r="K21" i="18"/>
  <c r="L21" i="18" s="1"/>
  <c r="F23" i="18"/>
  <c r="G23" i="18" s="1"/>
  <c r="E27" i="18"/>
  <c r="D23" i="18"/>
  <c r="C24" i="18" s="1"/>
  <c r="H22" i="18"/>
  <c r="I22" i="18"/>
  <c r="A50" i="24" l="1"/>
  <c r="H49" i="24"/>
  <c r="K49" i="24" s="1"/>
  <c r="G49" i="24"/>
  <c r="A49" i="23"/>
  <c r="H48" i="23"/>
  <c r="K48" i="23" s="1"/>
  <c r="G48" i="23"/>
  <c r="H50" i="22"/>
  <c r="K50" i="22" s="1"/>
  <c r="G50" i="22"/>
  <c r="A51" i="22"/>
  <c r="G36" i="21"/>
  <c r="A37" i="21"/>
  <c r="K22" i="18"/>
  <c r="L22" i="18" s="1"/>
  <c r="J22" i="18"/>
  <c r="M22" i="18" s="1"/>
  <c r="E28" i="18"/>
  <c r="D24" i="18"/>
  <c r="C25" i="18" s="1"/>
  <c r="F24" i="18"/>
  <c r="G24" i="18" s="1"/>
  <c r="H23" i="18"/>
  <c r="I23" i="18"/>
  <c r="A51" i="24" l="1"/>
  <c r="H50" i="24"/>
  <c r="K50" i="24" s="1"/>
  <c r="G50" i="24"/>
  <c r="A50" i="23"/>
  <c r="H49" i="23"/>
  <c r="K49" i="23" s="1"/>
  <c r="G49" i="23"/>
  <c r="H51" i="22"/>
  <c r="K51" i="22" s="1"/>
  <c r="G51" i="22"/>
  <c r="A52" i="22"/>
  <c r="G37" i="21"/>
  <c r="A38" i="21"/>
  <c r="E29" i="18"/>
  <c r="D25" i="18"/>
  <c r="F26" i="18" s="1"/>
  <c r="G26" i="18" s="1"/>
  <c r="H24" i="18"/>
  <c r="I24" i="18"/>
  <c r="F25" i="18"/>
  <c r="G25" i="18" s="1"/>
  <c r="K23" i="18"/>
  <c r="L23" i="18" s="1"/>
  <c r="J23" i="18"/>
  <c r="M23" i="18" s="1"/>
  <c r="H51" i="24" l="1"/>
  <c r="K51" i="24" s="1"/>
  <c r="G51" i="24"/>
  <c r="A52" i="24"/>
  <c r="A51" i="23"/>
  <c r="H50" i="23"/>
  <c r="K50" i="23" s="1"/>
  <c r="G50" i="23"/>
  <c r="H52" i="22"/>
  <c r="K52" i="22" s="1"/>
  <c r="G52" i="22"/>
  <c r="A53" i="22"/>
  <c r="G38" i="21"/>
  <c r="A39" i="21"/>
  <c r="C26" i="18"/>
  <c r="E30" i="18" s="1"/>
  <c r="H26" i="18"/>
  <c r="I26" i="18"/>
  <c r="H25" i="18"/>
  <c r="I25" i="18"/>
  <c r="K24" i="18"/>
  <c r="L24" i="18" s="1"/>
  <c r="J24" i="18"/>
  <c r="M24" i="18" s="1"/>
  <c r="H52" i="24" l="1"/>
  <c r="K52" i="24" s="1"/>
  <c r="G52" i="24"/>
  <c r="A53" i="24"/>
  <c r="H51" i="23"/>
  <c r="K51" i="23" s="1"/>
  <c r="G51" i="23"/>
  <c r="A52" i="23"/>
  <c r="H53" i="22"/>
  <c r="K53" i="22" s="1"/>
  <c r="G53" i="22"/>
  <c r="A54" i="22"/>
  <c r="G39" i="21"/>
  <c r="A40" i="21"/>
  <c r="D26" i="18"/>
  <c r="C27" i="18" s="1"/>
  <c r="E31" i="18" s="1"/>
  <c r="K25" i="18"/>
  <c r="L25" i="18" s="1"/>
  <c r="J25" i="18"/>
  <c r="M25" i="18" s="1"/>
  <c r="K26" i="18"/>
  <c r="J26" i="18"/>
  <c r="M26" i="18" s="1"/>
  <c r="H53" i="24" l="1"/>
  <c r="K53" i="24" s="1"/>
  <c r="G53" i="24"/>
  <c r="A54" i="24"/>
  <c r="H52" i="23"/>
  <c r="K52" i="23" s="1"/>
  <c r="G52" i="23"/>
  <c r="A53" i="23"/>
  <c r="G54" i="22"/>
  <c r="A55" i="22"/>
  <c r="H54" i="22"/>
  <c r="K54" i="22" s="1"/>
  <c r="G40" i="21"/>
  <c r="A41" i="21"/>
  <c r="L26" i="18"/>
  <c r="F27" i="18"/>
  <c r="G27" i="18" s="1"/>
  <c r="H27" i="18" s="1"/>
  <c r="D27" i="18"/>
  <c r="C28" i="18" s="1"/>
  <c r="E32" i="18" s="1"/>
  <c r="H54" i="24" l="1"/>
  <c r="K54" i="24" s="1"/>
  <c r="G54" i="24"/>
  <c r="A55" i="24"/>
  <c r="H53" i="23"/>
  <c r="K53" i="23" s="1"/>
  <c r="G53" i="23"/>
  <c r="A54" i="23"/>
  <c r="A56" i="22"/>
  <c r="H55" i="22"/>
  <c r="K55" i="22" s="1"/>
  <c r="G55" i="22"/>
  <c r="G41" i="21"/>
  <c r="A42" i="21"/>
  <c r="I27" i="18"/>
  <c r="F28" i="18"/>
  <c r="G28" i="18" s="1"/>
  <c r="H28" i="18" s="1"/>
  <c r="D28" i="18"/>
  <c r="C29" i="18" s="1"/>
  <c r="E33" i="18" s="1"/>
  <c r="K27" i="18"/>
  <c r="L27" i="18" s="1"/>
  <c r="J27" i="18"/>
  <c r="M27" i="18" s="1"/>
  <c r="G55" i="24" l="1"/>
  <c r="A56" i="24"/>
  <c r="H55" i="24"/>
  <c r="K55" i="24" s="1"/>
  <c r="H54" i="23"/>
  <c r="K54" i="23" s="1"/>
  <c r="G54" i="23"/>
  <c r="A55" i="23"/>
  <c r="A57" i="22"/>
  <c r="H56" i="22"/>
  <c r="K56" i="22" s="1"/>
  <c r="G56" i="22"/>
  <c r="G42" i="21"/>
  <c r="A43" i="21"/>
  <c r="D29" i="18"/>
  <c r="F30" i="18" s="1"/>
  <c r="G30" i="18" s="1"/>
  <c r="F29" i="18"/>
  <c r="G29" i="18" s="1"/>
  <c r="H29" i="18" s="1"/>
  <c r="I28" i="18"/>
  <c r="K28" i="18"/>
  <c r="L28" i="18" s="1"/>
  <c r="J28" i="18"/>
  <c r="M28" i="18" s="1"/>
  <c r="A57" i="24" l="1"/>
  <c r="H56" i="24"/>
  <c r="K56" i="24" s="1"/>
  <c r="G56" i="24"/>
  <c r="G55" i="23"/>
  <c r="A56" i="23"/>
  <c r="H55" i="23"/>
  <c r="K55" i="23" s="1"/>
  <c r="A58" i="22"/>
  <c r="H57" i="22"/>
  <c r="K57" i="22" s="1"/>
  <c r="G57" i="22"/>
  <c r="G43" i="21"/>
  <c r="A44" i="21"/>
  <c r="I30" i="18"/>
  <c r="I29" i="18"/>
  <c r="H30" i="18"/>
  <c r="J30" i="18" s="1"/>
  <c r="M30" i="18" s="1"/>
  <c r="C30" i="18"/>
  <c r="D30" i="18" s="1"/>
  <c r="C31" i="18" s="1"/>
  <c r="D31" i="18" s="1"/>
  <c r="C32" i="18" s="1"/>
  <c r="K29" i="18"/>
  <c r="L29" i="18" s="1"/>
  <c r="J29" i="18"/>
  <c r="M29" i="18" s="1"/>
  <c r="A58" i="24" l="1"/>
  <c r="H57" i="24"/>
  <c r="K57" i="24" s="1"/>
  <c r="G57" i="24"/>
  <c r="A57" i="23"/>
  <c r="H56" i="23"/>
  <c r="K56" i="23" s="1"/>
  <c r="G56" i="23"/>
  <c r="H58" i="22"/>
  <c r="G58" i="22"/>
  <c r="O4" i="22"/>
  <c r="O5" i="22"/>
  <c r="G44" i="21"/>
  <c r="A45" i="21"/>
  <c r="K30" i="18"/>
  <c r="L30" i="18" s="1"/>
  <c r="F31" i="18"/>
  <c r="G31" i="18" s="1"/>
  <c r="H31" i="18" s="1"/>
  <c r="E35" i="18"/>
  <c r="E34" i="18"/>
  <c r="F32" i="18"/>
  <c r="G32" i="18" s="1"/>
  <c r="H32" i="18" s="1"/>
  <c r="E36" i="18"/>
  <c r="D32" i="18"/>
  <c r="C33" i="18" s="1"/>
  <c r="H58" i="24" l="1"/>
  <c r="G58" i="24"/>
  <c r="O5" i="24"/>
  <c r="O4" i="24"/>
  <c r="A58" i="23"/>
  <c r="H57" i="23"/>
  <c r="K57" i="23" s="1"/>
  <c r="G57" i="23"/>
  <c r="K58" i="22"/>
  <c r="H61" i="22"/>
  <c r="G45" i="21"/>
  <c r="A46" i="21"/>
  <c r="I31" i="18"/>
  <c r="I32" i="18"/>
  <c r="E37" i="18"/>
  <c r="D33" i="18"/>
  <c r="C34" i="18" s="1"/>
  <c r="F33" i="18"/>
  <c r="G33" i="18" s="1"/>
  <c r="K32" i="18"/>
  <c r="J32" i="18"/>
  <c r="M32" i="18" s="1"/>
  <c r="K31" i="18"/>
  <c r="L31" i="18" s="1"/>
  <c r="J31" i="18"/>
  <c r="M31" i="18" s="1"/>
  <c r="H61" i="24" l="1"/>
  <c r="K58" i="24"/>
  <c r="H58" i="23"/>
  <c r="G58" i="23"/>
  <c r="O5" i="23"/>
  <c r="O4" i="23"/>
  <c r="G46" i="21"/>
  <c r="A47" i="21"/>
  <c r="E38" i="18"/>
  <c r="D34" i="18"/>
  <c r="C35" i="18" s="1"/>
  <c r="H33" i="18"/>
  <c r="I33" i="18"/>
  <c r="L32" i="18"/>
  <c r="F34" i="18"/>
  <c r="G34" i="18" s="1"/>
  <c r="H61" i="23" l="1"/>
  <c r="K58" i="23"/>
  <c r="G47" i="21"/>
  <c r="A48" i="21"/>
  <c r="H34" i="18"/>
  <c r="I34" i="18"/>
  <c r="K33" i="18"/>
  <c r="L33" i="18" s="1"/>
  <c r="J33" i="18"/>
  <c r="M33" i="18" s="1"/>
  <c r="F35" i="18"/>
  <c r="G35" i="18" s="1"/>
  <c r="E39" i="18"/>
  <c r="D35" i="18"/>
  <c r="C36" i="18" s="1"/>
  <c r="G48" i="21" l="1"/>
  <c r="A49" i="21"/>
  <c r="E40" i="18"/>
  <c r="D36" i="18"/>
  <c r="C37" i="18" s="1"/>
  <c r="F36" i="18"/>
  <c r="G36" i="18" s="1"/>
  <c r="H35" i="18"/>
  <c r="I35" i="18"/>
  <c r="K34" i="18"/>
  <c r="L34" i="18" s="1"/>
  <c r="J34" i="18"/>
  <c r="M34" i="18" s="1"/>
  <c r="G49" i="21" l="1"/>
  <c r="A50" i="21"/>
  <c r="E41" i="18"/>
  <c r="D37" i="18"/>
  <c r="C38" i="18" s="1"/>
  <c r="K35" i="18"/>
  <c r="L35" i="18" s="1"/>
  <c r="J35" i="18"/>
  <c r="M35" i="18" s="1"/>
  <c r="H36" i="18"/>
  <c r="I36" i="18"/>
  <c r="F37" i="18"/>
  <c r="G37" i="18" s="1"/>
  <c r="G50" i="21" l="1"/>
  <c r="A51" i="21"/>
  <c r="K36" i="18"/>
  <c r="L36" i="18" s="1"/>
  <c r="J36" i="18"/>
  <c r="M36" i="18" s="1"/>
  <c r="E42" i="18"/>
  <c r="D38" i="18"/>
  <c r="F39" i="18" s="1"/>
  <c r="G39" i="18" s="1"/>
  <c r="F38" i="18"/>
  <c r="G38" i="18" s="1"/>
  <c r="H37" i="18"/>
  <c r="I37" i="18"/>
  <c r="G51" i="21" l="1"/>
  <c r="A52" i="21"/>
  <c r="C39" i="18"/>
  <c r="E43" i="18" s="1"/>
  <c r="H39" i="18"/>
  <c r="I39" i="18"/>
  <c r="H38" i="18"/>
  <c r="I38" i="18"/>
  <c r="K37" i="18"/>
  <c r="L37" i="18" s="1"/>
  <c r="J37" i="18"/>
  <c r="M37" i="18" s="1"/>
  <c r="G52" i="21" l="1"/>
  <c r="A53" i="21"/>
  <c r="D39" i="18"/>
  <c r="F40" i="18" s="1"/>
  <c r="G40" i="18" s="1"/>
  <c r="H40" i="18" s="1"/>
  <c r="K38" i="18"/>
  <c r="L38" i="18" s="1"/>
  <c r="J38" i="18"/>
  <c r="M38" i="18" s="1"/>
  <c r="K39" i="18"/>
  <c r="J39" i="18"/>
  <c r="M39" i="18" s="1"/>
  <c r="G53" i="21" l="1"/>
  <c r="A54" i="21"/>
  <c r="L39" i="18"/>
  <c r="C40" i="18"/>
  <c r="E44" i="18" s="1"/>
  <c r="I40" i="18"/>
  <c r="K40" i="18"/>
  <c r="L40" i="18" s="1"/>
  <c r="J40" i="18"/>
  <c r="M40" i="18" s="1"/>
  <c r="G54" i="21" l="1"/>
  <c r="A55" i="21"/>
  <c r="D40" i="18"/>
  <c r="C41" i="18" s="1"/>
  <c r="E45" i="18" s="1"/>
  <c r="G55" i="21" l="1"/>
  <c r="A56" i="21"/>
  <c r="D41" i="18"/>
  <c r="C42" i="18" s="1"/>
  <c r="D42" i="18" s="1"/>
  <c r="C43" i="18" s="1"/>
  <c r="F41" i="18"/>
  <c r="G41" i="18" s="1"/>
  <c r="H41" i="18" s="1"/>
  <c r="G56" i="21" l="1"/>
  <c r="A57" i="21"/>
  <c r="I41" i="18"/>
  <c r="F42" i="18"/>
  <c r="G42" i="18" s="1"/>
  <c r="I42" i="18" s="1"/>
  <c r="E46" i="18"/>
  <c r="E47" i="18"/>
  <c r="D43" i="18"/>
  <c r="F44" i="18" s="1"/>
  <c r="G44" i="18" s="1"/>
  <c r="K41" i="18"/>
  <c r="L41" i="18" s="1"/>
  <c r="J41" i="18"/>
  <c r="M41" i="18" s="1"/>
  <c r="F43" i="18"/>
  <c r="G43" i="18" s="1"/>
  <c r="G57" i="21" l="1"/>
  <c r="A58" i="21"/>
  <c r="H42" i="18"/>
  <c r="K42" i="18" s="1"/>
  <c r="L42" i="18" s="1"/>
  <c r="C44" i="18"/>
  <c r="E48" i="18" s="1"/>
  <c r="H44" i="18"/>
  <c r="I44" i="18"/>
  <c r="H43" i="18"/>
  <c r="I43" i="18"/>
  <c r="G58" i="21" l="1"/>
  <c r="O5" i="21"/>
  <c r="O4" i="21"/>
  <c r="J42" i="18"/>
  <c r="M42" i="18" s="1"/>
  <c r="D44" i="18"/>
  <c r="C45" i="18" s="1"/>
  <c r="E49" i="18" s="1"/>
  <c r="K43" i="18"/>
  <c r="L43" i="18" s="1"/>
  <c r="J43" i="18"/>
  <c r="M43" i="18" s="1"/>
  <c r="K44" i="18"/>
  <c r="L44" i="18" s="1"/>
  <c r="J44" i="18"/>
  <c r="M44" i="18" s="1"/>
  <c r="F58" i="21" l="1"/>
  <c r="I58" i="21" s="1"/>
  <c r="F54" i="21"/>
  <c r="I54" i="21" s="1"/>
  <c r="F50" i="21"/>
  <c r="I50" i="21" s="1"/>
  <c r="F46" i="21"/>
  <c r="I46" i="21" s="1"/>
  <c r="F42" i="21"/>
  <c r="I42" i="21" s="1"/>
  <c r="F38" i="21"/>
  <c r="I38" i="21" s="1"/>
  <c r="F34" i="21"/>
  <c r="I34" i="21" s="1"/>
  <c r="F30" i="21"/>
  <c r="I30" i="21" s="1"/>
  <c r="F26" i="21"/>
  <c r="I26" i="21" s="1"/>
  <c r="F57" i="21"/>
  <c r="I57" i="21" s="1"/>
  <c r="E2" i="21"/>
  <c r="F39" i="21"/>
  <c r="I39" i="21" s="1"/>
  <c r="F53" i="21"/>
  <c r="I53" i="21" s="1"/>
  <c r="F49" i="21"/>
  <c r="I49" i="21" s="1"/>
  <c r="F45" i="21"/>
  <c r="I45" i="21" s="1"/>
  <c r="F41" i="21"/>
  <c r="I41" i="21" s="1"/>
  <c r="F37" i="21"/>
  <c r="I37" i="21" s="1"/>
  <c r="F33" i="21"/>
  <c r="I33" i="21" s="1"/>
  <c r="F29" i="21"/>
  <c r="I29" i="21" s="1"/>
  <c r="F25" i="21"/>
  <c r="I25" i="21" s="1"/>
  <c r="F21" i="21"/>
  <c r="I21" i="21" s="1"/>
  <c r="I17" i="21"/>
  <c r="E13" i="21"/>
  <c r="F13" i="21" s="1"/>
  <c r="E9" i="21"/>
  <c r="F9" i="21" s="1"/>
  <c r="E5" i="21"/>
  <c r="F5" i="21" s="1"/>
  <c r="F35" i="21"/>
  <c r="I35" i="21" s="1"/>
  <c r="F56" i="21"/>
  <c r="I56" i="21" s="1"/>
  <c r="F52" i="21"/>
  <c r="I52" i="21" s="1"/>
  <c r="F48" i="21"/>
  <c r="I48" i="21" s="1"/>
  <c r="F44" i="21"/>
  <c r="I44" i="21" s="1"/>
  <c r="F40" i="21"/>
  <c r="I40" i="21" s="1"/>
  <c r="F36" i="21"/>
  <c r="I36" i="21" s="1"/>
  <c r="F32" i="21"/>
  <c r="I32" i="21" s="1"/>
  <c r="F28" i="21"/>
  <c r="I28" i="21" s="1"/>
  <c r="F24" i="21"/>
  <c r="I24" i="21" s="1"/>
  <c r="F20" i="21"/>
  <c r="I20" i="21" s="1"/>
  <c r="I16" i="21"/>
  <c r="E12" i="21"/>
  <c r="F12" i="21" s="1"/>
  <c r="E8" i="21"/>
  <c r="F8" i="21" s="1"/>
  <c r="F47" i="21"/>
  <c r="I47" i="21" s="1"/>
  <c r="F43" i="21"/>
  <c r="I43" i="21" s="1"/>
  <c r="F55" i="21"/>
  <c r="I55" i="21" s="1"/>
  <c r="F51" i="21"/>
  <c r="I51" i="21" s="1"/>
  <c r="F31" i="21"/>
  <c r="I31" i="21" s="1"/>
  <c r="F27" i="21"/>
  <c r="I27" i="21" s="1"/>
  <c r="F22" i="21"/>
  <c r="I22" i="21" s="1"/>
  <c r="I18" i="21"/>
  <c r="E11" i="21"/>
  <c r="F11" i="21" s="1"/>
  <c r="E4" i="21"/>
  <c r="F4" i="21" s="1"/>
  <c r="F23" i="21"/>
  <c r="I23" i="21" s="1"/>
  <c r="E7" i="21"/>
  <c r="F7" i="21" s="1"/>
  <c r="F19" i="21"/>
  <c r="E3" i="21"/>
  <c r="F3" i="21" s="1"/>
  <c r="E10" i="21"/>
  <c r="F10" i="21" s="1"/>
  <c r="E6" i="21"/>
  <c r="F6" i="21" s="1"/>
  <c r="F45" i="18"/>
  <c r="G45" i="18" s="1"/>
  <c r="H45" i="18" s="1"/>
  <c r="D45" i="18"/>
  <c r="C46" i="18" s="1"/>
  <c r="E50" i="18" s="1"/>
  <c r="I19" i="21" l="1"/>
  <c r="H19" i="21"/>
  <c r="H20" i="21"/>
  <c r="H21" i="21"/>
  <c r="H22" i="21"/>
  <c r="H23" i="21"/>
  <c r="H24" i="21"/>
  <c r="K24" i="21" s="1"/>
  <c r="H25" i="21"/>
  <c r="H26" i="21"/>
  <c r="H27" i="21"/>
  <c r="H28" i="21"/>
  <c r="H29" i="21"/>
  <c r="H30" i="21"/>
  <c r="H31" i="21"/>
  <c r="H32" i="21"/>
  <c r="H33" i="21"/>
  <c r="K33" i="21" s="1"/>
  <c r="H34" i="21"/>
  <c r="H35" i="21"/>
  <c r="H36" i="21"/>
  <c r="H37" i="21"/>
  <c r="H38" i="21"/>
  <c r="H39" i="21"/>
  <c r="H40" i="21"/>
  <c r="K40" i="21" s="1"/>
  <c r="H41" i="21"/>
  <c r="K41" i="21" s="1"/>
  <c r="H42" i="21"/>
  <c r="H43" i="21"/>
  <c r="H44" i="21"/>
  <c r="H45" i="21"/>
  <c r="H46" i="21"/>
  <c r="H47" i="21"/>
  <c r="K47" i="21" s="1"/>
  <c r="H48" i="21"/>
  <c r="K48" i="21" s="1"/>
  <c r="H49" i="21"/>
  <c r="K49" i="21" s="1"/>
  <c r="H50" i="21"/>
  <c r="H51" i="21"/>
  <c r="H52" i="21"/>
  <c r="H53" i="21"/>
  <c r="K53" i="21" s="1"/>
  <c r="H54" i="21"/>
  <c r="H55" i="21"/>
  <c r="H56" i="21"/>
  <c r="H57" i="21"/>
  <c r="K57" i="21" s="1"/>
  <c r="H58" i="21"/>
  <c r="K25" i="21"/>
  <c r="K17" i="21"/>
  <c r="K19" i="21"/>
  <c r="K58" i="21"/>
  <c r="K16" i="21"/>
  <c r="K51" i="21"/>
  <c r="K26" i="21"/>
  <c r="K42" i="21"/>
  <c r="K35" i="21"/>
  <c r="K50" i="21"/>
  <c r="K45" i="21"/>
  <c r="K37" i="21"/>
  <c r="K29" i="21"/>
  <c r="K21" i="21"/>
  <c r="K27" i="21"/>
  <c r="K34" i="21"/>
  <c r="I15" i="21"/>
  <c r="K43" i="21"/>
  <c r="K18" i="21"/>
  <c r="K22" i="21"/>
  <c r="K23" i="21"/>
  <c r="K44" i="21"/>
  <c r="K32" i="21"/>
  <c r="K56" i="21"/>
  <c r="K30" i="21"/>
  <c r="K31" i="21"/>
  <c r="K15" i="21"/>
  <c r="K38" i="21"/>
  <c r="K39" i="21"/>
  <c r="K36" i="21"/>
  <c r="K52" i="21"/>
  <c r="K20" i="21"/>
  <c r="K46" i="21"/>
  <c r="K28" i="21"/>
  <c r="K54" i="21"/>
  <c r="K55" i="21"/>
  <c r="F2" i="21"/>
  <c r="F46" i="18"/>
  <c r="G46" i="18" s="1"/>
  <c r="H46" i="18" s="1"/>
  <c r="I45" i="18"/>
  <c r="D46" i="18"/>
  <c r="C47" i="18" s="1"/>
  <c r="E51" i="18" s="1"/>
  <c r="K45" i="18"/>
  <c r="L45" i="18" s="1"/>
  <c r="J45" i="18"/>
  <c r="M45" i="18" s="1"/>
  <c r="J55" i="21" l="1"/>
  <c r="J23" i="21"/>
  <c r="J31" i="21"/>
  <c r="J58" i="21"/>
  <c r="J26" i="21"/>
  <c r="J48" i="21"/>
  <c r="J19" i="21"/>
  <c r="J44" i="21"/>
  <c r="J22" i="21"/>
  <c r="J27" i="21"/>
  <c r="J30" i="21"/>
  <c r="J15" i="21"/>
  <c r="J17" i="21"/>
  <c r="J38" i="21"/>
  <c r="J43" i="21"/>
  <c r="J16" i="21"/>
  <c r="J37" i="21"/>
  <c r="J41" i="21"/>
  <c r="J45" i="21"/>
  <c r="J28" i="21"/>
  <c r="J57" i="21"/>
  <c r="J56" i="21"/>
  <c r="J52" i="21"/>
  <c r="J18" i="21"/>
  <c r="J21" i="21"/>
  <c r="J25" i="21"/>
  <c r="J49" i="21"/>
  <c r="J39" i="21"/>
  <c r="J35" i="21"/>
  <c r="J29" i="21"/>
  <c r="J33" i="21"/>
  <c r="J20" i="21"/>
  <c r="J32" i="21"/>
  <c r="J47" i="21"/>
  <c r="J50" i="21"/>
  <c r="J46" i="21"/>
  <c r="J34" i="21"/>
  <c r="J40" i="21"/>
  <c r="J51" i="21"/>
  <c r="J42" i="21"/>
  <c r="J24" i="21"/>
  <c r="J53" i="21"/>
  <c r="J54" i="21"/>
  <c r="J36" i="21"/>
  <c r="I46" i="18"/>
  <c r="D47" i="18"/>
  <c r="F48" i="18" s="1"/>
  <c r="G48" i="18" s="1"/>
  <c r="H48" i="18" s="1"/>
  <c r="F47" i="18"/>
  <c r="G47" i="18" s="1"/>
  <c r="H47" i="18" s="1"/>
  <c r="J47" i="18" s="1"/>
  <c r="M47" i="18" s="1"/>
  <c r="K46" i="18"/>
  <c r="L46" i="18" s="1"/>
  <c r="J46" i="18"/>
  <c r="M46" i="18" s="1"/>
  <c r="H61" i="21" l="1"/>
  <c r="C48" i="18"/>
  <c r="E52" i="18" s="1"/>
  <c r="K47" i="18"/>
  <c r="L47" i="18" s="1"/>
  <c r="I48" i="18"/>
  <c r="I47" i="18"/>
  <c r="K48" i="18"/>
  <c r="J48" i="18"/>
  <c r="M48" i="18" s="1"/>
  <c r="L48" i="18" l="1"/>
  <c r="D48" i="18"/>
  <c r="C49" i="18" s="1"/>
  <c r="E53" i="18" s="1"/>
  <c r="D49" i="18" l="1"/>
  <c r="C50" i="18" s="1"/>
  <c r="E54" i="18" s="1"/>
  <c r="F49" i="18"/>
  <c r="G49" i="18" s="1"/>
  <c r="H49" i="18" s="1"/>
  <c r="I49" i="18" l="1"/>
  <c r="F50" i="18"/>
  <c r="G50" i="18" s="1"/>
  <c r="H50" i="18" s="1"/>
  <c r="D50" i="18"/>
  <c r="C51" i="18" s="1"/>
  <c r="E55" i="18" s="1"/>
  <c r="K49" i="18"/>
  <c r="L49" i="18" s="1"/>
  <c r="J49" i="18"/>
  <c r="M49" i="18" s="1"/>
  <c r="D51" i="18"/>
  <c r="C52" i="18" s="1"/>
  <c r="F51" i="18"/>
  <c r="G51" i="18" s="1"/>
  <c r="I50" i="18" l="1"/>
  <c r="K50" i="18"/>
  <c r="L50" i="18" s="1"/>
  <c r="J50" i="18"/>
  <c r="M50" i="18" s="1"/>
  <c r="E56" i="18"/>
  <c r="D52" i="18"/>
  <c r="C53" i="18" s="1"/>
  <c r="F52" i="18"/>
  <c r="G52" i="18" s="1"/>
  <c r="H51" i="18"/>
  <c r="I51" i="18"/>
  <c r="F53" i="18" l="1"/>
  <c r="G53" i="18" s="1"/>
  <c r="H53" i="18" s="1"/>
  <c r="K51" i="18"/>
  <c r="L51" i="18" s="1"/>
  <c r="J51" i="18"/>
  <c r="M51" i="18" s="1"/>
  <c r="E57" i="18"/>
  <c r="D53" i="18"/>
  <c r="C54" i="18" s="1"/>
  <c r="H52" i="18"/>
  <c r="I52" i="18"/>
  <c r="I53" i="18" l="1"/>
  <c r="K53" i="18"/>
  <c r="J53" i="18"/>
  <c r="M53" i="18" s="1"/>
  <c r="E58" i="18"/>
  <c r="D54" i="18"/>
  <c r="C55" i="18" s="1"/>
  <c r="F54" i="18"/>
  <c r="G54" i="18" s="1"/>
  <c r="K52" i="18"/>
  <c r="L52" i="18" s="1"/>
  <c r="J52" i="18"/>
  <c r="M52" i="18" s="1"/>
  <c r="E59" i="18" l="1"/>
  <c r="D55" i="18"/>
  <c r="C56" i="18" s="1"/>
  <c r="H54" i="18"/>
  <c r="I54" i="18"/>
  <c r="F55" i="18"/>
  <c r="G55" i="18" s="1"/>
  <c r="L53" i="18"/>
  <c r="E60" i="18" l="1"/>
  <c r="H55" i="18"/>
  <c r="I55" i="18"/>
  <c r="K54" i="18"/>
  <c r="L54" i="18" s="1"/>
  <c r="J54" i="18"/>
  <c r="M54" i="18" s="1"/>
  <c r="F56" i="18"/>
  <c r="G56" i="18" s="1"/>
  <c r="D56" i="18"/>
  <c r="C57" i="18" s="1"/>
  <c r="F57" i="18" l="1"/>
  <c r="G57" i="18" s="1"/>
  <c r="D57" i="18"/>
  <c r="C58" i="18" s="1"/>
  <c r="H56" i="18"/>
  <c r="I56" i="18"/>
  <c r="K55" i="18"/>
  <c r="L55" i="18" s="1"/>
  <c r="J55" i="18"/>
  <c r="M55" i="18" s="1"/>
  <c r="F58" i="18" l="1"/>
  <c r="G58" i="18" s="1"/>
  <c r="K56" i="18"/>
  <c r="L56" i="18" s="1"/>
  <c r="J56" i="18"/>
  <c r="M56" i="18" s="1"/>
  <c r="H57" i="18"/>
  <c r="I57" i="18"/>
  <c r="D58" i="18"/>
  <c r="C59" i="18" s="1"/>
  <c r="D59" i="18" l="1"/>
  <c r="F59" i="18"/>
  <c r="H58" i="18"/>
  <c r="I58" i="18"/>
  <c r="G59" i="18"/>
  <c r="K57" i="18"/>
  <c r="L57" i="18" s="1"/>
  <c r="J57" i="18"/>
  <c r="M57" i="18" s="1"/>
  <c r="H59" i="18" l="1"/>
  <c r="I59" i="18"/>
  <c r="K58" i="18"/>
  <c r="L58" i="18" s="1"/>
  <c r="J58" i="18"/>
  <c r="M58" i="18" s="1"/>
  <c r="K59" i="18" l="1"/>
  <c r="L59" i="18" s="1"/>
  <c r="Z4" i="18" s="1"/>
  <c r="J59" i="18"/>
  <c r="M59" i="18" l="1"/>
  <c r="Z3" i="18"/>
  <c r="B58" i="17"/>
  <c r="C58" i="17" s="1"/>
  <c r="B57" i="17"/>
  <c r="C57" i="17" s="1"/>
  <c r="B56" i="17"/>
  <c r="C56" i="17" s="1"/>
  <c r="B55" i="17"/>
  <c r="C55" i="17" s="1"/>
  <c r="B54" i="17"/>
  <c r="C54" i="17" s="1"/>
  <c r="B53" i="17"/>
  <c r="C53" i="17" s="1"/>
  <c r="B52" i="17"/>
  <c r="C52" i="17" s="1"/>
  <c r="B51" i="17"/>
  <c r="C51" i="17" s="1"/>
  <c r="E52" i="17" s="1"/>
  <c r="B50" i="17"/>
  <c r="C50" i="17" s="1"/>
  <c r="B49" i="17"/>
  <c r="C49" i="17" s="1"/>
  <c r="C48" i="17"/>
  <c r="B48" i="17"/>
  <c r="B47" i="17"/>
  <c r="C47" i="17" s="1"/>
  <c r="E48" i="17" s="1"/>
  <c r="B46" i="17"/>
  <c r="C46" i="17" s="1"/>
  <c r="C45" i="17"/>
  <c r="B45" i="17"/>
  <c r="B44" i="17"/>
  <c r="C44" i="17" s="1"/>
  <c r="D44" i="17" s="1"/>
  <c r="B43" i="17"/>
  <c r="C43" i="17" s="1"/>
  <c r="B42" i="17"/>
  <c r="C42" i="17" s="1"/>
  <c r="B41" i="17"/>
  <c r="C41" i="17" s="1"/>
  <c r="C40" i="17"/>
  <c r="B40" i="17"/>
  <c r="C39" i="17"/>
  <c r="E40" i="17" s="1"/>
  <c r="B39" i="17"/>
  <c r="B38" i="17"/>
  <c r="C38" i="17" s="1"/>
  <c r="C37" i="17"/>
  <c r="E38" i="17" s="1"/>
  <c r="B37" i="17"/>
  <c r="C36" i="17"/>
  <c r="E37" i="17" s="1"/>
  <c r="B36" i="17"/>
  <c r="B35" i="17"/>
  <c r="C35" i="17" s="1"/>
  <c r="C34" i="17"/>
  <c r="B34" i="17"/>
  <c r="B33" i="17"/>
  <c r="C33" i="17" s="1"/>
  <c r="D33" i="17" s="1"/>
  <c r="B32" i="17"/>
  <c r="C32" i="17" s="1"/>
  <c r="C31" i="17"/>
  <c r="E32" i="17" s="1"/>
  <c r="B31" i="17"/>
  <c r="B30" i="17"/>
  <c r="C30" i="17" s="1"/>
  <c r="E31" i="17" s="1"/>
  <c r="C29" i="17"/>
  <c r="B29" i="17"/>
  <c r="B28" i="17"/>
  <c r="C28" i="17" s="1"/>
  <c r="B27" i="17"/>
  <c r="C27" i="17" s="1"/>
  <c r="G26" i="17"/>
  <c r="G27" i="17" s="1"/>
  <c r="G28" i="17" s="1"/>
  <c r="G29" i="17" s="1"/>
  <c r="G30" i="17" s="1"/>
  <c r="G31" i="17" s="1"/>
  <c r="C26" i="17"/>
  <c r="B26" i="17"/>
  <c r="G25" i="17"/>
  <c r="C25" i="17"/>
  <c r="E26" i="17" s="1"/>
  <c r="B25" i="17"/>
  <c r="C24" i="17"/>
  <c r="E25" i="17" s="1"/>
  <c r="B24" i="17"/>
  <c r="J23" i="17"/>
  <c r="K23" i="17" s="1"/>
  <c r="L23" i="17" s="1"/>
  <c r="M23" i="17" s="1"/>
  <c r="N23" i="17" s="1"/>
  <c r="O23" i="17" s="1"/>
  <c r="I23" i="17"/>
  <c r="B23" i="17"/>
  <c r="C23" i="17" s="1"/>
  <c r="B22" i="17"/>
  <c r="C22" i="17" s="1"/>
  <c r="C21" i="17"/>
  <c r="E22" i="17" s="1"/>
  <c r="B21" i="17"/>
  <c r="B20" i="17"/>
  <c r="C20" i="17" s="1"/>
  <c r="B19" i="17"/>
  <c r="C19" i="17" s="1"/>
  <c r="D20" i="17" s="1"/>
  <c r="T18" i="17"/>
  <c r="T20" i="17" s="1"/>
  <c r="S18" i="17"/>
  <c r="C18" i="17"/>
  <c r="B18" i="17"/>
  <c r="V17" i="17"/>
  <c r="C17" i="17"/>
  <c r="B17" i="17"/>
  <c r="V16" i="17"/>
  <c r="B16" i="17"/>
  <c r="C16" i="17" s="1"/>
  <c r="T15" i="17"/>
  <c r="B15" i="17"/>
  <c r="C15" i="17" s="1"/>
  <c r="G14" i="17"/>
  <c r="G15" i="17" s="1"/>
  <c r="G16" i="17" s="1"/>
  <c r="G17" i="17" s="1"/>
  <c r="G18" i="17" s="1"/>
  <c r="G19" i="17" s="1"/>
  <c r="G20" i="17" s="1"/>
  <c r="B14" i="17"/>
  <c r="C14" i="17" s="1"/>
  <c r="B13" i="17"/>
  <c r="C13" i="17" s="1"/>
  <c r="M12" i="17"/>
  <c r="N12" i="17" s="1"/>
  <c r="O12" i="17" s="1"/>
  <c r="I12" i="17"/>
  <c r="J12" i="17" s="1"/>
  <c r="K12" i="17" s="1"/>
  <c r="L12" i="17" s="1"/>
  <c r="B12" i="17"/>
  <c r="C12" i="17" s="1"/>
  <c r="B11" i="17"/>
  <c r="C11" i="17" s="1"/>
  <c r="B10" i="17"/>
  <c r="C10" i="17" s="1"/>
  <c r="E11" i="17" s="1"/>
  <c r="B9" i="17"/>
  <c r="B8" i="17"/>
  <c r="C8" i="17" s="1"/>
  <c r="B7" i="17"/>
  <c r="C7" i="17" s="1"/>
  <c r="B6" i="17"/>
  <c r="C6" i="17" s="1"/>
  <c r="B5" i="17"/>
  <c r="C5" i="17" s="1"/>
  <c r="A5" i="17"/>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B4" i="17"/>
  <c r="C4" i="17" s="1"/>
  <c r="G3" i="17"/>
  <c r="B3" i="17"/>
  <c r="C3" i="17" s="1"/>
  <c r="A3" i="17"/>
  <c r="A4" i="17" s="1"/>
  <c r="B2" i="17"/>
  <c r="C2" i="17" s="1"/>
  <c r="I1" i="17"/>
  <c r="U21" i="14"/>
  <c r="U18" i="14" s="1"/>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A3" i="16"/>
  <c r="B2" i="16"/>
  <c r="E82" i="15"/>
  <c r="E81" i="15"/>
  <c r="E80" i="15"/>
  <c r="E79" i="15"/>
  <c r="E78" i="15"/>
  <c r="E77" i="15"/>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8" i="15"/>
  <c r="E37" i="15"/>
  <c r="E36" i="15"/>
  <c r="E35" i="15"/>
  <c r="E34" i="15"/>
  <c r="E33" i="15"/>
  <c r="E32" i="15"/>
  <c r="E31" i="15"/>
  <c r="E30" i="15"/>
  <c r="E29" i="15"/>
  <c r="E28" i="15"/>
  <c r="E27" i="15"/>
  <c r="E26" i="15"/>
  <c r="E19" i="15"/>
  <c r="E18" i="15"/>
  <c r="G26"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3" i="15"/>
  <c r="U19" i="14" l="1"/>
  <c r="U20" i="14"/>
  <c r="U16" i="14"/>
  <c r="U22" i="14"/>
  <c r="U23" i="14"/>
  <c r="U17" i="14"/>
  <c r="Z6" i="18"/>
  <c r="Z7" i="18"/>
  <c r="E19" i="17"/>
  <c r="D30" i="17"/>
  <c r="D55" i="17"/>
  <c r="E27" i="17"/>
  <c r="D36" i="17"/>
  <c r="E14" i="17"/>
  <c r="E46" i="17"/>
  <c r="D47" i="17"/>
  <c r="E33" i="17"/>
  <c r="D19" i="17"/>
  <c r="C9" i="17"/>
  <c r="E10" i="17" s="1"/>
  <c r="D39" i="17"/>
  <c r="E44" i="17"/>
  <c r="E6" i="17"/>
  <c r="E8" i="17"/>
  <c r="D8" i="17"/>
  <c r="D29" i="17"/>
  <c r="E29" i="17"/>
  <c r="E16" i="17"/>
  <c r="D16" i="17"/>
  <c r="E18" i="17"/>
  <c r="D18" i="17"/>
  <c r="E42" i="17"/>
  <c r="D42" i="17"/>
  <c r="D41" i="17"/>
  <c r="E51" i="17"/>
  <c r="D51" i="17"/>
  <c r="E23" i="17"/>
  <c r="E35" i="17"/>
  <c r="E43" i="17"/>
  <c r="D43" i="17"/>
  <c r="E56" i="17"/>
  <c r="G4" i="17"/>
  <c r="E5" i="17"/>
  <c r="D5" i="17"/>
  <c r="E15" i="17"/>
  <c r="D15" i="17"/>
  <c r="D17" i="17"/>
  <c r="E17" i="17"/>
  <c r="D23" i="17"/>
  <c r="D26" i="17"/>
  <c r="D25" i="17"/>
  <c r="E47" i="17"/>
  <c r="E53" i="17"/>
  <c r="D53" i="17"/>
  <c r="D57" i="17"/>
  <c r="E57" i="17"/>
  <c r="E50" i="17"/>
  <c r="D50" i="17"/>
  <c r="D49" i="17"/>
  <c r="J1" i="17"/>
  <c r="E3" i="17"/>
  <c r="D3" i="17"/>
  <c r="E55" i="17"/>
  <c r="E12" i="17"/>
  <c r="D12" i="17"/>
  <c r="D14" i="17"/>
  <c r="E21" i="17"/>
  <c r="D21" i="17"/>
  <c r="E20" i="17"/>
  <c r="E28" i="17"/>
  <c r="E39" i="17"/>
  <c r="E45" i="17"/>
  <c r="D45" i="17"/>
  <c r="D52" i="17"/>
  <c r="E24" i="17"/>
  <c r="D24" i="17"/>
  <c r="E7" i="17"/>
  <c r="D7" i="17"/>
  <c r="E13" i="17"/>
  <c r="D13" i="17"/>
  <c r="E49" i="17"/>
  <c r="E58" i="17"/>
  <c r="D58" i="17"/>
  <c r="E4" i="17"/>
  <c r="D4" i="17"/>
  <c r="S15" i="17"/>
  <c r="S20" i="17"/>
  <c r="S13" i="17"/>
  <c r="S17" i="17"/>
  <c r="S14" i="17"/>
  <c r="S19" i="17"/>
  <c r="V18" i="17"/>
  <c r="V22" i="17" s="1"/>
  <c r="S16" i="17"/>
  <c r="E30" i="17"/>
  <c r="E34" i="17"/>
  <c r="D34" i="17"/>
  <c r="E36" i="17"/>
  <c r="E41" i="17"/>
  <c r="E54" i="17"/>
  <c r="T13" i="17"/>
  <c r="D22" i="17"/>
  <c r="D35" i="17"/>
  <c r="D38" i="17"/>
  <c r="D46" i="17"/>
  <c r="D54" i="17"/>
  <c r="D6" i="17"/>
  <c r="T16" i="17"/>
  <c r="D28" i="17"/>
  <c r="D32" i="17"/>
  <c r="T19" i="17"/>
  <c r="D40" i="17"/>
  <c r="D48" i="17"/>
  <c r="D56" i="17"/>
  <c r="D11" i="17"/>
  <c r="T14" i="17"/>
  <c r="D27" i="17"/>
  <c r="D31" i="17"/>
  <c r="D37" i="17"/>
  <c r="T17" i="17"/>
  <c r="A4" i="16"/>
  <c r="I3" i="17" l="1"/>
  <c r="D10" i="17"/>
  <c r="E9" i="17"/>
  <c r="D9" i="17"/>
  <c r="I2" i="17"/>
  <c r="J3" i="17"/>
  <c r="H2" i="17"/>
  <c r="H3" i="17"/>
  <c r="J2" i="17"/>
  <c r="K1" i="17"/>
  <c r="G5" i="17"/>
  <c r="K4" i="17"/>
  <c r="J4" i="17"/>
  <c r="I4" i="17"/>
  <c r="H4" i="17"/>
  <c r="A5" i="16"/>
  <c r="K2" i="17" l="1"/>
  <c r="L1" i="17"/>
  <c r="K3" i="17"/>
  <c r="H5" i="17"/>
  <c r="G6" i="17"/>
  <c r="L5" i="17"/>
  <c r="K5" i="17"/>
  <c r="I5" i="17"/>
  <c r="J5" i="17"/>
  <c r="A6" i="16"/>
  <c r="H28" i="14"/>
  <c r="H29" i="14" s="1"/>
  <c r="H30" i="14" s="1"/>
  <c r="H31" i="14" s="1"/>
  <c r="H32" i="14" s="1"/>
  <c r="H33" i="14" s="1"/>
  <c r="H34" i="14" s="1"/>
  <c r="J26" i="14"/>
  <c r="K26" i="14" s="1"/>
  <c r="L26" i="14" s="1"/>
  <c r="M26" i="14" s="1"/>
  <c r="N26" i="14" s="1"/>
  <c r="O26" i="14" s="1"/>
  <c r="P26" i="14" s="1"/>
  <c r="H17" i="14"/>
  <c r="H18" i="14" s="1"/>
  <c r="J15" i="14"/>
  <c r="K15" i="14" s="1"/>
  <c r="L15" i="14" s="1"/>
  <c r="M15" i="14" s="1"/>
  <c r="N15" i="14" s="1"/>
  <c r="O15" i="14" s="1"/>
  <c r="P15" i="14" s="1"/>
  <c r="J3" i="14"/>
  <c r="K3" i="14" s="1"/>
  <c r="L3" i="14" s="1"/>
  <c r="M3" i="14" s="1"/>
  <c r="N3" i="14" s="1"/>
  <c r="O3" i="14" s="1"/>
  <c r="P3" i="14" s="1"/>
  <c r="H5" i="14"/>
  <c r="H6" i="14" s="1"/>
  <c r="H7" i="14" s="1"/>
  <c r="H8" i="14" s="1"/>
  <c r="H9" i="14" s="1"/>
  <c r="H10" i="14" s="1"/>
  <c r="H11" i="14" s="1"/>
  <c r="B60" i="14"/>
  <c r="B59" i="14"/>
  <c r="C59" i="14" s="1"/>
  <c r="B58" i="14"/>
  <c r="C58" i="14" s="1"/>
  <c r="B57" i="14"/>
  <c r="C57" i="14" s="1"/>
  <c r="B56" i="14"/>
  <c r="C56" i="14" s="1"/>
  <c r="B55" i="14"/>
  <c r="C55" i="14" s="1"/>
  <c r="B54" i="14"/>
  <c r="C54" i="14" s="1"/>
  <c r="B53" i="14"/>
  <c r="C53" i="14" s="1"/>
  <c r="B52" i="14"/>
  <c r="C52" i="14" s="1"/>
  <c r="B51" i="14"/>
  <c r="C51" i="14" s="1"/>
  <c r="B50" i="14"/>
  <c r="C50" i="14" s="1"/>
  <c r="B49" i="14"/>
  <c r="C49" i="14" s="1"/>
  <c r="B48" i="14"/>
  <c r="C48" i="14" s="1"/>
  <c r="B47" i="14"/>
  <c r="C47" i="14" s="1"/>
  <c r="B46" i="14"/>
  <c r="C46" i="14" s="1"/>
  <c r="B45" i="14"/>
  <c r="C45" i="14" s="1"/>
  <c r="B44" i="14"/>
  <c r="C44" i="14" s="1"/>
  <c r="B43" i="14"/>
  <c r="C43" i="14" s="1"/>
  <c r="B42" i="14"/>
  <c r="C42" i="14" s="1"/>
  <c r="B41" i="14"/>
  <c r="C41" i="14" s="1"/>
  <c r="B40" i="14"/>
  <c r="C40" i="14" s="1"/>
  <c r="B39" i="14"/>
  <c r="C39" i="14" s="1"/>
  <c r="B38" i="14"/>
  <c r="C38" i="14" s="1"/>
  <c r="B37" i="14"/>
  <c r="C37" i="14" s="1"/>
  <c r="B36" i="14"/>
  <c r="C36" i="14" s="1"/>
  <c r="B35" i="14"/>
  <c r="C35" i="14" s="1"/>
  <c r="B34" i="14"/>
  <c r="C34" i="14" s="1"/>
  <c r="B33" i="14"/>
  <c r="C33" i="14" s="1"/>
  <c r="B32" i="14"/>
  <c r="C32" i="14" s="1"/>
  <c r="B31" i="14"/>
  <c r="C31" i="14" s="1"/>
  <c r="B30" i="14"/>
  <c r="C30" i="14" s="1"/>
  <c r="B29" i="14"/>
  <c r="C29" i="14" s="1"/>
  <c r="B28" i="14"/>
  <c r="C28" i="14" s="1"/>
  <c r="B27" i="14"/>
  <c r="C27" i="14" s="1"/>
  <c r="B26" i="14"/>
  <c r="C26" i="14" s="1"/>
  <c r="B25" i="14"/>
  <c r="C25" i="14" s="1"/>
  <c r="B24" i="14"/>
  <c r="C24" i="14" s="1"/>
  <c r="B23" i="14"/>
  <c r="C23" i="14" s="1"/>
  <c r="B22" i="14"/>
  <c r="C22" i="14" s="1"/>
  <c r="B21" i="14"/>
  <c r="C21" i="14" s="1"/>
  <c r="B20" i="14"/>
  <c r="C20" i="14" s="1"/>
  <c r="B19" i="14"/>
  <c r="C19" i="14" s="1"/>
  <c r="B18" i="14"/>
  <c r="C18" i="14" s="1"/>
  <c r="B17" i="14"/>
  <c r="C17" i="14" s="1"/>
  <c r="B16" i="14"/>
  <c r="C16" i="14" s="1"/>
  <c r="B15" i="14"/>
  <c r="C15" i="14" s="1"/>
  <c r="B14" i="14"/>
  <c r="C14" i="14" s="1"/>
  <c r="B13" i="14"/>
  <c r="C13" i="14" s="1"/>
  <c r="B12" i="14"/>
  <c r="C12" i="14" s="1"/>
  <c r="B11" i="14"/>
  <c r="C11" i="14" s="1"/>
  <c r="B10" i="14"/>
  <c r="C10" i="14" s="1"/>
  <c r="B9" i="14"/>
  <c r="C9" i="14" s="1"/>
  <c r="B8" i="14"/>
  <c r="C8" i="14" s="1"/>
  <c r="B7" i="14"/>
  <c r="C7" i="14" s="1"/>
  <c r="B6" i="14"/>
  <c r="C6" i="14" s="1"/>
  <c r="B5" i="14"/>
  <c r="C5" i="14" s="1"/>
  <c r="A5" i="14"/>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B4" i="14"/>
  <c r="C4" i="14" s="1"/>
  <c r="D2" i="9"/>
  <c r="C60" i="14" l="1"/>
  <c r="E60" i="14" s="1"/>
  <c r="T21" i="14"/>
  <c r="W21" i="14" s="1"/>
  <c r="L2" i="17"/>
  <c r="M1" i="17"/>
  <c r="L3" i="17"/>
  <c r="L4" i="17"/>
  <c r="I6" i="17"/>
  <c r="H6" i="17"/>
  <c r="G7" i="17"/>
  <c r="M6" i="17"/>
  <c r="L6" i="17"/>
  <c r="J6" i="17"/>
  <c r="K6" i="17"/>
  <c r="A7" i="16"/>
  <c r="E9" i="14"/>
  <c r="E17" i="14"/>
  <c r="E25" i="14"/>
  <c r="D33" i="14"/>
  <c r="D41" i="14"/>
  <c r="D49" i="14"/>
  <c r="E57" i="14"/>
  <c r="H19" i="14"/>
  <c r="E19" i="14"/>
  <c r="E35" i="14"/>
  <c r="E51" i="14"/>
  <c r="D13" i="14"/>
  <c r="D21" i="14"/>
  <c r="D29" i="14"/>
  <c r="E37" i="14"/>
  <c r="E8" i="14"/>
  <c r="E16" i="14"/>
  <c r="E24" i="14"/>
  <c r="E32" i="14"/>
  <c r="E40" i="14"/>
  <c r="E29" i="14"/>
  <c r="E10" i="14"/>
  <c r="E18" i="14"/>
  <c r="E26" i="14"/>
  <c r="E34" i="14"/>
  <c r="E42" i="14"/>
  <c r="E50" i="14"/>
  <c r="E43" i="14"/>
  <c r="E44" i="14"/>
  <c r="E52" i="14"/>
  <c r="E11" i="14"/>
  <c r="E59" i="14"/>
  <c r="E6" i="14"/>
  <c r="E14" i="14"/>
  <c r="E22" i="14"/>
  <c r="E30" i="14"/>
  <c r="E38" i="14"/>
  <c r="E46" i="14"/>
  <c r="E54" i="14"/>
  <c r="E7" i="14"/>
  <c r="E15" i="14"/>
  <c r="E23" i="14"/>
  <c r="E31" i="14"/>
  <c r="E39" i="14"/>
  <c r="E47" i="14"/>
  <c r="E55" i="14"/>
  <c r="E13" i="14"/>
  <c r="E45" i="14"/>
  <c r="E58" i="14"/>
  <c r="E21" i="14"/>
  <c r="E53" i="14"/>
  <c r="E12" i="14"/>
  <c r="E20" i="14"/>
  <c r="E28" i="14"/>
  <c r="E36" i="14"/>
  <c r="E27" i="14"/>
  <c r="E48" i="14"/>
  <c r="E56" i="14"/>
  <c r="E33" i="14"/>
  <c r="E41" i="14"/>
  <c r="E49" i="14"/>
  <c r="E5" i="14"/>
  <c r="D8" i="14"/>
  <c r="D16" i="14"/>
  <c r="D24" i="14"/>
  <c r="D32" i="14"/>
  <c r="D40" i="14"/>
  <c r="D48" i="14"/>
  <c r="D56" i="14"/>
  <c r="D57" i="14"/>
  <c r="D37" i="14"/>
  <c r="D45" i="14"/>
  <c r="D53" i="14"/>
  <c r="D22" i="14"/>
  <c r="D6" i="14"/>
  <c r="D30" i="14"/>
  <c r="D38" i="14"/>
  <c r="D46" i="14"/>
  <c r="D54" i="14"/>
  <c r="D10" i="14"/>
  <c r="D18" i="14"/>
  <c r="D26" i="14"/>
  <c r="D34" i="14"/>
  <c r="D42" i="14"/>
  <c r="D50" i="14"/>
  <c r="D58" i="14"/>
  <c r="D12" i="14"/>
  <c r="D20" i="14"/>
  <c r="D28" i="14"/>
  <c r="D36" i="14"/>
  <c r="D44" i="14"/>
  <c r="D52" i="14"/>
  <c r="D60" i="14"/>
  <c r="D11" i="14"/>
  <c r="D19" i="14"/>
  <c r="D27" i="14"/>
  <c r="D31" i="14"/>
  <c r="D39" i="14"/>
  <c r="D47" i="14"/>
  <c r="D55" i="14"/>
  <c r="D7" i="14"/>
  <c r="D15" i="14"/>
  <c r="D23" i="14"/>
  <c r="D35" i="14"/>
  <c r="D43" i="14"/>
  <c r="D51" i="14"/>
  <c r="D59" i="14"/>
  <c r="D9" i="14"/>
  <c r="D17" i="14"/>
  <c r="D25" i="14"/>
  <c r="D14" i="14"/>
  <c r="D5" i="14"/>
  <c r="T20" i="14" l="1"/>
  <c r="T16" i="14"/>
  <c r="T19" i="14"/>
  <c r="T23" i="14"/>
  <c r="T18" i="14"/>
  <c r="T22" i="14"/>
  <c r="T17" i="14"/>
  <c r="J7" i="17"/>
  <c r="I7" i="17"/>
  <c r="H7" i="17"/>
  <c r="G8" i="17"/>
  <c r="M7" i="17"/>
  <c r="K7" i="17"/>
  <c r="L7" i="17"/>
  <c r="M2" i="17"/>
  <c r="N1" i="17"/>
  <c r="N7" i="17" s="1"/>
  <c r="M3" i="17"/>
  <c r="M4" i="17"/>
  <c r="M5" i="17"/>
  <c r="A8" i="16"/>
  <c r="P11" i="14"/>
  <c r="L8" i="14"/>
  <c r="N10" i="14"/>
  <c r="P5" i="14"/>
  <c r="H20" i="14"/>
  <c r="N4" i="14"/>
  <c r="K11" i="14"/>
  <c r="P9" i="14"/>
  <c r="O10" i="14"/>
  <c r="K7" i="14"/>
  <c r="O4" i="14"/>
  <c r="L11" i="14"/>
  <c r="J10" i="14"/>
  <c r="O8" i="14"/>
  <c r="N9" i="14"/>
  <c r="J6" i="14"/>
  <c r="M11" i="14"/>
  <c r="K10" i="14"/>
  <c r="P8" i="14"/>
  <c r="N7" i="14"/>
  <c r="M8" i="14"/>
  <c r="P4" i="14"/>
  <c r="L10" i="14"/>
  <c r="J9" i="14"/>
  <c r="O7" i="14"/>
  <c r="M6" i="14"/>
  <c r="L7" i="14"/>
  <c r="M10" i="14"/>
  <c r="K9" i="14"/>
  <c r="P7" i="14"/>
  <c r="N6" i="14"/>
  <c r="L5" i="14"/>
  <c r="K6" i="14"/>
  <c r="O11" i="14"/>
  <c r="L9" i="14"/>
  <c r="J8" i="14"/>
  <c r="O6" i="14"/>
  <c r="M5" i="14"/>
  <c r="K4" i="14"/>
  <c r="I9" i="14"/>
  <c r="J5" i="14"/>
  <c r="K8" i="14"/>
  <c r="P6" i="14"/>
  <c r="N5" i="14"/>
  <c r="L4" i="14"/>
  <c r="I5" i="14"/>
  <c r="L6" i="14"/>
  <c r="J4" i="14"/>
  <c r="O9" i="14"/>
  <c r="K5" i="14"/>
  <c r="N8" i="14"/>
  <c r="M7" i="14"/>
  <c r="P10" i="14"/>
  <c r="M9" i="14"/>
  <c r="J7" i="14"/>
  <c r="O5" i="14"/>
  <c r="M4" i="14"/>
  <c r="J11" i="14"/>
  <c r="N11" i="14"/>
  <c r="I11" i="14"/>
  <c r="I10" i="14"/>
  <c r="I7" i="14"/>
  <c r="I6" i="14"/>
  <c r="I8" i="14"/>
  <c r="I4" i="14"/>
  <c r="K8" i="17" l="1"/>
  <c r="J8" i="17"/>
  <c r="I8" i="17"/>
  <c r="H8" i="17"/>
  <c r="G9" i="17"/>
  <c r="N8" i="17"/>
  <c r="L8" i="17"/>
  <c r="M8" i="17"/>
  <c r="O1" i="17"/>
  <c r="N2" i="17"/>
  <c r="N3" i="17"/>
  <c r="N4" i="17"/>
  <c r="N5" i="17"/>
  <c r="N6" i="17"/>
  <c r="A9" i="16"/>
  <c r="Q9" i="14"/>
  <c r="K21" i="14" s="1"/>
  <c r="Q8" i="14"/>
  <c r="M20" i="14" s="1"/>
  <c r="Q6" i="14"/>
  <c r="K18" i="14" s="1"/>
  <c r="Q7" i="14"/>
  <c r="P19" i="14" s="1"/>
  <c r="Q5" i="14"/>
  <c r="O17" i="14" s="1"/>
  <c r="Q10" i="14"/>
  <c r="L22" i="14" s="1"/>
  <c r="Q11" i="14"/>
  <c r="M23" i="14" s="1"/>
  <c r="Q4" i="14"/>
  <c r="K16" i="14" s="1"/>
  <c r="L12" i="14"/>
  <c r="H21" i="14"/>
  <c r="O12" i="14"/>
  <c r="M12" i="14"/>
  <c r="J12" i="14"/>
  <c r="K12" i="14"/>
  <c r="P12" i="14"/>
  <c r="N12" i="14"/>
  <c r="I12" i="14"/>
  <c r="M21" i="14" l="1"/>
  <c r="J16" i="14"/>
  <c r="K38" i="14"/>
  <c r="V18" i="14"/>
  <c r="W18" i="14" s="1"/>
  <c r="M16" i="14"/>
  <c r="L16" i="14"/>
  <c r="N16" i="14"/>
  <c r="I16" i="14"/>
  <c r="O2" i="17"/>
  <c r="O3" i="17"/>
  <c r="O4" i="17"/>
  <c r="O5" i="17"/>
  <c r="P5" i="17" s="1"/>
  <c r="O6" i="17"/>
  <c r="P6" i="17" s="1"/>
  <c r="O7" i="17"/>
  <c r="L9" i="17"/>
  <c r="K9" i="17"/>
  <c r="J9" i="17"/>
  <c r="I9" i="17"/>
  <c r="H9" i="17"/>
  <c r="O9" i="17"/>
  <c r="N9" i="17"/>
  <c r="N10" i="17" s="1"/>
  <c r="M9" i="17"/>
  <c r="M10" i="17" s="1"/>
  <c r="O8" i="17"/>
  <c r="A10" i="16"/>
  <c r="J18" i="14"/>
  <c r="M18" i="14"/>
  <c r="L19" i="14"/>
  <c r="O23" i="14"/>
  <c r="N23" i="14"/>
  <c r="N20" i="14"/>
  <c r="L23" i="14"/>
  <c r="M19" i="14"/>
  <c r="J23" i="14"/>
  <c r="N17" i="14"/>
  <c r="I23" i="14"/>
  <c r="P23" i="14"/>
  <c r="K23" i="14"/>
  <c r="N18" i="14"/>
  <c r="L18" i="14"/>
  <c r="I18" i="14"/>
  <c r="L20" i="14"/>
  <c r="P18" i="14"/>
  <c r="O18" i="14"/>
  <c r="I20" i="14"/>
  <c r="I17" i="14"/>
  <c r="K19" i="14"/>
  <c r="L21" i="14"/>
  <c r="P22" i="14"/>
  <c r="N21" i="14"/>
  <c r="O22" i="14"/>
  <c r="K22" i="14"/>
  <c r="P17" i="14"/>
  <c r="I19" i="14"/>
  <c r="I22" i="14"/>
  <c r="P21" i="14"/>
  <c r="O19" i="14"/>
  <c r="J19" i="14"/>
  <c r="K20" i="14"/>
  <c r="N22" i="14"/>
  <c r="M22" i="14"/>
  <c r="J22" i="14"/>
  <c r="O20" i="14"/>
  <c r="L17" i="14"/>
  <c r="N19" i="14"/>
  <c r="J21" i="14"/>
  <c r="J17" i="14"/>
  <c r="K17" i="14"/>
  <c r="P20" i="14"/>
  <c r="J20" i="14"/>
  <c r="I21" i="14"/>
  <c r="O21" i="14"/>
  <c r="M17" i="14"/>
  <c r="O16" i="14"/>
  <c r="P16" i="14"/>
  <c r="Q12" i="14"/>
  <c r="H22" i="14"/>
  <c r="V17" i="14" l="1"/>
  <c r="W17" i="14" s="1"/>
  <c r="J38" i="14"/>
  <c r="N38" i="14"/>
  <c r="V21" i="14"/>
  <c r="V22" i="14"/>
  <c r="W22" i="14" s="1"/>
  <c r="O38" i="14"/>
  <c r="V23" i="14"/>
  <c r="W23" i="14" s="1"/>
  <c r="P38" i="14"/>
  <c r="M38" i="14"/>
  <c r="V20" i="14"/>
  <c r="V16" i="14"/>
  <c r="W16" i="14" s="1"/>
  <c r="I38" i="14"/>
  <c r="L38" i="14"/>
  <c r="V19" i="14"/>
  <c r="H17" i="17"/>
  <c r="N17" i="17"/>
  <c r="I16" i="17"/>
  <c r="H16" i="17"/>
  <c r="P9" i="17"/>
  <c r="J20" i="17" s="1"/>
  <c r="I10" i="17"/>
  <c r="J10" i="17"/>
  <c r="O10" i="17"/>
  <c r="P2" i="17"/>
  <c r="O13" i="17" s="1"/>
  <c r="P8" i="17"/>
  <c r="H19" i="17" s="1"/>
  <c r="P3" i="17"/>
  <c r="K10" i="17"/>
  <c r="H10" i="17"/>
  <c r="K17" i="17"/>
  <c r="L17" i="17"/>
  <c r="M17" i="17"/>
  <c r="I17" i="17"/>
  <c r="J17" i="17"/>
  <c r="J16" i="17"/>
  <c r="K16" i="17"/>
  <c r="L16" i="17"/>
  <c r="M16" i="17"/>
  <c r="P7" i="17"/>
  <c r="H18" i="17" s="1"/>
  <c r="O17" i="17"/>
  <c r="P4" i="17"/>
  <c r="N16" i="17"/>
  <c r="O16" i="17"/>
  <c r="L10" i="17"/>
  <c r="A11" i="16"/>
  <c r="Q16" i="14"/>
  <c r="Q22" i="14"/>
  <c r="Q18" i="14"/>
  <c r="Q20" i="14"/>
  <c r="Q23" i="14"/>
  <c r="Q19" i="14"/>
  <c r="Q17" i="14"/>
  <c r="Q21" i="14"/>
  <c r="L28" i="14"/>
  <c r="O28" i="14"/>
  <c r="M28" i="14"/>
  <c r="P33" i="14"/>
  <c r="P28" i="14"/>
  <c r="J34" i="14"/>
  <c r="O32" i="14"/>
  <c r="J29" i="14"/>
  <c r="I32" i="14"/>
  <c r="P30" i="14"/>
  <c r="I34" i="14"/>
  <c r="N34" i="14"/>
  <c r="K28" i="14"/>
  <c r="J28" i="14"/>
  <c r="P32" i="14"/>
  <c r="I33" i="14"/>
  <c r="N28" i="14"/>
  <c r="P29" i="14"/>
  <c r="O34" i="14"/>
  <c r="J30" i="14"/>
  <c r="I29" i="14"/>
  <c r="J32" i="14"/>
  <c r="O31" i="14"/>
  <c r="M30" i="14"/>
  <c r="N31" i="14"/>
  <c r="K31" i="14"/>
  <c r="K29" i="14"/>
  <c r="L29" i="14"/>
  <c r="O30" i="14"/>
  <c r="N29" i="14"/>
  <c r="J31" i="14"/>
  <c r="L32" i="14"/>
  <c r="M29" i="14"/>
  <c r="M34" i="14"/>
  <c r="O29" i="14"/>
  <c r="L33" i="14"/>
  <c r="I30" i="14"/>
  <c r="K32" i="14"/>
  <c r="M33" i="14"/>
  <c r="L30" i="14"/>
  <c r="K33" i="14"/>
  <c r="O33" i="14"/>
  <c r="N32" i="14"/>
  <c r="M32" i="14"/>
  <c r="M31" i="14"/>
  <c r="N30" i="14"/>
  <c r="P31" i="14"/>
  <c r="K30" i="14"/>
  <c r="P34" i="14"/>
  <c r="I31" i="14"/>
  <c r="K34" i="14"/>
  <c r="I28" i="14"/>
  <c r="J33" i="14"/>
  <c r="L34" i="14"/>
  <c r="N33" i="14"/>
  <c r="L31" i="14"/>
  <c r="I27" i="14"/>
  <c r="P27" i="14"/>
  <c r="N27" i="14"/>
  <c r="O27" i="14"/>
  <c r="L27" i="14"/>
  <c r="K27" i="14"/>
  <c r="M27" i="14"/>
  <c r="J27" i="14"/>
  <c r="H23" i="14"/>
  <c r="I39" i="14" l="1"/>
  <c r="H20" i="17"/>
  <c r="P16" i="17"/>
  <c r="I14" i="17"/>
  <c r="H14" i="17"/>
  <c r="O14" i="17"/>
  <c r="O18" i="17"/>
  <c r="U20" i="17" s="1"/>
  <c r="V20" i="17" s="1"/>
  <c r="O19" i="17"/>
  <c r="H13" i="17"/>
  <c r="I13" i="17"/>
  <c r="H15" i="17"/>
  <c r="I15" i="17"/>
  <c r="K20" i="17"/>
  <c r="P17" i="17"/>
  <c r="J15" i="17"/>
  <c r="K15" i="17"/>
  <c r="L15" i="17"/>
  <c r="M15" i="17"/>
  <c r="N15" i="17"/>
  <c r="M20" i="17"/>
  <c r="J13" i="17"/>
  <c r="K13" i="17"/>
  <c r="L13" i="17"/>
  <c r="M13" i="17"/>
  <c r="N13" i="17"/>
  <c r="N20" i="17"/>
  <c r="L20" i="17"/>
  <c r="I20" i="17"/>
  <c r="J14" i="17"/>
  <c r="K14" i="17"/>
  <c r="L14" i="17"/>
  <c r="M14" i="17"/>
  <c r="N14" i="17"/>
  <c r="O20" i="17"/>
  <c r="N18" i="17"/>
  <c r="J18" i="17"/>
  <c r="K18" i="17"/>
  <c r="I18" i="17"/>
  <c r="L18" i="17"/>
  <c r="M18" i="17"/>
  <c r="N19" i="17"/>
  <c r="K19" i="17"/>
  <c r="M19" i="17"/>
  <c r="I19" i="17"/>
  <c r="J19" i="17"/>
  <c r="L19" i="17"/>
  <c r="O15" i="17"/>
  <c r="P10" i="17"/>
  <c r="A12" i="16"/>
  <c r="N35" i="14"/>
  <c r="J35" i="14"/>
  <c r="M35" i="14"/>
  <c r="L35" i="14"/>
  <c r="K35" i="14"/>
  <c r="P35" i="14"/>
  <c r="O35" i="14"/>
  <c r="I35" i="14"/>
  <c r="O35" i="17" l="1"/>
  <c r="P20" i="17"/>
  <c r="U17" i="17"/>
  <c r="L35" i="17"/>
  <c r="P19" i="17"/>
  <c r="K35" i="17"/>
  <c r="U16" i="17"/>
  <c r="P18" i="17"/>
  <c r="H35" i="17"/>
  <c r="U13" i="17"/>
  <c r="V13" i="17" s="1"/>
  <c r="M35" i="17"/>
  <c r="U18" i="17"/>
  <c r="P15" i="17"/>
  <c r="U14" i="17"/>
  <c r="V14" i="17" s="1"/>
  <c r="I35" i="17"/>
  <c r="U15" i="17"/>
  <c r="V15" i="17" s="1"/>
  <c r="J35" i="17"/>
  <c r="P14" i="17"/>
  <c r="I25" i="17"/>
  <c r="I24" i="17"/>
  <c r="J25" i="17"/>
  <c r="J26" i="17"/>
  <c r="H25" i="17"/>
  <c r="H26" i="17"/>
  <c r="I26" i="17"/>
  <c r="J24" i="17"/>
  <c r="H24" i="17"/>
  <c r="K26" i="17"/>
  <c r="J27" i="17"/>
  <c r="K25" i="17"/>
  <c r="K27" i="17"/>
  <c r="H27" i="17"/>
  <c r="L27" i="17"/>
  <c r="I27" i="17"/>
  <c r="K24" i="17"/>
  <c r="L28" i="17"/>
  <c r="L25" i="17"/>
  <c r="K28" i="17"/>
  <c r="I28" i="17"/>
  <c r="L26" i="17"/>
  <c r="L24" i="17"/>
  <c r="J28" i="17"/>
  <c r="M28" i="17"/>
  <c r="H28" i="17"/>
  <c r="L29" i="17"/>
  <c r="N29" i="17"/>
  <c r="J29" i="17"/>
  <c r="M27" i="17"/>
  <c r="H29" i="17"/>
  <c r="K29" i="17"/>
  <c r="M26" i="17"/>
  <c r="M24" i="17"/>
  <c r="I29" i="17"/>
  <c r="M25" i="17"/>
  <c r="M29" i="17"/>
  <c r="N26" i="17"/>
  <c r="N30" i="17"/>
  <c r="N27" i="17"/>
  <c r="K30" i="17"/>
  <c r="M30" i="17"/>
  <c r="I30" i="17"/>
  <c r="N28" i="17"/>
  <c r="H30" i="17"/>
  <c r="N24" i="17"/>
  <c r="J30" i="17"/>
  <c r="N25" i="17"/>
  <c r="L30" i="17"/>
  <c r="H31" i="17"/>
  <c r="J31" i="17"/>
  <c r="O26" i="17"/>
  <c r="N31" i="17"/>
  <c r="O27" i="17"/>
  <c r="K31" i="17"/>
  <c r="I31" i="17"/>
  <c r="O24" i="17"/>
  <c r="L31" i="17"/>
  <c r="O31" i="17"/>
  <c r="O28" i="17"/>
  <c r="O29" i="17"/>
  <c r="M31" i="17"/>
  <c r="O25" i="17"/>
  <c r="O30" i="17"/>
  <c r="P13" i="17"/>
  <c r="U19" i="17"/>
  <c r="V19" i="17" s="1"/>
  <c r="N35" i="17"/>
  <c r="A13" i="16"/>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A4" i="12"/>
  <c r="A5" i="12" s="1"/>
  <c r="B3" i="12"/>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A4" i="11"/>
  <c r="B3" i="11"/>
  <c r="D59" i="10"/>
  <c r="D2"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A3" i="10"/>
  <c r="A4" i="10" s="1"/>
  <c r="D4" i="10" s="1"/>
  <c r="B2" i="10"/>
  <c r="D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A3" i="9"/>
  <c r="A4" i="9" s="1"/>
  <c r="A5" i="9" s="1"/>
  <c r="D5" i="9" s="1"/>
  <c r="B2" i="9"/>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B2" i="8"/>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B58" i="3"/>
  <c r="B57" i="3"/>
  <c r="B56" i="3"/>
  <c r="B55" i="3"/>
  <c r="C57" i="3" s="1"/>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C9" i="3" s="1"/>
  <c r="B6" i="3"/>
  <c r="B5" i="3"/>
  <c r="B4" i="3"/>
  <c r="B3" i="3"/>
  <c r="B2" i="3"/>
  <c r="C4" i="3" s="1"/>
  <c r="D5" i="3" s="1"/>
  <c r="C12" i="3" l="1"/>
  <c r="C5" i="3"/>
  <c r="C6" i="3"/>
  <c r="C7" i="3"/>
  <c r="C8" i="3"/>
  <c r="C10" i="3"/>
  <c r="C58" i="3"/>
  <c r="D59" i="3" s="1"/>
  <c r="C11" i="3"/>
  <c r="J32" i="17"/>
  <c r="L32" i="17"/>
  <c r="H36" i="17"/>
  <c r="N32" i="17"/>
  <c r="M32" i="17"/>
  <c r="I32" i="17"/>
  <c r="O32" i="17"/>
  <c r="K32" i="17"/>
  <c r="H32" i="17"/>
  <c r="A14" i="16"/>
  <c r="A6" i="12"/>
  <c r="C2" i="11"/>
  <c r="A5" i="11"/>
  <c r="A6" i="11" s="1"/>
  <c r="A7" i="11" s="1"/>
  <c r="E2" i="10"/>
  <c r="D3" i="10"/>
  <c r="E3" i="10" s="1"/>
  <c r="F3" i="10" s="1"/>
  <c r="I3" i="10" s="1"/>
  <c r="E4" i="10"/>
  <c r="F4" i="10" s="1"/>
  <c r="I4" i="10" s="1"/>
  <c r="A5" i="10"/>
  <c r="D5" i="10" s="1"/>
  <c r="E5" i="9"/>
  <c r="F5" i="9" s="1"/>
  <c r="I5" i="9" s="1"/>
  <c r="E2" i="9"/>
  <c r="D4" i="9"/>
  <c r="E4" i="9" s="1"/>
  <c r="D3" i="9"/>
  <c r="E3" i="9" s="1"/>
  <c r="A6" i="9"/>
  <c r="D58" i="3"/>
  <c r="E58" i="3" s="1"/>
  <c r="F58" i="3" s="1"/>
  <c r="I58" i="3" s="1"/>
  <c r="C56" i="3"/>
  <c r="D57" i="3" s="1"/>
  <c r="E57" i="3" s="1"/>
  <c r="F57" i="3" s="1"/>
  <c r="I57" i="3" s="1"/>
  <c r="C55" i="3"/>
  <c r="D56" i="3" s="1"/>
  <c r="E56" i="3" s="1"/>
  <c r="F56" i="3" s="1"/>
  <c r="I56" i="3" s="1"/>
  <c r="C15" i="3"/>
  <c r="D16" i="3" s="1"/>
  <c r="E16" i="3" s="1"/>
  <c r="F16" i="3" s="1"/>
  <c r="I16" i="3" s="1"/>
  <c r="C31" i="3"/>
  <c r="D32" i="3" s="1"/>
  <c r="E32" i="3" s="1"/>
  <c r="F32" i="3" s="1"/>
  <c r="I32" i="3" s="1"/>
  <c r="D8" i="3"/>
  <c r="E8" i="3" s="1"/>
  <c r="F8" i="3" s="1"/>
  <c r="I8" i="3" s="1"/>
  <c r="C23" i="3"/>
  <c r="D24" i="3" s="1"/>
  <c r="E24" i="3" s="1"/>
  <c r="F24" i="3" s="1"/>
  <c r="I24" i="3" s="1"/>
  <c r="D6" i="3"/>
  <c r="E6" i="3" s="1"/>
  <c r="F6" i="3" s="1"/>
  <c r="I6" i="3" s="1"/>
  <c r="C13" i="3"/>
  <c r="D14" i="3" s="1"/>
  <c r="E14" i="3" s="1"/>
  <c r="F14" i="3" s="1"/>
  <c r="I14" i="3" s="1"/>
  <c r="C21" i="3"/>
  <c r="D22" i="3" s="1"/>
  <c r="E22" i="3" s="1"/>
  <c r="F22" i="3" s="1"/>
  <c r="I22" i="3" s="1"/>
  <c r="C29" i="3"/>
  <c r="D30" i="3" s="1"/>
  <c r="E30" i="3" s="1"/>
  <c r="F30" i="3" s="1"/>
  <c r="I30" i="3" s="1"/>
  <c r="C37" i="3"/>
  <c r="D38" i="3" s="1"/>
  <c r="E38" i="3" s="1"/>
  <c r="F38" i="3" s="1"/>
  <c r="I38" i="3" s="1"/>
  <c r="C45" i="3"/>
  <c r="D46" i="3" s="1"/>
  <c r="E46" i="3" s="1"/>
  <c r="F46" i="3" s="1"/>
  <c r="I46" i="3" s="1"/>
  <c r="C53" i="3"/>
  <c r="D54" i="3" s="1"/>
  <c r="E54" i="3" s="1"/>
  <c r="F54" i="3" s="1"/>
  <c r="I54" i="3" s="1"/>
  <c r="D11" i="3"/>
  <c r="E11" i="3" s="1"/>
  <c r="F11" i="3" s="1"/>
  <c r="I11" i="3" s="1"/>
  <c r="C18" i="3"/>
  <c r="D19" i="3" s="1"/>
  <c r="E19" i="3" s="1"/>
  <c r="F19" i="3" s="1"/>
  <c r="I19" i="3" s="1"/>
  <c r="C26" i="3"/>
  <c r="D27" i="3" s="1"/>
  <c r="E27" i="3" s="1"/>
  <c r="F27" i="3" s="1"/>
  <c r="I27" i="3" s="1"/>
  <c r="C34" i="3"/>
  <c r="D35" i="3" s="1"/>
  <c r="E35" i="3" s="1"/>
  <c r="F35" i="3" s="1"/>
  <c r="I35" i="3" s="1"/>
  <c r="C42" i="3"/>
  <c r="D43" i="3" s="1"/>
  <c r="E43" i="3" s="1"/>
  <c r="F43" i="3" s="1"/>
  <c r="I43" i="3" s="1"/>
  <c r="C50" i="3"/>
  <c r="D51" i="3" s="1"/>
  <c r="E51" i="3" s="1"/>
  <c r="F51" i="3" s="1"/>
  <c r="I51" i="3" s="1"/>
  <c r="C39" i="3"/>
  <c r="D40" i="3" s="1"/>
  <c r="E40" i="3" s="1"/>
  <c r="F40" i="3" s="1"/>
  <c r="I40" i="3" s="1"/>
  <c r="C47" i="3"/>
  <c r="D48" i="3" s="1"/>
  <c r="E48" i="3" s="1"/>
  <c r="F48" i="3" s="1"/>
  <c r="I48" i="3" s="1"/>
  <c r="C16" i="3"/>
  <c r="D17" i="3" s="1"/>
  <c r="E17" i="3" s="1"/>
  <c r="F17" i="3" s="1"/>
  <c r="I17" i="3" s="1"/>
  <c r="C24" i="3"/>
  <c r="D25" i="3" s="1"/>
  <c r="E25" i="3" s="1"/>
  <c r="F25" i="3" s="1"/>
  <c r="I25" i="3" s="1"/>
  <c r="C32" i="3"/>
  <c r="D33" i="3" s="1"/>
  <c r="E33" i="3" s="1"/>
  <c r="F33" i="3" s="1"/>
  <c r="I33" i="3" s="1"/>
  <c r="C40" i="3"/>
  <c r="D41" i="3" s="1"/>
  <c r="E41" i="3" s="1"/>
  <c r="F41" i="3" s="1"/>
  <c r="I41" i="3" s="1"/>
  <c r="C48" i="3"/>
  <c r="D49" i="3" s="1"/>
  <c r="E49" i="3" s="1"/>
  <c r="F49" i="3" s="1"/>
  <c r="I49" i="3" s="1"/>
  <c r="D12" i="3"/>
  <c r="E12" i="3" s="1"/>
  <c r="F12" i="3" s="1"/>
  <c r="I12" i="3" s="1"/>
  <c r="C19" i="3"/>
  <c r="D20" i="3" s="1"/>
  <c r="E20" i="3" s="1"/>
  <c r="F20" i="3" s="1"/>
  <c r="I20" i="3" s="1"/>
  <c r="C27" i="3"/>
  <c r="D28" i="3" s="1"/>
  <c r="E28" i="3" s="1"/>
  <c r="F28" i="3" s="1"/>
  <c r="I28" i="3" s="1"/>
  <c r="C35" i="3"/>
  <c r="D36" i="3" s="1"/>
  <c r="E36" i="3" s="1"/>
  <c r="F36" i="3" s="1"/>
  <c r="I36" i="3" s="1"/>
  <c r="C43" i="3"/>
  <c r="D44" i="3" s="1"/>
  <c r="E44" i="3" s="1"/>
  <c r="F44" i="3" s="1"/>
  <c r="I44" i="3" s="1"/>
  <c r="C51" i="3"/>
  <c r="D52" i="3" s="1"/>
  <c r="E52" i="3" s="1"/>
  <c r="F52" i="3" s="1"/>
  <c r="I52" i="3" s="1"/>
  <c r="D7" i="3"/>
  <c r="E7" i="3" s="1"/>
  <c r="F7" i="3" s="1"/>
  <c r="I7" i="3" s="1"/>
  <c r="C14" i="3"/>
  <c r="D15" i="3" s="1"/>
  <c r="E15" i="3" s="1"/>
  <c r="F15" i="3" s="1"/>
  <c r="I15" i="3" s="1"/>
  <c r="C22" i="3"/>
  <c r="D23" i="3" s="1"/>
  <c r="E23" i="3" s="1"/>
  <c r="F23" i="3" s="1"/>
  <c r="I23" i="3" s="1"/>
  <c r="C30" i="3"/>
  <c r="D31" i="3" s="1"/>
  <c r="E31" i="3" s="1"/>
  <c r="F31" i="3" s="1"/>
  <c r="I31" i="3" s="1"/>
  <c r="C38" i="3"/>
  <c r="D39" i="3" s="1"/>
  <c r="E39" i="3" s="1"/>
  <c r="F39" i="3" s="1"/>
  <c r="I39" i="3" s="1"/>
  <c r="C46" i="3"/>
  <c r="D47" i="3" s="1"/>
  <c r="E47" i="3" s="1"/>
  <c r="F47" i="3" s="1"/>
  <c r="I47" i="3" s="1"/>
  <c r="C54" i="3"/>
  <c r="D55" i="3" s="1"/>
  <c r="E55" i="3" s="1"/>
  <c r="F55" i="3" s="1"/>
  <c r="I55" i="3" s="1"/>
  <c r="C20" i="3"/>
  <c r="D21" i="3" s="1"/>
  <c r="E21" i="3" s="1"/>
  <c r="F21" i="3" s="1"/>
  <c r="I21" i="3" s="1"/>
  <c r="C28" i="3"/>
  <c r="D29" i="3" s="1"/>
  <c r="E29" i="3" s="1"/>
  <c r="F29" i="3" s="1"/>
  <c r="I29" i="3" s="1"/>
  <c r="C36" i="3"/>
  <c r="D37" i="3" s="1"/>
  <c r="E37" i="3" s="1"/>
  <c r="F37" i="3" s="1"/>
  <c r="I37" i="3" s="1"/>
  <c r="C44" i="3"/>
  <c r="D45" i="3" s="1"/>
  <c r="E45" i="3" s="1"/>
  <c r="F45" i="3" s="1"/>
  <c r="I45" i="3" s="1"/>
  <c r="C52" i="3"/>
  <c r="D53" i="3" s="1"/>
  <c r="E53" i="3" s="1"/>
  <c r="F53" i="3" s="1"/>
  <c r="I53" i="3" s="1"/>
  <c r="C25" i="3"/>
  <c r="D26" i="3" s="1"/>
  <c r="E26" i="3" s="1"/>
  <c r="F26" i="3" s="1"/>
  <c r="I26" i="3" s="1"/>
  <c r="C41" i="3"/>
  <c r="D42" i="3" s="1"/>
  <c r="E42" i="3" s="1"/>
  <c r="F42" i="3" s="1"/>
  <c r="I42" i="3" s="1"/>
  <c r="C17" i="3"/>
  <c r="D18" i="3" s="1"/>
  <c r="E18" i="3" s="1"/>
  <c r="F18" i="3" s="1"/>
  <c r="I18" i="3" s="1"/>
  <c r="C33" i="3"/>
  <c r="D34" i="3" s="1"/>
  <c r="E34" i="3" s="1"/>
  <c r="F34" i="3" s="1"/>
  <c r="I34" i="3" s="1"/>
  <c r="C49" i="3"/>
  <c r="D50" i="3" s="1"/>
  <c r="E50" i="3" s="1"/>
  <c r="F50" i="3" s="1"/>
  <c r="I50" i="3" s="1"/>
  <c r="G4" i="10" l="1"/>
  <c r="G3" i="10"/>
  <c r="G2" i="10"/>
  <c r="A15" i="16"/>
  <c r="A7" i="12"/>
  <c r="C3" i="11"/>
  <c r="D3" i="11"/>
  <c r="E3" i="11" s="1"/>
  <c r="A8" i="11"/>
  <c r="F2" i="10"/>
  <c r="A6" i="10"/>
  <c r="D6" i="10" s="1"/>
  <c r="E5" i="10"/>
  <c r="F5" i="10" s="1"/>
  <c r="I5" i="10" s="1"/>
  <c r="G2" i="9"/>
  <c r="G3" i="9"/>
  <c r="G5" i="9"/>
  <c r="G4" i="9"/>
  <c r="D6" i="9"/>
  <c r="E6" i="9" s="1"/>
  <c r="F6" i="9" s="1"/>
  <c r="F3" i="9"/>
  <c r="I3" i="9" s="1"/>
  <c r="F4" i="9"/>
  <c r="I4" i="9" s="1"/>
  <c r="F2" i="9"/>
  <c r="I2" i="9" s="1"/>
  <c r="A7" i="9"/>
  <c r="D13" i="3"/>
  <c r="E13" i="3" s="1"/>
  <c r="F13" i="3" s="1"/>
  <c r="I13" i="3" s="1"/>
  <c r="D10" i="3"/>
  <c r="E10" i="3" s="1"/>
  <c r="F10" i="3" s="1"/>
  <c r="I10" i="3" s="1"/>
  <c r="D9" i="3"/>
  <c r="E9" i="3" s="1"/>
  <c r="F9" i="3" s="1"/>
  <c r="I9" i="3" s="1"/>
  <c r="E5" i="3"/>
  <c r="F3" i="11" l="1"/>
  <c r="I2" i="10"/>
  <c r="H5" i="10"/>
  <c r="K5" i="10" s="1"/>
  <c r="H3" i="10"/>
  <c r="K3" i="10" s="1"/>
  <c r="H4" i="10"/>
  <c r="K4" i="10" s="1"/>
  <c r="H2" i="10"/>
  <c r="K2" i="10" s="1"/>
  <c r="J2" i="9"/>
  <c r="J5" i="9"/>
  <c r="J4" i="9"/>
  <c r="J3" i="9"/>
  <c r="G5" i="10"/>
  <c r="A16" i="16"/>
  <c r="A8" i="12"/>
  <c r="G3" i="11"/>
  <c r="C4" i="11"/>
  <c r="D4" i="11"/>
  <c r="E4" i="11" s="1"/>
  <c r="A9" i="11"/>
  <c r="A7" i="10"/>
  <c r="D7" i="10" s="1"/>
  <c r="E6" i="10"/>
  <c r="H2" i="9"/>
  <c r="K2" i="9" s="1"/>
  <c r="H3" i="9"/>
  <c r="K3" i="9" s="1"/>
  <c r="H4" i="9"/>
  <c r="K4" i="9" s="1"/>
  <c r="H5" i="9"/>
  <c r="K5" i="9" s="1"/>
  <c r="G6" i="9"/>
  <c r="H6" i="9"/>
  <c r="K6" i="9" s="1"/>
  <c r="D7" i="9"/>
  <c r="E7" i="9" s="1"/>
  <c r="G7" i="9" s="1"/>
  <c r="I6" i="9"/>
  <c r="A8" i="9"/>
  <c r="G44" i="3"/>
  <c r="G36" i="3"/>
  <c r="G21" i="3"/>
  <c r="G52" i="3"/>
  <c r="G28" i="3"/>
  <c r="G20" i="3"/>
  <c r="G45" i="3"/>
  <c r="G53" i="3"/>
  <c r="G37" i="3"/>
  <c r="G29" i="3"/>
  <c r="G12" i="3"/>
  <c r="G13" i="3"/>
  <c r="G33" i="3"/>
  <c r="G11" i="3"/>
  <c r="G43" i="3"/>
  <c r="G26" i="3"/>
  <c r="G58" i="3"/>
  <c r="G16" i="3"/>
  <c r="G48" i="3"/>
  <c r="G23" i="3"/>
  <c r="G55" i="3"/>
  <c r="G30" i="3"/>
  <c r="G41" i="3"/>
  <c r="G9" i="3"/>
  <c r="G50" i="3"/>
  <c r="G19" i="3"/>
  <c r="G51" i="3"/>
  <c r="G34" i="3"/>
  <c r="G24" i="3"/>
  <c r="G56" i="3"/>
  <c r="G31" i="3"/>
  <c r="G6" i="3"/>
  <c r="G38" i="3"/>
  <c r="G15" i="3"/>
  <c r="G54" i="3"/>
  <c r="G17" i="3"/>
  <c r="G49" i="3"/>
  <c r="G57" i="3"/>
  <c r="G18" i="3"/>
  <c r="G27" i="3"/>
  <c r="G10" i="3"/>
  <c r="G42" i="3"/>
  <c r="G32" i="3"/>
  <c r="G7" i="3"/>
  <c r="G39" i="3"/>
  <c r="G14" i="3"/>
  <c r="G46" i="3"/>
  <c r="G25" i="3"/>
  <c r="G35" i="3"/>
  <c r="G8" i="3"/>
  <c r="G40" i="3"/>
  <c r="G47" i="3"/>
  <c r="G22" i="3"/>
  <c r="G5" i="3"/>
  <c r="F5" i="3"/>
  <c r="H3" i="11" l="1"/>
  <c r="K3" i="11" s="1"/>
  <c r="I3" i="11"/>
  <c r="J3" i="11" s="1"/>
  <c r="J6" i="9"/>
  <c r="F6" i="10"/>
  <c r="I6" i="10" s="1"/>
  <c r="G6" i="10"/>
  <c r="J6" i="10"/>
  <c r="J5" i="10"/>
  <c r="J4" i="10"/>
  <c r="J3" i="10"/>
  <c r="J2" i="10"/>
  <c r="A17" i="16"/>
  <c r="A9" i="12"/>
  <c r="F4" i="11"/>
  <c r="I4" i="11" s="1"/>
  <c r="G4" i="11"/>
  <c r="C5" i="11"/>
  <c r="D5" i="11"/>
  <c r="E5" i="11" s="1"/>
  <c r="A10" i="11"/>
  <c r="A8" i="10"/>
  <c r="D8" i="10" s="1"/>
  <c r="E7" i="10"/>
  <c r="F7" i="10" s="1"/>
  <c r="I7" i="10" s="1"/>
  <c r="H6" i="10"/>
  <c r="K6" i="10" s="1"/>
  <c r="D8" i="9"/>
  <c r="E8" i="9" s="1"/>
  <c r="F7" i="9"/>
  <c r="H7" i="9" s="1"/>
  <c r="K7" i="9" s="1"/>
  <c r="A9" i="9"/>
  <c r="H29" i="3"/>
  <c r="K29" i="3" s="1"/>
  <c r="H13" i="3"/>
  <c r="K13" i="3" s="1"/>
  <c r="H38" i="3"/>
  <c r="K38" i="3" s="1"/>
  <c r="H21" i="3"/>
  <c r="K21" i="3" s="1"/>
  <c r="H30" i="3"/>
  <c r="K30" i="3" s="1"/>
  <c r="H54" i="3"/>
  <c r="K54" i="3" s="1"/>
  <c r="H22" i="3"/>
  <c r="K22" i="3" s="1"/>
  <c r="H14" i="3"/>
  <c r="K14" i="3" s="1"/>
  <c r="H37" i="3"/>
  <c r="K37" i="3" s="1"/>
  <c r="H45" i="3"/>
  <c r="K45" i="3" s="1"/>
  <c r="H46" i="3"/>
  <c r="K46" i="3" s="1"/>
  <c r="H53" i="3"/>
  <c r="K53" i="3" s="1"/>
  <c r="H6" i="3"/>
  <c r="K6" i="3" s="1"/>
  <c r="H58" i="3"/>
  <c r="B3" i="13" s="1"/>
  <c r="F3" i="13" s="1"/>
  <c r="H36" i="3"/>
  <c r="K36" i="3" s="1"/>
  <c r="H19" i="3"/>
  <c r="K19" i="3" s="1"/>
  <c r="H51" i="3"/>
  <c r="K51" i="3" s="1"/>
  <c r="H9" i="3"/>
  <c r="K9" i="3" s="1"/>
  <c r="H41" i="3"/>
  <c r="K41" i="3" s="1"/>
  <c r="H16" i="3"/>
  <c r="K16" i="3" s="1"/>
  <c r="H48" i="3"/>
  <c r="K48" i="3" s="1"/>
  <c r="H23" i="3"/>
  <c r="K23" i="3" s="1"/>
  <c r="H55" i="3"/>
  <c r="K55" i="3" s="1"/>
  <c r="H34" i="3"/>
  <c r="K34" i="3" s="1"/>
  <c r="H12" i="3"/>
  <c r="K12" i="3" s="1"/>
  <c r="H44" i="3"/>
  <c r="K44" i="3" s="1"/>
  <c r="H27" i="3"/>
  <c r="K27" i="3" s="1"/>
  <c r="H17" i="3"/>
  <c r="K17" i="3" s="1"/>
  <c r="H49" i="3"/>
  <c r="K49" i="3" s="1"/>
  <c r="H24" i="3"/>
  <c r="K24" i="3" s="1"/>
  <c r="H56" i="3"/>
  <c r="K56" i="3" s="1"/>
  <c r="H31" i="3"/>
  <c r="K31" i="3" s="1"/>
  <c r="H10" i="3"/>
  <c r="K10" i="3" s="1"/>
  <c r="H42" i="3"/>
  <c r="K42" i="3" s="1"/>
  <c r="H43" i="3"/>
  <c r="K43" i="3" s="1"/>
  <c r="H15" i="3"/>
  <c r="K15" i="3" s="1"/>
  <c r="H26" i="3"/>
  <c r="K26" i="3" s="1"/>
  <c r="H20" i="3"/>
  <c r="K20" i="3" s="1"/>
  <c r="H52" i="3"/>
  <c r="K52" i="3" s="1"/>
  <c r="H35" i="3"/>
  <c r="K35" i="3" s="1"/>
  <c r="H25" i="3"/>
  <c r="K25" i="3" s="1"/>
  <c r="H57" i="3"/>
  <c r="K57" i="3" s="1"/>
  <c r="H32" i="3"/>
  <c r="K32" i="3" s="1"/>
  <c r="H7" i="3"/>
  <c r="K7" i="3" s="1"/>
  <c r="H39" i="3"/>
  <c r="K39" i="3" s="1"/>
  <c r="H18" i="3"/>
  <c r="K18" i="3" s="1"/>
  <c r="H50" i="3"/>
  <c r="K50" i="3" s="1"/>
  <c r="H28" i="3"/>
  <c r="K28" i="3" s="1"/>
  <c r="H11" i="3"/>
  <c r="K11" i="3" s="1"/>
  <c r="H33" i="3"/>
  <c r="K33" i="3" s="1"/>
  <c r="H8" i="3"/>
  <c r="K8" i="3" s="1"/>
  <c r="H40" i="3"/>
  <c r="K40" i="3" s="1"/>
  <c r="H47" i="3"/>
  <c r="K47" i="3" s="1"/>
  <c r="I5" i="3"/>
  <c r="H5" i="3"/>
  <c r="K5" i="3" s="1"/>
  <c r="G8" i="9" l="1"/>
  <c r="J7" i="10"/>
  <c r="J4" i="11"/>
  <c r="A18" i="16"/>
  <c r="A10" i="12"/>
  <c r="F5" i="11"/>
  <c r="G5" i="11"/>
  <c r="C6" i="11"/>
  <c r="D6" i="11"/>
  <c r="E6" i="11" s="1"/>
  <c r="H4" i="11"/>
  <c r="K4" i="11" s="1"/>
  <c r="A11" i="11"/>
  <c r="A9" i="10"/>
  <c r="D9" i="10" s="1"/>
  <c r="E8" i="10"/>
  <c r="F8" i="10" s="1"/>
  <c r="I8" i="10" s="1"/>
  <c r="G7" i="10"/>
  <c r="H7" i="10"/>
  <c r="K7" i="10" s="1"/>
  <c r="I7" i="9"/>
  <c r="F8" i="9"/>
  <c r="D9" i="9"/>
  <c r="E9" i="9" s="1"/>
  <c r="A10" i="9"/>
  <c r="K58" i="3"/>
  <c r="D3" i="4" s="1"/>
  <c r="B3" i="4"/>
  <c r="F3" i="4" s="1"/>
  <c r="J5" i="3"/>
  <c r="J57" i="3"/>
  <c r="J49" i="3"/>
  <c r="J41" i="3"/>
  <c r="J33" i="3"/>
  <c r="J25" i="3"/>
  <c r="J17" i="3"/>
  <c r="J9" i="3"/>
  <c r="J55" i="3"/>
  <c r="J32" i="3"/>
  <c r="J24" i="3"/>
  <c r="J16" i="3"/>
  <c r="J58" i="3"/>
  <c r="J50" i="3"/>
  <c r="J42" i="3"/>
  <c r="J34" i="3"/>
  <c r="J26" i="3"/>
  <c r="J18" i="3"/>
  <c r="J10" i="3"/>
  <c r="J39" i="3"/>
  <c r="J31" i="3"/>
  <c r="J7" i="3"/>
  <c r="J56" i="3"/>
  <c r="J8" i="3"/>
  <c r="J51" i="3"/>
  <c r="J43" i="3"/>
  <c r="J35" i="3"/>
  <c r="J27" i="3"/>
  <c r="J19" i="3"/>
  <c r="J11" i="3"/>
  <c r="J52" i="3"/>
  <c r="J44" i="3"/>
  <c r="J36" i="3"/>
  <c r="J28" i="3"/>
  <c r="J20" i="3"/>
  <c r="J12" i="3"/>
  <c r="J47" i="3"/>
  <c r="J53" i="3"/>
  <c r="J45" i="3"/>
  <c r="J37" i="3"/>
  <c r="J29" i="3"/>
  <c r="J21" i="3"/>
  <c r="J13" i="3"/>
  <c r="J15" i="3"/>
  <c r="J48" i="3"/>
  <c r="J40" i="3"/>
  <c r="J54" i="3"/>
  <c r="J46" i="3"/>
  <c r="J38" i="3"/>
  <c r="J30" i="3"/>
  <c r="J22" i="3"/>
  <c r="J14" i="3"/>
  <c r="J6" i="3"/>
  <c r="J23" i="3"/>
  <c r="F9" i="9" l="1"/>
  <c r="J7" i="9"/>
  <c r="J8" i="10"/>
  <c r="F6" i="11"/>
  <c r="I6" i="11" s="1"/>
  <c r="H5" i="11"/>
  <c r="K5" i="11" s="1"/>
  <c r="I5" i="11"/>
  <c r="A19" i="16"/>
  <c r="E3" i="13"/>
  <c r="D3" i="13"/>
  <c r="C3" i="4"/>
  <c r="C3" i="13"/>
  <c r="A11" i="12"/>
  <c r="G6" i="11"/>
  <c r="C7" i="11"/>
  <c r="D7" i="11"/>
  <c r="E7" i="11" s="1"/>
  <c r="A12" i="11"/>
  <c r="G8" i="10"/>
  <c r="H8" i="10"/>
  <c r="K8" i="10" s="1"/>
  <c r="A10" i="10"/>
  <c r="D10" i="10" s="1"/>
  <c r="E9" i="10"/>
  <c r="H9" i="9"/>
  <c r="K9" i="9" s="1"/>
  <c r="I8" i="9"/>
  <c r="H8" i="9"/>
  <c r="K8" i="9" s="1"/>
  <c r="G9" i="9"/>
  <c r="D10" i="9"/>
  <c r="E10" i="9" s="1"/>
  <c r="I9" i="9"/>
  <c r="A11" i="9"/>
  <c r="E3" i="4"/>
  <c r="G3" i="4" s="1"/>
  <c r="F9" i="10" l="1"/>
  <c r="I9" i="10" s="1"/>
  <c r="K10" i="9"/>
  <c r="J9" i="9"/>
  <c r="J8" i="9"/>
  <c r="F10" i="9"/>
  <c r="H10" i="9" s="1"/>
  <c r="H6" i="11"/>
  <c r="K6" i="11" s="1"/>
  <c r="J6" i="11"/>
  <c r="J5" i="11"/>
  <c r="A20" i="16"/>
  <c r="G3" i="13"/>
  <c r="A12" i="12"/>
  <c r="F7" i="11"/>
  <c r="I7" i="11" s="1"/>
  <c r="G7" i="11"/>
  <c r="C8" i="11"/>
  <c r="D8" i="11"/>
  <c r="E8" i="11" s="1"/>
  <c r="A13" i="11"/>
  <c r="H9" i="10"/>
  <c r="K9" i="10" s="1"/>
  <c r="G9" i="10"/>
  <c r="A11" i="10"/>
  <c r="D11" i="10" s="1"/>
  <c r="E10" i="10"/>
  <c r="G10" i="9"/>
  <c r="D11" i="9"/>
  <c r="E11" i="9" s="1"/>
  <c r="I10" i="9"/>
  <c r="J10" i="9" s="1"/>
  <c r="A12" i="9"/>
  <c r="J9" i="10" l="1"/>
  <c r="G11" i="9"/>
  <c r="F10" i="10"/>
  <c r="I10" i="10" s="1"/>
  <c r="F8" i="11"/>
  <c r="I8" i="11" s="1"/>
  <c r="J8" i="11" s="1"/>
  <c r="J7" i="11"/>
  <c r="A21" i="16"/>
  <c r="A13" i="12"/>
  <c r="C9" i="11"/>
  <c r="D9" i="11"/>
  <c r="E9" i="11" s="1"/>
  <c r="G8" i="11"/>
  <c r="H7" i="11"/>
  <c r="K7" i="11" s="1"/>
  <c r="A14" i="11"/>
  <c r="G10" i="10"/>
  <c r="A12" i="10"/>
  <c r="D12" i="10" s="1"/>
  <c r="E11" i="10"/>
  <c r="F11" i="9"/>
  <c r="H11" i="9" s="1"/>
  <c r="K11" i="9" s="1"/>
  <c r="D12" i="9"/>
  <c r="E12" i="9" s="1"/>
  <c r="A13" i="9"/>
  <c r="F11" i="10" l="1"/>
  <c r="I11" i="10" s="1"/>
  <c r="J11" i="10"/>
  <c r="H10" i="10"/>
  <c r="K10" i="10" s="1"/>
  <c r="G12" i="9"/>
  <c r="J10" i="10"/>
  <c r="F9" i="11"/>
  <c r="I9" i="11" s="1"/>
  <c r="J9" i="11" s="1"/>
  <c r="H8" i="11"/>
  <c r="K8" i="11" s="1"/>
  <c r="A22" i="16"/>
  <c r="A14" i="12"/>
  <c r="G9" i="11"/>
  <c r="C10" i="11"/>
  <c r="D10" i="11"/>
  <c r="E10" i="11" s="1"/>
  <c r="G10" i="11" s="1"/>
  <c r="A15" i="11"/>
  <c r="H11" i="10"/>
  <c r="K11" i="10" s="1"/>
  <c r="A13" i="10"/>
  <c r="D13" i="10" s="1"/>
  <c r="E12" i="10"/>
  <c r="G11" i="10"/>
  <c r="I11" i="9"/>
  <c r="D13" i="9"/>
  <c r="E13" i="9" s="1"/>
  <c r="F12" i="9"/>
  <c r="A14" i="9"/>
  <c r="J11" i="9" l="1"/>
  <c r="F12" i="10"/>
  <c r="I12" i="10" s="1"/>
  <c r="F13" i="9"/>
  <c r="H9" i="11"/>
  <c r="K9" i="11" s="1"/>
  <c r="A23" i="16"/>
  <c r="A15" i="12"/>
  <c r="C11" i="11"/>
  <c r="D11" i="11"/>
  <c r="E11" i="11" s="1"/>
  <c r="F10" i="11"/>
  <c r="I10" i="11" s="1"/>
  <c r="A16" i="11"/>
  <c r="G12" i="10"/>
  <c r="H13" i="9"/>
  <c r="K13" i="9" s="1"/>
  <c r="A14" i="10"/>
  <c r="D14" i="10" s="1"/>
  <c r="E13" i="10"/>
  <c r="H12" i="9"/>
  <c r="K12" i="9" s="1"/>
  <c r="H12" i="10"/>
  <c r="K12" i="10" s="1"/>
  <c r="G13" i="9"/>
  <c r="D14" i="9"/>
  <c r="E14" i="9" s="1"/>
  <c r="I12" i="9"/>
  <c r="J12" i="9" s="1"/>
  <c r="I13" i="9"/>
  <c r="J13" i="9" s="1"/>
  <c r="A15" i="9"/>
  <c r="F13" i="10" l="1"/>
  <c r="I13" i="10" s="1"/>
  <c r="J13" i="10" s="1"/>
  <c r="J12" i="10"/>
  <c r="J10" i="11"/>
  <c r="G11" i="11"/>
  <c r="A24" i="16"/>
  <c r="A16" i="12"/>
  <c r="C12" i="11"/>
  <c r="D12" i="11"/>
  <c r="E12" i="11" s="1"/>
  <c r="H10" i="11"/>
  <c r="K10" i="11" s="1"/>
  <c r="F11" i="11"/>
  <c r="A17" i="11"/>
  <c r="H13" i="10"/>
  <c r="K13" i="10" s="1"/>
  <c r="G13" i="10"/>
  <c r="A15" i="10"/>
  <c r="D15" i="10" s="1"/>
  <c r="E14" i="10"/>
  <c r="F14" i="9"/>
  <c r="H14" i="9" s="1"/>
  <c r="K14" i="9" s="1"/>
  <c r="G14" i="9"/>
  <c r="D15" i="9"/>
  <c r="E15" i="9" s="1"/>
  <c r="A16" i="9"/>
  <c r="G15" i="9" l="1"/>
  <c r="F14" i="10"/>
  <c r="I14" i="10" s="1"/>
  <c r="J14" i="10" s="1"/>
  <c r="K14" i="10"/>
  <c r="H11" i="11"/>
  <c r="K11" i="11" s="1"/>
  <c r="I11" i="11"/>
  <c r="J11" i="11" s="1"/>
  <c r="A25" i="16"/>
  <c r="A17" i="12"/>
  <c r="F12" i="11"/>
  <c r="I12" i="11" s="1"/>
  <c r="G12" i="11"/>
  <c r="C13" i="11"/>
  <c r="D13" i="11"/>
  <c r="E13" i="11" s="1"/>
  <c r="A18" i="11"/>
  <c r="H14" i="10"/>
  <c r="A16" i="10"/>
  <c r="D16" i="10" s="1"/>
  <c r="E15" i="10"/>
  <c r="G14" i="10"/>
  <c r="I14" i="9"/>
  <c r="J14" i="9" s="1"/>
  <c r="F15" i="9"/>
  <c r="D16" i="9"/>
  <c r="E16" i="9" s="1"/>
  <c r="A17" i="9"/>
  <c r="F16" i="9" l="1"/>
  <c r="F15" i="10"/>
  <c r="I15" i="10" s="1"/>
  <c r="J15" i="10" s="1"/>
  <c r="J12" i="11"/>
  <c r="A26" i="16"/>
  <c r="A18" i="12"/>
  <c r="C14" i="11"/>
  <c r="D14" i="11"/>
  <c r="E14" i="11" s="1"/>
  <c r="H12" i="11"/>
  <c r="K12" i="11" s="1"/>
  <c r="F13" i="11"/>
  <c r="I13" i="11" s="1"/>
  <c r="J13" i="11" s="1"/>
  <c r="G13" i="11"/>
  <c r="A19" i="11"/>
  <c r="H16" i="9"/>
  <c r="K16" i="9" s="1"/>
  <c r="G15" i="10"/>
  <c r="G16" i="9"/>
  <c r="A17" i="10"/>
  <c r="D17" i="10" s="1"/>
  <c r="E16" i="10"/>
  <c r="H15" i="10"/>
  <c r="K15" i="10" s="1"/>
  <c r="H15" i="9"/>
  <c r="K15" i="9" s="1"/>
  <c r="I15" i="9"/>
  <c r="J15" i="9" s="1"/>
  <c r="D17" i="9"/>
  <c r="E17" i="9" s="1"/>
  <c r="I16" i="9"/>
  <c r="A18" i="9"/>
  <c r="F16" i="10" l="1"/>
  <c r="I16" i="10" s="1"/>
  <c r="J16" i="10" s="1"/>
  <c r="J16" i="9"/>
  <c r="G17" i="9"/>
  <c r="A27" i="16"/>
  <c r="A19" i="12"/>
  <c r="H13" i="11"/>
  <c r="K13" i="11" s="1"/>
  <c r="F14" i="11"/>
  <c r="G14" i="11"/>
  <c r="C15" i="11"/>
  <c r="D15" i="11"/>
  <c r="E15" i="11" s="1"/>
  <c r="A20" i="11"/>
  <c r="G16" i="10"/>
  <c r="H16" i="10"/>
  <c r="K16" i="10" s="1"/>
  <c r="A18" i="10"/>
  <c r="D18" i="10" s="1"/>
  <c r="E17" i="10"/>
  <c r="F17" i="9"/>
  <c r="H17" i="9" s="1"/>
  <c r="K17" i="9" s="1"/>
  <c r="D18" i="9"/>
  <c r="E18" i="9" s="1"/>
  <c r="A19" i="9"/>
  <c r="F17" i="10" l="1"/>
  <c r="I17" i="10" s="1"/>
  <c r="J17" i="10" s="1"/>
  <c r="H14" i="11"/>
  <c r="K14" i="11" s="1"/>
  <c r="I14" i="11"/>
  <c r="J14" i="11" s="1"/>
  <c r="A28" i="16"/>
  <c r="A20" i="12"/>
  <c r="C16" i="11"/>
  <c r="D16" i="11"/>
  <c r="E16" i="11" s="1"/>
  <c r="F15" i="11"/>
  <c r="G15" i="11"/>
  <c r="A21" i="11"/>
  <c r="G17" i="10"/>
  <c r="H17" i="10"/>
  <c r="K17" i="10" s="1"/>
  <c r="A19" i="10"/>
  <c r="D19" i="10" s="1"/>
  <c r="E18" i="10"/>
  <c r="F18" i="9"/>
  <c r="I18" i="9" s="1"/>
  <c r="G18" i="9"/>
  <c r="I17" i="9"/>
  <c r="J17" i="9" s="1"/>
  <c r="D19" i="9"/>
  <c r="E19" i="9" s="1"/>
  <c r="A20" i="9"/>
  <c r="G19" i="9" l="1"/>
  <c r="J18" i="9"/>
  <c r="F18" i="10"/>
  <c r="I18" i="10" s="1"/>
  <c r="J18" i="10" s="1"/>
  <c r="K18" i="10"/>
  <c r="H15" i="11"/>
  <c r="K15" i="11" s="1"/>
  <c r="I15" i="11"/>
  <c r="J15" i="11" s="1"/>
  <c r="G16" i="11"/>
  <c r="A29" i="16"/>
  <c r="A21" i="12"/>
  <c r="C17" i="11"/>
  <c r="D17" i="11"/>
  <c r="E17" i="11" s="1"/>
  <c r="F16" i="11"/>
  <c r="I16" i="11" s="1"/>
  <c r="A22" i="11"/>
  <c r="H18" i="10"/>
  <c r="G18" i="10"/>
  <c r="A20" i="10"/>
  <c r="D20" i="10" s="1"/>
  <c r="E19" i="10"/>
  <c r="H18" i="9"/>
  <c r="K18" i="9" s="1"/>
  <c r="D20" i="9"/>
  <c r="E20" i="9" s="1"/>
  <c r="F19" i="9"/>
  <c r="A21" i="9"/>
  <c r="G20" i="9" l="1"/>
  <c r="F19" i="10"/>
  <c r="I19" i="10" s="1"/>
  <c r="J19" i="10" s="1"/>
  <c r="K19" i="10"/>
  <c r="J16" i="11"/>
  <c r="A30" i="16"/>
  <c r="A22" i="12"/>
  <c r="C18" i="11"/>
  <c r="D18" i="11"/>
  <c r="E18" i="11" s="1"/>
  <c r="H16" i="11"/>
  <c r="K16" i="11" s="1"/>
  <c r="F17" i="11"/>
  <c r="G17" i="11"/>
  <c r="A23" i="11"/>
  <c r="H19" i="10"/>
  <c r="A21" i="10"/>
  <c r="D21" i="10" s="1"/>
  <c r="E20" i="10"/>
  <c r="G19" i="10"/>
  <c r="H19" i="9"/>
  <c r="K19" i="9" s="1"/>
  <c r="D21" i="9"/>
  <c r="E21" i="9" s="1"/>
  <c r="F20" i="9"/>
  <c r="H20" i="9" s="1"/>
  <c r="K20" i="9" s="1"/>
  <c r="I19" i="9"/>
  <c r="J19" i="9" s="1"/>
  <c r="A22" i="9"/>
  <c r="G21" i="9" l="1"/>
  <c r="F20" i="10"/>
  <c r="I20" i="10" s="1"/>
  <c r="J20" i="10" s="1"/>
  <c r="K20" i="10"/>
  <c r="H17" i="11"/>
  <c r="K17" i="11" s="1"/>
  <c r="I17" i="11"/>
  <c r="J17" i="11" s="1"/>
  <c r="A31" i="16"/>
  <c r="A23" i="12"/>
  <c r="F18" i="11"/>
  <c r="I18" i="11" s="1"/>
  <c r="G18" i="11"/>
  <c r="C19" i="11"/>
  <c r="D19" i="11"/>
  <c r="E19" i="11" s="1"/>
  <c r="A24" i="11"/>
  <c r="H20" i="10"/>
  <c r="A22" i="10"/>
  <c r="D22" i="10" s="1"/>
  <c r="E21" i="10"/>
  <c r="G20" i="10"/>
  <c r="F21" i="9"/>
  <c r="D22" i="9"/>
  <c r="E22" i="9" s="1"/>
  <c r="I20" i="9"/>
  <c r="J20" i="9" s="1"/>
  <c r="A23" i="9"/>
  <c r="F21" i="10" l="1"/>
  <c r="I21" i="10" s="1"/>
  <c r="J21" i="10" s="1"/>
  <c r="G19" i="11"/>
  <c r="J18" i="11"/>
  <c r="A32" i="16"/>
  <c r="A24" i="12"/>
  <c r="F19" i="11"/>
  <c r="I19" i="11" s="1"/>
  <c r="J19" i="11" s="1"/>
  <c r="H18" i="11"/>
  <c r="K18" i="11" s="1"/>
  <c r="C20" i="11"/>
  <c r="D20" i="11"/>
  <c r="E20" i="11" s="1"/>
  <c r="A25" i="11"/>
  <c r="H21" i="10"/>
  <c r="K21" i="10" s="1"/>
  <c r="G21" i="10"/>
  <c r="A23" i="10"/>
  <c r="D23" i="10" s="1"/>
  <c r="E22" i="10"/>
  <c r="H21" i="9"/>
  <c r="K21" i="9" s="1"/>
  <c r="F22" i="9"/>
  <c r="G22" i="9"/>
  <c r="I21" i="9"/>
  <c r="J21" i="9" s="1"/>
  <c r="D23" i="9"/>
  <c r="E23" i="9" s="1"/>
  <c r="A24" i="9"/>
  <c r="F22" i="10" l="1"/>
  <c r="I22" i="10" s="1"/>
  <c r="J22" i="10" s="1"/>
  <c r="G23" i="9"/>
  <c r="A33" i="16"/>
  <c r="A25" i="12"/>
  <c r="H19" i="11"/>
  <c r="K19" i="11" s="1"/>
  <c r="F20" i="11"/>
  <c r="I20" i="11" s="1"/>
  <c r="J20" i="11" s="1"/>
  <c r="G20" i="11"/>
  <c r="C21" i="11"/>
  <c r="D21" i="11"/>
  <c r="E21" i="11" s="1"/>
  <c r="A26" i="11"/>
  <c r="H22" i="10"/>
  <c r="K22" i="10" s="1"/>
  <c r="G22" i="10"/>
  <c r="A24" i="10"/>
  <c r="D24" i="10" s="1"/>
  <c r="E23" i="10"/>
  <c r="H22" i="9"/>
  <c r="K22" i="9" s="1"/>
  <c r="I22" i="9"/>
  <c r="J22" i="9" s="1"/>
  <c r="F23" i="9"/>
  <c r="H23" i="9" s="1"/>
  <c r="K23" i="9" s="1"/>
  <c r="D24" i="9"/>
  <c r="E24" i="9" s="1"/>
  <c r="A25" i="9"/>
  <c r="G24" i="9" l="1"/>
  <c r="F23" i="10"/>
  <c r="I23" i="10" s="1"/>
  <c r="J23" i="10" s="1"/>
  <c r="F21" i="11"/>
  <c r="I21" i="11" s="1"/>
  <c r="J21" i="11" s="1"/>
  <c r="A34" i="16"/>
  <c r="A26" i="12"/>
  <c r="G21" i="11"/>
  <c r="C22" i="11"/>
  <c r="D22" i="11"/>
  <c r="E22" i="11" s="1"/>
  <c r="H20" i="11"/>
  <c r="K20" i="11" s="1"/>
  <c r="A27" i="11"/>
  <c r="G23" i="10"/>
  <c r="A25" i="10"/>
  <c r="D25" i="10" s="1"/>
  <c r="E24" i="10"/>
  <c r="H23" i="10"/>
  <c r="K23" i="10" s="1"/>
  <c r="I23" i="9"/>
  <c r="J23" i="9" s="1"/>
  <c r="F24" i="9"/>
  <c r="H24" i="9" s="1"/>
  <c r="K24" i="9" s="1"/>
  <c r="D25" i="9"/>
  <c r="E25" i="9" s="1"/>
  <c r="A26" i="9"/>
  <c r="G25" i="9" l="1"/>
  <c r="F24" i="10"/>
  <c r="I24" i="10" s="1"/>
  <c r="J24" i="10" s="1"/>
  <c r="H21" i="11"/>
  <c r="K21" i="11" s="1"/>
  <c r="A35" i="16"/>
  <c r="A27" i="12"/>
  <c r="C23" i="11"/>
  <c r="D23" i="11"/>
  <c r="E23" i="11" s="1"/>
  <c r="F22" i="11"/>
  <c r="I22" i="11" s="1"/>
  <c r="J22" i="11" s="1"/>
  <c r="G22" i="11"/>
  <c r="A28" i="11"/>
  <c r="G24" i="10"/>
  <c r="H24" i="10"/>
  <c r="K24" i="10" s="1"/>
  <c r="A26" i="10"/>
  <c r="D26" i="10" s="1"/>
  <c r="E25" i="10"/>
  <c r="I24" i="9"/>
  <c r="J24" i="9" s="1"/>
  <c r="F25" i="9"/>
  <c r="I25" i="9" s="1"/>
  <c r="D26" i="9"/>
  <c r="E26" i="9" s="1"/>
  <c r="A27" i="9"/>
  <c r="F26" i="9" l="1"/>
  <c r="J25" i="9"/>
  <c r="F25" i="10"/>
  <c r="I25" i="10" s="1"/>
  <c r="J25" i="10" s="1"/>
  <c r="A36" i="16"/>
  <c r="A28" i="12"/>
  <c r="F23" i="11"/>
  <c r="G23" i="11"/>
  <c r="H22" i="11"/>
  <c r="K22" i="11" s="1"/>
  <c r="C24" i="11"/>
  <c r="D24" i="11"/>
  <c r="E24" i="11" s="1"/>
  <c r="A29" i="11"/>
  <c r="G25" i="10"/>
  <c r="A27" i="10"/>
  <c r="D27" i="10" s="1"/>
  <c r="E26" i="10"/>
  <c r="H25" i="9"/>
  <c r="K25" i="9" s="1"/>
  <c r="H26" i="9"/>
  <c r="K26" i="9" s="1"/>
  <c r="G26" i="9"/>
  <c r="D27" i="9"/>
  <c r="E27" i="9" s="1"/>
  <c r="I26" i="9"/>
  <c r="J26" i="9" s="1"/>
  <c r="A28" i="9"/>
  <c r="G27" i="9" l="1"/>
  <c r="F26" i="10"/>
  <c r="I26" i="10" s="1"/>
  <c r="J26" i="10" s="1"/>
  <c r="H25" i="10"/>
  <c r="K25" i="10" s="1"/>
  <c r="H23" i="11"/>
  <c r="K23" i="11" s="1"/>
  <c r="I23" i="11"/>
  <c r="J23" i="11" s="1"/>
  <c r="A37" i="16"/>
  <c r="A29" i="12"/>
  <c r="C25" i="11"/>
  <c r="D25" i="11"/>
  <c r="E25" i="11" s="1"/>
  <c r="F24" i="11"/>
  <c r="I24" i="11" s="1"/>
  <c r="G24" i="11"/>
  <c r="A30" i="11"/>
  <c r="G26" i="10"/>
  <c r="H26" i="10"/>
  <c r="K26" i="10" s="1"/>
  <c r="E27" i="10"/>
  <c r="A28" i="10"/>
  <c r="D28" i="10" s="1"/>
  <c r="F27" i="9"/>
  <c r="H27" i="9" s="1"/>
  <c r="K27" i="9" s="1"/>
  <c r="D28" i="9"/>
  <c r="E28" i="9" s="1"/>
  <c r="A29" i="9"/>
  <c r="F27" i="10" l="1"/>
  <c r="I27" i="10" s="1"/>
  <c r="J27" i="10" s="1"/>
  <c r="F28" i="9"/>
  <c r="J24" i="11"/>
  <c r="G25" i="11"/>
  <c r="A38" i="16"/>
  <c r="A30" i="12"/>
  <c r="H24" i="11"/>
  <c r="K24" i="11" s="1"/>
  <c r="F25" i="11"/>
  <c r="I25" i="11" s="1"/>
  <c r="J25" i="11" s="1"/>
  <c r="C26" i="11"/>
  <c r="D26" i="11"/>
  <c r="E26" i="11" s="1"/>
  <c r="H28" i="9"/>
  <c r="K28" i="9" s="1"/>
  <c r="A31" i="11"/>
  <c r="G27" i="10"/>
  <c r="A29" i="10"/>
  <c r="D29" i="10" s="1"/>
  <c r="E28" i="10"/>
  <c r="H27" i="10"/>
  <c r="K27" i="10" s="1"/>
  <c r="G28" i="9"/>
  <c r="I27" i="9"/>
  <c r="J27" i="9" s="1"/>
  <c r="D29" i="9"/>
  <c r="E29" i="9" s="1"/>
  <c r="I28" i="9"/>
  <c r="J28" i="9" s="1"/>
  <c r="A30" i="9"/>
  <c r="F29" i="9" l="1"/>
  <c r="H29" i="9" s="1"/>
  <c r="K29" i="9" s="1"/>
  <c r="F28" i="10"/>
  <c r="I28" i="10" s="1"/>
  <c r="J28" i="10" s="1"/>
  <c r="A39" i="16"/>
  <c r="A31" i="12"/>
  <c r="F26" i="11"/>
  <c r="I26" i="11" s="1"/>
  <c r="J26" i="11" s="1"/>
  <c r="G26" i="11"/>
  <c r="C27" i="11"/>
  <c r="D27" i="11"/>
  <c r="E27" i="11" s="1"/>
  <c r="H25" i="11"/>
  <c r="K25" i="11" s="1"/>
  <c r="A32" i="11"/>
  <c r="H28" i="10"/>
  <c r="K28" i="10" s="1"/>
  <c r="A30" i="10"/>
  <c r="D30" i="10" s="1"/>
  <c r="E29" i="10"/>
  <c r="G28" i="10"/>
  <c r="G29" i="9"/>
  <c r="D30" i="9"/>
  <c r="E30" i="9" s="1"/>
  <c r="I29" i="9"/>
  <c r="J29" i="9" s="1"/>
  <c r="A31" i="9"/>
  <c r="F30" i="9" l="1"/>
  <c r="H30" i="9" s="1"/>
  <c r="K30" i="9"/>
  <c r="F29" i="10"/>
  <c r="I29" i="10" s="1"/>
  <c r="J29" i="10" s="1"/>
  <c r="F27" i="11"/>
  <c r="I27" i="11" s="1"/>
  <c r="J27" i="11" s="1"/>
  <c r="A40" i="16"/>
  <c r="A32" i="12"/>
  <c r="C28" i="11"/>
  <c r="D28" i="11"/>
  <c r="E28" i="11" s="1"/>
  <c r="H26" i="11"/>
  <c r="K26" i="11" s="1"/>
  <c r="G27" i="11"/>
  <c r="A33" i="11"/>
  <c r="H29" i="10"/>
  <c r="K29" i="10" s="1"/>
  <c r="G29" i="10"/>
  <c r="A31" i="10"/>
  <c r="D31" i="10" s="1"/>
  <c r="E30" i="10"/>
  <c r="G30" i="9"/>
  <c r="D31" i="9"/>
  <c r="E31" i="9" s="1"/>
  <c r="I30" i="9"/>
  <c r="J30" i="9" s="1"/>
  <c r="A32" i="9"/>
  <c r="F31" i="9" l="1"/>
  <c r="H31" i="9" s="1"/>
  <c r="K31" i="9"/>
  <c r="F30" i="10"/>
  <c r="I30" i="10" s="1"/>
  <c r="J30" i="10" s="1"/>
  <c r="H27" i="11"/>
  <c r="K27" i="11" s="1"/>
  <c r="G28" i="11"/>
  <c r="A41" i="16"/>
  <c r="A33" i="12"/>
  <c r="F28" i="11"/>
  <c r="I28" i="11" s="1"/>
  <c r="J28" i="11" s="1"/>
  <c r="C29" i="11"/>
  <c r="D29" i="11"/>
  <c r="E29" i="11" s="1"/>
  <c r="A34" i="11"/>
  <c r="G30" i="10"/>
  <c r="H30" i="10"/>
  <c r="K30" i="10" s="1"/>
  <c r="A32" i="10"/>
  <c r="D32" i="10" s="1"/>
  <c r="E31" i="10"/>
  <c r="G31" i="9"/>
  <c r="D32" i="9"/>
  <c r="E32" i="9" s="1"/>
  <c r="I31" i="9"/>
  <c r="J31" i="9" s="1"/>
  <c r="A33" i="9"/>
  <c r="F32" i="9" l="1"/>
  <c r="H32" i="9" s="1"/>
  <c r="K32" i="9"/>
  <c r="F31" i="10"/>
  <c r="I31" i="10" s="1"/>
  <c r="J31" i="10" s="1"/>
  <c r="G29" i="11"/>
  <c r="A42" i="16"/>
  <c r="A34" i="12"/>
  <c r="H28" i="11"/>
  <c r="K28" i="11" s="1"/>
  <c r="F29" i="11"/>
  <c r="I29" i="11" s="1"/>
  <c r="J29" i="11" s="1"/>
  <c r="C30" i="11"/>
  <c r="D30" i="11"/>
  <c r="E30" i="11" s="1"/>
  <c r="A35" i="11"/>
  <c r="G31" i="10"/>
  <c r="A33" i="10"/>
  <c r="D33" i="10" s="1"/>
  <c r="E32" i="10"/>
  <c r="G32" i="9"/>
  <c r="D33" i="9"/>
  <c r="E33" i="9" s="1"/>
  <c r="I32" i="9"/>
  <c r="J32" i="9" s="1"/>
  <c r="A34" i="9"/>
  <c r="G33" i="9" l="1"/>
  <c r="F32" i="10"/>
  <c r="I32" i="10" s="1"/>
  <c r="J32" i="10" s="1"/>
  <c r="H31" i="10"/>
  <c r="K31" i="10" s="1"/>
  <c r="G30" i="11"/>
  <c r="A43" i="16"/>
  <c r="A35" i="12"/>
  <c r="F30" i="11"/>
  <c r="I30" i="11" s="1"/>
  <c r="J30" i="11" s="1"/>
  <c r="C31" i="11"/>
  <c r="D31" i="11"/>
  <c r="E31" i="11" s="1"/>
  <c r="H29" i="11"/>
  <c r="K29" i="11" s="1"/>
  <c r="A36" i="11"/>
  <c r="A34" i="10"/>
  <c r="D34" i="10" s="1"/>
  <c r="E33" i="10"/>
  <c r="G32" i="10"/>
  <c r="H32" i="10"/>
  <c r="K32" i="10" s="1"/>
  <c r="D34" i="9"/>
  <c r="E34" i="9" s="1"/>
  <c r="F33" i="9"/>
  <c r="H33" i="9" s="1"/>
  <c r="K33" i="9" s="1"/>
  <c r="A35" i="9"/>
  <c r="G34" i="9" l="1"/>
  <c r="F33" i="10"/>
  <c r="I33" i="10" s="1"/>
  <c r="J33" i="10" s="1"/>
  <c r="A44" i="16"/>
  <c r="A36" i="12"/>
  <c r="H30" i="11"/>
  <c r="K30" i="11" s="1"/>
  <c r="F31" i="11"/>
  <c r="I31" i="11" s="1"/>
  <c r="J31" i="11" s="1"/>
  <c r="G31" i="11"/>
  <c r="C32" i="11"/>
  <c r="D32" i="11"/>
  <c r="E32" i="11" s="1"/>
  <c r="A37" i="11"/>
  <c r="G33" i="10"/>
  <c r="H33" i="10"/>
  <c r="K33" i="10" s="1"/>
  <c r="A35" i="10"/>
  <c r="D35" i="10" s="1"/>
  <c r="E34" i="10"/>
  <c r="I33" i="9"/>
  <c r="J33" i="9" s="1"/>
  <c r="F34" i="9"/>
  <c r="I34" i="9" s="1"/>
  <c r="J34" i="9" s="1"/>
  <c r="D35" i="9"/>
  <c r="E35" i="9" s="1"/>
  <c r="A36" i="9"/>
  <c r="F35" i="9" l="1"/>
  <c r="F34" i="10"/>
  <c r="I34" i="10" s="1"/>
  <c r="J34" i="10" s="1"/>
  <c r="A45" i="16"/>
  <c r="A37" i="12"/>
  <c r="F32" i="11"/>
  <c r="G32" i="11"/>
  <c r="C33" i="11"/>
  <c r="D33" i="11"/>
  <c r="E33" i="11" s="1"/>
  <c r="H31" i="11"/>
  <c r="K31" i="11" s="1"/>
  <c r="A38" i="11"/>
  <c r="H34" i="10"/>
  <c r="K34" i="10" s="1"/>
  <c r="G34" i="10"/>
  <c r="A36" i="10"/>
  <c r="D36" i="10" s="1"/>
  <c r="E35" i="10"/>
  <c r="H34" i="9"/>
  <c r="K34" i="9" s="1"/>
  <c r="H35" i="9"/>
  <c r="K35" i="9" s="1"/>
  <c r="G35" i="9"/>
  <c r="D36" i="9"/>
  <c r="E36" i="9" s="1"/>
  <c r="I35" i="9"/>
  <c r="J35" i="9" s="1"/>
  <c r="A37" i="9"/>
  <c r="F36" i="9" l="1"/>
  <c r="H36" i="9" s="1"/>
  <c r="K36" i="9"/>
  <c r="F35" i="10"/>
  <c r="I35" i="10" s="1"/>
  <c r="J35" i="10" s="1"/>
  <c r="H32" i="11"/>
  <c r="K32" i="11" s="1"/>
  <c r="I32" i="11"/>
  <c r="J32" i="11" s="1"/>
  <c r="F33" i="11"/>
  <c r="I33" i="11" s="1"/>
  <c r="A46" i="16"/>
  <c r="A38" i="12"/>
  <c r="G33" i="11"/>
  <c r="C34" i="11"/>
  <c r="D34" i="11"/>
  <c r="E34" i="11" s="1"/>
  <c r="A39" i="11"/>
  <c r="A37" i="10"/>
  <c r="D37" i="10" s="1"/>
  <c r="E36" i="10"/>
  <c r="G35" i="10"/>
  <c r="G36" i="9"/>
  <c r="D37" i="9"/>
  <c r="E37" i="9" s="1"/>
  <c r="I36" i="9"/>
  <c r="J36" i="9" s="1"/>
  <c r="A38" i="9"/>
  <c r="G37" i="9" l="1"/>
  <c r="F36" i="10"/>
  <c r="I36" i="10" s="1"/>
  <c r="J36" i="10" s="1"/>
  <c r="H35" i="10"/>
  <c r="K35" i="10" s="1"/>
  <c r="J33" i="11"/>
  <c r="H33" i="11"/>
  <c r="K33" i="11" s="1"/>
  <c r="G34" i="11"/>
  <c r="A47" i="16"/>
  <c r="A39" i="12"/>
  <c r="F34" i="11"/>
  <c r="I34" i="11" s="1"/>
  <c r="J34" i="11" s="1"/>
  <c r="C35" i="11"/>
  <c r="D35" i="11"/>
  <c r="E35" i="11" s="1"/>
  <c r="A40" i="11"/>
  <c r="G36" i="10"/>
  <c r="A38" i="10"/>
  <c r="D38" i="10" s="1"/>
  <c r="E37" i="10"/>
  <c r="H36" i="10"/>
  <c r="K36" i="10" s="1"/>
  <c r="F37" i="9"/>
  <c r="H37" i="9" s="1"/>
  <c r="K37" i="9" s="1"/>
  <c r="D38" i="9"/>
  <c r="E38" i="9" s="1"/>
  <c r="A39" i="9"/>
  <c r="G38" i="9" l="1"/>
  <c r="F37" i="10"/>
  <c r="I37" i="10" s="1"/>
  <c r="J37" i="10" s="1"/>
  <c r="G35" i="11"/>
  <c r="A48" i="16"/>
  <c r="A40" i="12"/>
  <c r="H34" i="11"/>
  <c r="K34" i="11" s="1"/>
  <c r="F35" i="11"/>
  <c r="I35" i="11" s="1"/>
  <c r="J35" i="11" s="1"/>
  <c r="C36" i="11"/>
  <c r="D36" i="11"/>
  <c r="E36" i="11" s="1"/>
  <c r="A41" i="11"/>
  <c r="H37" i="10"/>
  <c r="K37" i="10" s="1"/>
  <c r="G37" i="10"/>
  <c r="A39" i="10"/>
  <c r="D39" i="10" s="1"/>
  <c r="E38" i="10"/>
  <c r="I37" i="9"/>
  <c r="J37" i="9" s="1"/>
  <c r="F38" i="9"/>
  <c r="I38" i="9" s="1"/>
  <c r="J38" i="9" s="1"/>
  <c r="D39" i="9"/>
  <c r="E39" i="9" s="1"/>
  <c r="A40" i="9"/>
  <c r="F38" i="10" l="1"/>
  <c r="I38" i="10" s="1"/>
  <c r="J38" i="10" s="1"/>
  <c r="F39" i="9"/>
  <c r="G36" i="11"/>
  <c r="A49" i="16"/>
  <c r="A41" i="12"/>
  <c r="C37" i="11"/>
  <c r="D37" i="11"/>
  <c r="E37" i="11" s="1"/>
  <c r="H35" i="11"/>
  <c r="K35" i="11" s="1"/>
  <c r="F36" i="11"/>
  <c r="I36" i="11" s="1"/>
  <c r="J36" i="11" s="1"/>
  <c r="A42" i="11"/>
  <c r="A40" i="10"/>
  <c r="D40" i="10" s="1"/>
  <c r="E39" i="10"/>
  <c r="H38" i="10"/>
  <c r="K38" i="10" s="1"/>
  <c r="G38" i="10"/>
  <c r="H38" i="9"/>
  <c r="K38" i="9" s="1"/>
  <c r="H39" i="9"/>
  <c r="K39" i="9" s="1"/>
  <c r="G39" i="9"/>
  <c r="D40" i="9"/>
  <c r="E40" i="9" s="1"/>
  <c r="I39" i="9"/>
  <c r="J39" i="9" s="1"/>
  <c r="A41" i="9"/>
  <c r="F40" i="9" l="1"/>
  <c r="H40" i="9" s="1"/>
  <c r="K40" i="9"/>
  <c r="F39" i="10"/>
  <c r="I39" i="10" s="1"/>
  <c r="J39" i="10" s="1"/>
  <c r="A50" i="16"/>
  <c r="A42" i="12"/>
  <c r="H36" i="11"/>
  <c r="K36" i="11" s="1"/>
  <c r="F37" i="11"/>
  <c r="I37" i="11" s="1"/>
  <c r="J37" i="11" s="1"/>
  <c r="G37" i="11"/>
  <c r="C38" i="11"/>
  <c r="D38" i="11"/>
  <c r="E38" i="11" s="1"/>
  <c r="A43" i="11"/>
  <c r="A41" i="10"/>
  <c r="D41" i="10" s="1"/>
  <c r="E40" i="10"/>
  <c r="G39" i="10"/>
  <c r="H39" i="10"/>
  <c r="K39" i="10" s="1"/>
  <c r="G40" i="9"/>
  <c r="D41" i="9"/>
  <c r="E41" i="9" s="1"/>
  <c r="I40" i="9"/>
  <c r="J40" i="9" s="1"/>
  <c r="A42" i="9"/>
  <c r="F41" i="9" l="1"/>
  <c r="H41" i="9" s="1"/>
  <c r="K41" i="9" s="1"/>
  <c r="F40" i="10"/>
  <c r="I40" i="10" s="1"/>
  <c r="J40" i="10" s="1"/>
  <c r="F38" i="11"/>
  <c r="I38" i="11" s="1"/>
  <c r="J38" i="11" s="1"/>
  <c r="A51" i="16"/>
  <c r="A43" i="12"/>
  <c r="G38" i="11"/>
  <c r="H37" i="11"/>
  <c r="K37" i="11" s="1"/>
  <c r="C39" i="11"/>
  <c r="D39" i="11"/>
  <c r="E39" i="11" s="1"/>
  <c r="A44" i="11"/>
  <c r="A42" i="10"/>
  <c r="D42" i="10" s="1"/>
  <c r="E41" i="10"/>
  <c r="G40" i="10"/>
  <c r="H40" i="10"/>
  <c r="K40" i="10" s="1"/>
  <c r="G41" i="9"/>
  <c r="D42" i="9"/>
  <c r="E42" i="9" s="1"/>
  <c r="I41" i="9"/>
  <c r="J41" i="9" s="1"/>
  <c r="A43" i="9"/>
  <c r="G42" i="9" l="1"/>
  <c r="F41" i="10"/>
  <c r="I41" i="10" s="1"/>
  <c r="J41" i="10" s="1"/>
  <c r="H38" i="11"/>
  <c r="K38" i="11" s="1"/>
  <c r="A52" i="16"/>
  <c r="A44" i="12"/>
  <c r="F39" i="11"/>
  <c r="I39" i="11" s="1"/>
  <c r="J39" i="11" s="1"/>
  <c r="G39" i="11"/>
  <c r="C40" i="11"/>
  <c r="D40" i="11"/>
  <c r="E40" i="11" s="1"/>
  <c r="A45" i="11"/>
  <c r="G41" i="10"/>
  <c r="H41" i="10"/>
  <c r="K41" i="10" s="1"/>
  <c r="A43" i="10"/>
  <c r="D43" i="10" s="1"/>
  <c r="E42" i="10"/>
  <c r="D43" i="9"/>
  <c r="E43" i="9" s="1"/>
  <c r="F42" i="9"/>
  <c r="H42" i="9" s="1"/>
  <c r="K42" i="9" s="1"/>
  <c r="A44" i="9"/>
  <c r="G43" i="9" l="1"/>
  <c r="F42" i="10"/>
  <c r="I42" i="10" s="1"/>
  <c r="J42" i="10" s="1"/>
  <c r="G40" i="11"/>
  <c r="A53" i="16"/>
  <c r="A45" i="12"/>
  <c r="F40" i="11"/>
  <c r="C41" i="11"/>
  <c r="D41" i="11"/>
  <c r="E41" i="11" s="1"/>
  <c r="H39" i="11"/>
  <c r="K39" i="11" s="1"/>
  <c r="A46" i="11"/>
  <c r="A44" i="10"/>
  <c r="D44" i="10" s="1"/>
  <c r="E43" i="10"/>
  <c r="H42" i="10"/>
  <c r="K42" i="10" s="1"/>
  <c r="G42" i="10"/>
  <c r="D44" i="9"/>
  <c r="E44" i="9" s="1"/>
  <c r="F43" i="9"/>
  <c r="I43" i="9" s="1"/>
  <c r="J43" i="9" s="1"/>
  <c r="I42" i="9"/>
  <c r="J42" i="9" s="1"/>
  <c r="A45" i="9"/>
  <c r="F44" i="9" l="1"/>
  <c r="F43" i="10"/>
  <c r="I43" i="10" s="1"/>
  <c r="J43" i="10" s="1"/>
  <c r="H40" i="11"/>
  <c r="K40" i="11" s="1"/>
  <c r="I40" i="11"/>
  <c r="J40" i="11" s="1"/>
  <c r="G41" i="11"/>
  <c r="A54" i="16"/>
  <c r="A46" i="12"/>
  <c r="F41" i="11"/>
  <c r="I41" i="11" s="1"/>
  <c r="C42" i="11"/>
  <c r="D42" i="11"/>
  <c r="E42" i="11" s="1"/>
  <c r="A47" i="11"/>
  <c r="G43" i="10"/>
  <c r="A45" i="10"/>
  <c r="D45" i="10" s="1"/>
  <c r="E44" i="10"/>
  <c r="H43" i="10"/>
  <c r="K43" i="10" s="1"/>
  <c r="H43" i="9"/>
  <c r="K43" i="9" s="1"/>
  <c r="H44" i="9"/>
  <c r="K44" i="9" s="1"/>
  <c r="G44" i="9"/>
  <c r="D45" i="9"/>
  <c r="E45" i="9" s="1"/>
  <c r="I44" i="9"/>
  <c r="J44" i="9" s="1"/>
  <c r="A46" i="9"/>
  <c r="F45" i="9" l="1"/>
  <c r="H45" i="9" s="1"/>
  <c r="K45" i="9" s="1"/>
  <c r="F44" i="10"/>
  <c r="I44" i="10" s="1"/>
  <c r="J44" i="10" s="1"/>
  <c r="J41" i="11"/>
  <c r="G42" i="11"/>
  <c r="A55" i="16"/>
  <c r="A47" i="12"/>
  <c r="F42" i="11"/>
  <c r="C43" i="11"/>
  <c r="D43" i="11"/>
  <c r="E43" i="11" s="1"/>
  <c r="H41" i="11"/>
  <c r="K41" i="11" s="1"/>
  <c r="A48" i="11"/>
  <c r="G44" i="10"/>
  <c r="H44" i="10"/>
  <c r="K44" i="10" s="1"/>
  <c r="A46" i="10"/>
  <c r="D46" i="10" s="1"/>
  <c r="E45" i="10"/>
  <c r="G45" i="9"/>
  <c r="D46" i="9"/>
  <c r="E46" i="9" s="1"/>
  <c r="I45" i="9"/>
  <c r="J45" i="9" s="1"/>
  <c r="A47" i="9"/>
  <c r="F45" i="10" l="1"/>
  <c r="I45" i="10" s="1"/>
  <c r="J45" i="10" s="1"/>
  <c r="G46" i="9"/>
  <c r="H42" i="11"/>
  <c r="K42" i="11" s="1"/>
  <c r="I42" i="11"/>
  <c r="J42" i="11" s="1"/>
  <c r="F43" i="11"/>
  <c r="I43" i="11" s="1"/>
  <c r="A56" i="16"/>
  <c r="A48" i="12"/>
  <c r="G43" i="11"/>
  <c r="C44" i="11"/>
  <c r="D44" i="11"/>
  <c r="E44" i="11" s="1"/>
  <c r="G45" i="10"/>
  <c r="A49" i="11"/>
  <c r="H45" i="10"/>
  <c r="K45" i="10" s="1"/>
  <c r="A47" i="10"/>
  <c r="D47" i="10" s="1"/>
  <c r="E46" i="10"/>
  <c r="F46" i="9"/>
  <c r="H46" i="9" s="1"/>
  <c r="K46" i="9" s="1"/>
  <c r="D47" i="9"/>
  <c r="E47" i="9" s="1"/>
  <c r="A48" i="9"/>
  <c r="F46" i="10" l="1"/>
  <c r="I46" i="10" s="1"/>
  <c r="J46" i="10" s="1"/>
  <c r="F47" i="9"/>
  <c r="J43" i="11"/>
  <c r="H43" i="11"/>
  <c r="K43" i="11" s="1"/>
  <c r="G44" i="11"/>
  <c r="A57" i="16"/>
  <c r="A49" i="12"/>
  <c r="F44" i="11"/>
  <c r="I44" i="11" s="1"/>
  <c r="J44" i="11" s="1"/>
  <c r="C45" i="11"/>
  <c r="D45" i="11"/>
  <c r="E45" i="11" s="1"/>
  <c r="A50" i="11"/>
  <c r="H46" i="10"/>
  <c r="K46" i="10" s="1"/>
  <c r="G46" i="10"/>
  <c r="A48" i="10"/>
  <c r="D48" i="10" s="1"/>
  <c r="E47" i="10"/>
  <c r="H47" i="9"/>
  <c r="K47" i="9" s="1"/>
  <c r="G47" i="9"/>
  <c r="I46" i="9"/>
  <c r="J46" i="9" s="1"/>
  <c r="D48" i="9"/>
  <c r="E48" i="9" s="1"/>
  <c r="I47" i="9"/>
  <c r="J47" i="9" s="1"/>
  <c r="A49" i="9"/>
  <c r="F47" i="10" l="1"/>
  <c r="I47" i="10" s="1"/>
  <c r="J47" i="10" s="1"/>
  <c r="F48" i="9"/>
  <c r="H48" i="9" s="1"/>
  <c r="K48" i="9"/>
  <c r="A58" i="16"/>
  <c r="A50" i="12"/>
  <c r="F45" i="11"/>
  <c r="G45" i="11"/>
  <c r="C46" i="11"/>
  <c r="D46" i="11"/>
  <c r="E46" i="11" s="1"/>
  <c r="H44" i="11"/>
  <c r="K44" i="11" s="1"/>
  <c r="A51" i="11"/>
  <c r="H47" i="10"/>
  <c r="K47" i="10" s="1"/>
  <c r="A49" i="10"/>
  <c r="D49" i="10" s="1"/>
  <c r="E48" i="10"/>
  <c r="G47" i="10"/>
  <c r="G48" i="9"/>
  <c r="D49" i="9"/>
  <c r="E49" i="9" s="1"/>
  <c r="I48" i="9"/>
  <c r="J48" i="9" s="1"/>
  <c r="A50" i="9"/>
  <c r="O5" i="16" l="1"/>
  <c r="O4" i="16"/>
  <c r="F49" i="9"/>
  <c r="H49" i="9" s="1"/>
  <c r="K49" i="9" s="1"/>
  <c r="F48" i="10"/>
  <c r="I48" i="10" s="1"/>
  <c r="J48" i="10" s="1"/>
  <c r="G46" i="11"/>
  <c r="H45" i="11"/>
  <c r="K45" i="11" s="1"/>
  <c r="I45" i="11"/>
  <c r="J45" i="11" s="1"/>
  <c r="A51" i="12"/>
  <c r="F46" i="11"/>
  <c r="I46" i="11" s="1"/>
  <c r="C47" i="11"/>
  <c r="D47" i="11"/>
  <c r="E47" i="11" s="1"/>
  <c r="A52" i="11"/>
  <c r="H48" i="10"/>
  <c r="K48" i="10" s="1"/>
  <c r="G48" i="10"/>
  <c r="A50" i="10"/>
  <c r="D50" i="10" s="1"/>
  <c r="E49" i="10"/>
  <c r="G49" i="9"/>
  <c r="D50" i="9"/>
  <c r="E50" i="9" s="1"/>
  <c r="I49" i="9"/>
  <c r="J49" i="9" s="1"/>
  <c r="A51" i="9"/>
  <c r="D39" i="16" l="1"/>
  <c r="E39" i="16" s="1"/>
  <c r="F39" i="16" s="1"/>
  <c r="I39" i="16" s="1"/>
  <c r="D30" i="16"/>
  <c r="E30" i="16" s="1"/>
  <c r="F30" i="16" s="1"/>
  <c r="I30" i="16" s="1"/>
  <c r="D21" i="16"/>
  <c r="E21" i="16" s="1"/>
  <c r="F21" i="16" s="1"/>
  <c r="I21" i="16" s="1"/>
  <c r="D12" i="16"/>
  <c r="E12" i="16" s="1"/>
  <c r="F12" i="16" s="1"/>
  <c r="I12" i="16" s="1"/>
  <c r="D11" i="16"/>
  <c r="E11" i="16" s="1"/>
  <c r="F11" i="16" s="1"/>
  <c r="I11" i="16" s="1"/>
  <c r="D10" i="16"/>
  <c r="E10" i="16" s="1"/>
  <c r="F10" i="16" s="1"/>
  <c r="I10" i="16" s="1"/>
  <c r="D8" i="16"/>
  <c r="E8" i="16" s="1"/>
  <c r="F8" i="16" s="1"/>
  <c r="I8" i="16" s="1"/>
  <c r="D3" i="16"/>
  <c r="E3" i="16" s="1"/>
  <c r="F3" i="16" s="1"/>
  <c r="I3" i="16" s="1"/>
  <c r="D57" i="16"/>
  <c r="E57" i="16" s="1"/>
  <c r="F57" i="16" s="1"/>
  <c r="I57" i="16" s="1"/>
  <c r="D5" i="16"/>
  <c r="E5" i="16" s="1"/>
  <c r="F5" i="16" s="1"/>
  <c r="I5" i="16" s="1"/>
  <c r="D58" i="16"/>
  <c r="E58" i="16" s="1"/>
  <c r="F58" i="16" s="1"/>
  <c r="I58" i="16" s="1"/>
  <c r="D49" i="16"/>
  <c r="E49" i="16" s="1"/>
  <c r="F49" i="16" s="1"/>
  <c r="I49" i="16" s="1"/>
  <c r="D40" i="16"/>
  <c r="E40" i="16" s="1"/>
  <c r="F40" i="16" s="1"/>
  <c r="I40" i="16" s="1"/>
  <c r="D36" i="16"/>
  <c r="E36" i="16" s="1"/>
  <c r="F36" i="16" s="1"/>
  <c r="I36" i="16" s="1"/>
  <c r="D28" i="16"/>
  <c r="E28" i="16" s="1"/>
  <c r="F28" i="16" s="1"/>
  <c r="I28" i="16" s="1"/>
  <c r="D25" i="16"/>
  <c r="E25" i="16" s="1"/>
  <c r="F25" i="16" s="1"/>
  <c r="I25" i="16" s="1"/>
  <c r="D18" i="16"/>
  <c r="E18" i="16" s="1"/>
  <c r="F18" i="16" s="1"/>
  <c r="I18" i="16" s="1"/>
  <c r="D31" i="16"/>
  <c r="E31" i="16" s="1"/>
  <c r="F31" i="16" s="1"/>
  <c r="I31" i="16" s="1"/>
  <c r="D22" i="16"/>
  <c r="E22" i="16" s="1"/>
  <c r="F22" i="16" s="1"/>
  <c r="I22" i="16" s="1"/>
  <c r="D13" i="16"/>
  <c r="E13" i="16" s="1"/>
  <c r="F13" i="16" s="1"/>
  <c r="I13" i="16" s="1"/>
  <c r="D4" i="16"/>
  <c r="E4" i="16" s="1"/>
  <c r="F4" i="16" s="1"/>
  <c r="I4" i="16" s="1"/>
  <c r="D2" i="16"/>
  <c r="E2" i="16" s="1"/>
  <c r="D14" i="16"/>
  <c r="E14" i="16" s="1"/>
  <c r="F14" i="16" s="1"/>
  <c r="I14" i="16" s="1"/>
  <c r="D56" i="16"/>
  <c r="E56" i="16" s="1"/>
  <c r="F56" i="16" s="1"/>
  <c r="I56" i="16" s="1"/>
  <c r="D17" i="16"/>
  <c r="E17" i="16" s="1"/>
  <c r="F17" i="16" s="1"/>
  <c r="I17" i="16" s="1"/>
  <c r="D35" i="16"/>
  <c r="E35" i="16" s="1"/>
  <c r="F35" i="16" s="1"/>
  <c r="I35" i="16" s="1"/>
  <c r="D33" i="16"/>
  <c r="E33" i="16" s="1"/>
  <c r="F33" i="16" s="1"/>
  <c r="I33" i="16" s="1"/>
  <c r="D26" i="16"/>
  <c r="E26" i="16" s="1"/>
  <c r="F26" i="16" s="1"/>
  <c r="I26" i="16" s="1"/>
  <c r="D38" i="16"/>
  <c r="E38" i="16" s="1"/>
  <c r="F38" i="16" s="1"/>
  <c r="I38" i="16" s="1"/>
  <c r="D23" i="16"/>
  <c r="E23" i="16" s="1"/>
  <c r="F23" i="16" s="1"/>
  <c r="I23" i="16" s="1"/>
  <c r="D59" i="16"/>
  <c r="D32" i="16"/>
  <c r="E32" i="16" s="1"/>
  <c r="F32" i="16" s="1"/>
  <c r="I32" i="16" s="1"/>
  <c r="D46" i="16"/>
  <c r="E46" i="16" s="1"/>
  <c r="F46" i="16" s="1"/>
  <c r="I46" i="16" s="1"/>
  <c r="D20" i="16"/>
  <c r="E20" i="16" s="1"/>
  <c r="F20" i="16" s="1"/>
  <c r="I20" i="16" s="1"/>
  <c r="D15" i="16"/>
  <c r="E15" i="16" s="1"/>
  <c r="F15" i="16" s="1"/>
  <c r="I15" i="16" s="1"/>
  <c r="D6" i="16"/>
  <c r="E6" i="16" s="1"/>
  <c r="F6" i="16" s="1"/>
  <c r="I6" i="16" s="1"/>
  <c r="D52" i="16"/>
  <c r="E52" i="16" s="1"/>
  <c r="F52" i="16" s="1"/>
  <c r="I52" i="16" s="1"/>
  <c r="D51" i="16"/>
  <c r="E51" i="16" s="1"/>
  <c r="F51" i="16" s="1"/>
  <c r="I51" i="16" s="1"/>
  <c r="D50" i="16"/>
  <c r="E50" i="16" s="1"/>
  <c r="F50" i="16" s="1"/>
  <c r="I50" i="16" s="1"/>
  <c r="D48" i="16"/>
  <c r="E48" i="16" s="1"/>
  <c r="F48" i="16" s="1"/>
  <c r="I48" i="16" s="1"/>
  <c r="D41" i="16"/>
  <c r="E41" i="16" s="1"/>
  <c r="F41" i="16" s="1"/>
  <c r="I41" i="16" s="1"/>
  <c r="D44" i="16"/>
  <c r="E44" i="16" s="1"/>
  <c r="F44" i="16" s="1"/>
  <c r="I44" i="16" s="1"/>
  <c r="D34" i="16"/>
  <c r="E34" i="16" s="1"/>
  <c r="F34" i="16" s="1"/>
  <c r="I34" i="16" s="1"/>
  <c r="D37" i="16"/>
  <c r="E37" i="16" s="1"/>
  <c r="F37" i="16" s="1"/>
  <c r="I37" i="16" s="1"/>
  <c r="D24" i="16"/>
  <c r="E24" i="16" s="1"/>
  <c r="F24" i="16" s="1"/>
  <c r="I24" i="16" s="1"/>
  <c r="D16" i="16"/>
  <c r="E16" i="16" s="1"/>
  <c r="F16" i="16" s="1"/>
  <c r="I16" i="16" s="1"/>
  <c r="D7" i="16"/>
  <c r="E7" i="16" s="1"/>
  <c r="F7" i="16" s="1"/>
  <c r="I7" i="16" s="1"/>
  <c r="D53" i="16"/>
  <c r="E53" i="16" s="1"/>
  <c r="F53" i="16" s="1"/>
  <c r="I53" i="16" s="1"/>
  <c r="D43" i="16"/>
  <c r="E43" i="16" s="1"/>
  <c r="F43" i="16" s="1"/>
  <c r="I43" i="16" s="1"/>
  <c r="D42" i="16"/>
  <c r="E42" i="16" s="1"/>
  <c r="F42" i="16" s="1"/>
  <c r="I42" i="16" s="1"/>
  <c r="D45" i="16"/>
  <c r="E45" i="16" s="1"/>
  <c r="F45" i="16" s="1"/>
  <c r="I45" i="16" s="1"/>
  <c r="D27" i="16"/>
  <c r="E27" i="16" s="1"/>
  <c r="F27" i="16" s="1"/>
  <c r="I27" i="16" s="1"/>
  <c r="D19" i="16"/>
  <c r="E19" i="16" s="1"/>
  <c r="F19" i="16" s="1"/>
  <c r="I19" i="16" s="1"/>
  <c r="D9" i="16"/>
  <c r="E9" i="16" s="1"/>
  <c r="F9" i="16" s="1"/>
  <c r="I9" i="16" s="1"/>
  <c r="D54" i="16"/>
  <c r="E54" i="16" s="1"/>
  <c r="F54" i="16" s="1"/>
  <c r="I54" i="16" s="1"/>
  <c r="D29" i="16"/>
  <c r="E29" i="16" s="1"/>
  <c r="F29" i="16" s="1"/>
  <c r="I29" i="16" s="1"/>
  <c r="D55" i="16"/>
  <c r="E55" i="16" s="1"/>
  <c r="F55" i="16" s="1"/>
  <c r="I55" i="16" s="1"/>
  <c r="D47" i="16"/>
  <c r="E47" i="16" s="1"/>
  <c r="F47" i="16" s="1"/>
  <c r="I47" i="16" s="1"/>
  <c r="F50" i="9"/>
  <c r="H50" i="9" s="1"/>
  <c r="K50" i="9"/>
  <c r="F49" i="10"/>
  <c r="I49" i="10" s="1"/>
  <c r="J49" i="10" s="1"/>
  <c r="G47" i="11"/>
  <c r="J46" i="11"/>
  <c r="G58" i="16"/>
  <c r="A52" i="12"/>
  <c r="F47" i="11"/>
  <c r="C48" i="11"/>
  <c r="D48" i="11"/>
  <c r="E48" i="11" s="1"/>
  <c r="H46" i="11"/>
  <c r="K46" i="11" s="1"/>
  <c r="A53" i="11"/>
  <c r="G49" i="10"/>
  <c r="H49" i="10"/>
  <c r="K49" i="10" s="1"/>
  <c r="A51" i="10"/>
  <c r="D51" i="10" s="1"/>
  <c r="E50" i="10"/>
  <c r="G50" i="9"/>
  <c r="D51" i="9"/>
  <c r="E51" i="9" s="1"/>
  <c r="I50" i="9"/>
  <c r="J50" i="9" s="1"/>
  <c r="A52" i="9"/>
  <c r="G4" i="16" l="1"/>
  <c r="G3" i="16"/>
  <c r="G2" i="16"/>
  <c r="G5" i="16"/>
  <c r="F2" i="16"/>
  <c r="G6" i="16"/>
  <c r="G7" i="16"/>
  <c r="G8" i="16"/>
  <c r="G9" i="16"/>
  <c r="G10" i="16"/>
  <c r="G11" i="16"/>
  <c r="G12" i="16"/>
  <c r="G13" i="16"/>
  <c r="G14" i="16"/>
  <c r="G15" i="16"/>
  <c r="G16" i="16"/>
  <c r="G17" i="16"/>
  <c r="G18" i="16"/>
  <c r="G19" i="16"/>
  <c r="G20" i="16"/>
  <c r="G21" i="16"/>
  <c r="G22" i="16"/>
  <c r="G23" i="16"/>
  <c r="G24" i="16"/>
  <c r="G25" i="16"/>
  <c r="G27" i="16"/>
  <c r="G26" i="16"/>
  <c r="G28" i="16"/>
  <c r="G29" i="16"/>
  <c r="G30" i="16"/>
  <c r="G31" i="16"/>
  <c r="G32" i="16"/>
  <c r="G33" i="16"/>
  <c r="G34" i="16"/>
  <c r="G36" i="16"/>
  <c r="G35" i="16"/>
  <c r="G37" i="16"/>
  <c r="G38" i="16"/>
  <c r="G40" i="16"/>
  <c r="G39" i="16"/>
  <c r="G41" i="16"/>
  <c r="G42" i="16"/>
  <c r="G43" i="16"/>
  <c r="G44" i="16"/>
  <c r="G45" i="16"/>
  <c r="G46" i="16"/>
  <c r="G47" i="16"/>
  <c r="G48" i="16"/>
  <c r="G49" i="16"/>
  <c r="G50" i="16"/>
  <c r="G51" i="16"/>
  <c r="G52" i="16"/>
  <c r="G53" i="16"/>
  <c r="G55" i="16"/>
  <c r="G54" i="16"/>
  <c r="G56" i="16"/>
  <c r="G57" i="16"/>
  <c r="F51" i="9"/>
  <c r="H51" i="9" s="1"/>
  <c r="K51" i="9" s="1"/>
  <c r="F50" i="10"/>
  <c r="I50" i="10" s="1"/>
  <c r="J50" i="10" s="1"/>
  <c r="K50" i="10"/>
  <c r="H47" i="11"/>
  <c r="K47" i="11" s="1"/>
  <c r="I47" i="11"/>
  <c r="J47" i="11" s="1"/>
  <c r="A53" i="12"/>
  <c r="F48" i="11"/>
  <c r="G48" i="11"/>
  <c r="C49" i="11"/>
  <c r="D49" i="11"/>
  <c r="E49" i="11" s="1"/>
  <c r="A54" i="11"/>
  <c r="G50" i="10"/>
  <c r="H50" i="10"/>
  <c r="A52" i="10"/>
  <c r="D52" i="10" s="1"/>
  <c r="E51" i="10"/>
  <c r="G51" i="9"/>
  <c r="D52" i="9"/>
  <c r="E52" i="9" s="1"/>
  <c r="I51" i="9"/>
  <c r="J51" i="9" s="1"/>
  <c r="A53" i="9"/>
  <c r="H2" i="16" l="1"/>
  <c r="K2" i="16" s="1"/>
  <c r="I2" i="16"/>
  <c r="H5" i="16"/>
  <c r="K5" i="16" s="1"/>
  <c r="H3" i="16"/>
  <c r="K3" i="16" s="1"/>
  <c r="H4" i="16"/>
  <c r="K4" i="16" s="1"/>
  <c r="H6" i="16"/>
  <c r="K6" i="16" s="1"/>
  <c r="H7" i="16"/>
  <c r="K7" i="16" s="1"/>
  <c r="H8" i="16"/>
  <c r="K8" i="16" s="1"/>
  <c r="H9" i="16"/>
  <c r="K9" i="16" s="1"/>
  <c r="H10" i="16"/>
  <c r="K10" i="16" s="1"/>
  <c r="H11" i="16"/>
  <c r="K11" i="16" s="1"/>
  <c r="H12" i="16"/>
  <c r="K12" i="16" s="1"/>
  <c r="H13" i="16"/>
  <c r="K13" i="16" s="1"/>
  <c r="H14" i="16"/>
  <c r="K14" i="16" s="1"/>
  <c r="H15" i="16"/>
  <c r="K15" i="16" s="1"/>
  <c r="H16" i="16"/>
  <c r="K16" i="16" s="1"/>
  <c r="H17" i="16"/>
  <c r="K17" i="16" s="1"/>
  <c r="H18" i="16"/>
  <c r="K18" i="16" s="1"/>
  <c r="H19" i="16"/>
  <c r="K19" i="16" s="1"/>
  <c r="H20" i="16"/>
  <c r="K20" i="16" s="1"/>
  <c r="H21" i="16"/>
  <c r="K21" i="16" s="1"/>
  <c r="H22" i="16"/>
  <c r="K22" i="16" s="1"/>
  <c r="H23" i="16"/>
  <c r="K23" i="16" s="1"/>
  <c r="H24" i="16"/>
  <c r="K24" i="16" s="1"/>
  <c r="H25" i="16"/>
  <c r="K25" i="16" s="1"/>
  <c r="H26" i="16"/>
  <c r="K26" i="16" s="1"/>
  <c r="H27" i="16"/>
  <c r="K27" i="16" s="1"/>
  <c r="H28" i="16"/>
  <c r="K28" i="16" s="1"/>
  <c r="H29" i="16"/>
  <c r="K29" i="16" s="1"/>
  <c r="H30" i="16"/>
  <c r="K30" i="16" s="1"/>
  <c r="H31" i="16"/>
  <c r="K31" i="16" s="1"/>
  <c r="H32" i="16"/>
  <c r="K32" i="16" s="1"/>
  <c r="H33" i="16"/>
  <c r="K33" i="16" s="1"/>
  <c r="H34" i="16"/>
  <c r="K34" i="16" s="1"/>
  <c r="H35" i="16"/>
  <c r="K35" i="16" s="1"/>
  <c r="H36" i="16"/>
  <c r="K36" i="16" s="1"/>
  <c r="H37" i="16"/>
  <c r="K37" i="16" s="1"/>
  <c r="H38" i="16"/>
  <c r="K38" i="16" s="1"/>
  <c r="H40" i="16"/>
  <c r="K40" i="16" s="1"/>
  <c r="H39" i="16"/>
  <c r="K39" i="16" s="1"/>
  <c r="H41" i="16"/>
  <c r="K41" i="16" s="1"/>
  <c r="H42" i="16"/>
  <c r="K42" i="16" s="1"/>
  <c r="H43" i="16"/>
  <c r="K43" i="16" s="1"/>
  <c r="H44" i="16"/>
  <c r="K44" i="16" s="1"/>
  <c r="H45" i="16"/>
  <c r="K45" i="16" s="1"/>
  <c r="H46" i="16"/>
  <c r="K46" i="16" s="1"/>
  <c r="H47" i="16"/>
  <c r="K47" i="16" s="1"/>
  <c r="H48" i="16"/>
  <c r="K48" i="16" s="1"/>
  <c r="H49" i="16"/>
  <c r="K49" i="16" s="1"/>
  <c r="H50" i="16"/>
  <c r="K50" i="16" s="1"/>
  <c r="H51" i="16"/>
  <c r="K51" i="16" s="1"/>
  <c r="H52" i="16"/>
  <c r="K52" i="16" s="1"/>
  <c r="H53" i="16"/>
  <c r="K53" i="16" s="1"/>
  <c r="H54" i="16"/>
  <c r="K54" i="16" s="1"/>
  <c r="H55" i="16"/>
  <c r="K55" i="16" s="1"/>
  <c r="H56" i="16"/>
  <c r="K56" i="16" s="1"/>
  <c r="H57" i="16"/>
  <c r="K57" i="16" s="1"/>
  <c r="H58" i="16"/>
  <c r="F52" i="9"/>
  <c r="H52" i="9" s="1"/>
  <c r="K52" i="9"/>
  <c r="F51" i="10"/>
  <c r="I51" i="10" s="1"/>
  <c r="J51" i="10" s="1"/>
  <c r="F49" i="11"/>
  <c r="I49" i="11" s="1"/>
  <c r="H48" i="11"/>
  <c r="K48" i="11" s="1"/>
  <c r="I48" i="11"/>
  <c r="J48" i="11" s="1"/>
  <c r="A54" i="12"/>
  <c r="G49" i="11"/>
  <c r="C50" i="11"/>
  <c r="D50" i="11"/>
  <c r="E50" i="11" s="1"/>
  <c r="A55" i="11"/>
  <c r="H51" i="10"/>
  <c r="K51" i="10" s="1"/>
  <c r="G51" i="10"/>
  <c r="A53" i="10"/>
  <c r="D53" i="10" s="1"/>
  <c r="E52" i="10"/>
  <c r="G52" i="9"/>
  <c r="D53" i="9"/>
  <c r="E53" i="9" s="1"/>
  <c r="I52" i="9"/>
  <c r="J52" i="9" s="1"/>
  <c r="A54" i="9"/>
  <c r="K58" i="16" l="1"/>
  <c r="H61" i="16"/>
  <c r="B4" i="13"/>
  <c r="F4" i="13" s="1"/>
  <c r="J2" i="16"/>
  <c r="J3" i="16"/>
  <c r="J5" i="16"/>
  <c r="J4" i="16"/>
  <c r="J7" i="16"/>
  <c r="J8" i="16"/>
  <c r="J9" i="16"/>
  <c r="J10" i="16"/>
  <c r="J12" i="16"/>
  <c r="J53" i="16"/>
  <c r="J16" i="16"/>
  <c r="J52" i="16"/>
  <c r="J26" i="16"/>
  <c r="J58" i="16"/>
  <c r="C4" i="13" s="1"/>
  <c r="J30" i="16"/>
  <c r="J39" i="16"/>
  <c r="J21" i="16"/>
  <c r="J47" i="16"/>
  <c r="J48" i="16"/>
  <c r="J51" i="16"/>
  <c r="J38" i="16"/>
  <c r="J13" i="16"/>
  <c r="J55" i="16"/>
  <c r="J49" i="16"/>
  <c r="J32" i="16"/>
  <c r="J23" i="16"/>
  <c r="J40" i="16"/>
  <c r="J43" i="16"/>
  <c r="J33" i="16"/>
  <c r="J24" i="16"/>
  <c r="J31" i="16"/>
  <c r="J56" i="16"/>
  <c r="J11" i="16"/>
  <c r="J45" i="16"/>
  <c r="J42" i="16"/>
  <c r="J41" i="16"/>
  <c r="J25" i="16"/>
  <c r="J36" i="16"/>
  <c r="J54" i="16"/>
  <c r="J34" i="16"/>
  <c r="J44" i="16"/>
  <c r="J46" i="16"/>
  <c r="J15" i="16"/>
  <c r="J17" i="16"/>
  <c r="J19" i="16"/>
  <c r="J18" i="16"/>
  <c r="J22" i="16"/>
  <c r="J50" i="16"/>
  <c r="J29" i="16"/>
  <c r="J27" i="16"/>
  <c r="J20" i="16"/>
  <c r="J37" i="16"/>
  <c r="J6" i="16"/>
  <c r="J57" i="16"/>
  <c r="J14" i="16"/>
  <c r="J35" i="16"/>
  <c r="J28" i="16"/>
  <c r="G53" i="9"/>
  <c r="F52" i="10"/>
  <c r="I52" i="10" s="1"/>
  <c r="J52" i="10" s="1"/>
  <c r="H49" i="11"/>
  <c r="K49" i="11" s="1"/>
  <c r="G50" i="11"/>
  <c r="J49" i="11"/>
  <c r="A55" i="12"/>
  <c r="F50" i="11"/>
  <c r="I50" i="11" s="1"/>
  <c r="J50" i="11" s="1"/>
  <c r="C51" i="11"/>
  <c r="D51" i="11"/>
  <c r="E51" i="11" s="1"/>
  <c r="A56" i="11"/>
  <c r="G52" i="10"/>
  <c r="H52" i="10"/>
  <c r="K52" i="10" s="1"/>
  <c r="A54" i="10"/>
  <c r="D54" i="10" s="1"/>
  <c r="E53" i="10"/>
  <c r="F53" i="9"/>
  <c r="D54" i="9"/>
  <c r="E54" i="9" s="1"/>
  <c r="A55" i="9"/>
  <c r="E4" i="13" l="1"/>
  <c r="G4" i="13" s="1"/>
  <c r="D4" i="13"/>
  <c r="F54" i="9"/>
  <c r="K54" i="9"/>
  <c r="F53" i="10"/>
  <c r="I53" i="10" s="1"/>
  <c r="J53" i="10" s="1"/>
  <c r="F51" i="11"/>
  <c r="I51" i="11" s="1"/>
  <c r="J51" i="11" s="1"/>
  <c r="A56" i="12"/>
  <c r="G51" i="11"/>
  <c r="C52" i="11"/>
  <c r="D52" i="11"/>
  <c r="E52" i="11" s="1"/>
  <c r="H50" i="11"/>
  <c r="K50" i="11" s="1"/>
  <c r="A57" i="11"/>
  <c r="H53" i="10"/>
  <c r="K53" i="10" s="1"/>
  <c r="G53" i="10"/>
  <c r="A55" i="10"/>
  <c r="D55" i="10" s="1"/>
  <c r="E54" i="10"/>
  <c r="H53" i="9"/>
  <c r="K53" i="9" s="1"/>
  <c r="H54" i="9"/>
  <c r="I53" i="9"/>
  <c r="J53" i="9" s="1"/>
  <c r="G54" i="9"/>
  <c r="D55" i="9"/>
  <c r="E55" i="9" s="1"/>
  <c r="I54" i="9"/>
  <c r="J54" i="9" s="1"/>
  <c r="A56" i="9"/>
  <c r="F54" i="10" l="1"/>
  <c r="I54" i="10" s="1"/>
  <c r="J54" i="10" s="1"/>
  <c r="F55" i="9"/>
  <c r="H55" i="9" s="1"/>
  <c r="K55" i="9" s="1"/>
  <c r="H51" i="11"/>
  <c r="K51" i="11" s="1"/>
  <c r="G52" i="11"/>
  <c r="A57" i="12"/>
  <c r="F52" i="11"/>
  <c r="I52" i="11" s="1"/>
  <c r="J52" i="11" s="1"/>
  <c r="C53" i="11"/>
  <c r="D53" i="11"/>
  <c r="E53" i="11" s="1"/>
  <c r="A58" i="11"/>
  <c r="G54" i="10"/>
  <c r="H54" i="10"/>
  <c r="K54" i="10" s="1"/>
  <c r="E55" i="10"/>
  <c r="A56" i="10"/>
  <c r="D56" i="10" s="1"/>
  <c r="G55" i="9"/>
  <c r="D56" i="9"/>
  <c r="E56" i="9" s="1"/>
  <c r="I55" i="9"/>
  <c r="J55" i="9" s="1"/>
  <c r="A57" i="9"/>
  <c r="F55" i="10" l="1"/>
  <c r="I55" i="10" s="1"/>
  <c r="J55" i="10" s="1"/>
  <c r="F56" i="9"/>
  <c r="H56" i="9" s="1"/>
  <c r="K56" i="9"/>
  <c r="A58" i="12"/>
  <c r="F53" i="11"/>
  <c r="C54" i="11"/>
  <c r="D54" i="11"/>
  <c r="E54" i="11" s="1"/>
  <c r="G53" i="11"/>
  <c r="H52" i="11"/>
  <c r="K52" i="11" s="1"/>
  <c r="A59" i="11"/>
  <c r="A57" i="10"/>
  <c r="D57" i="10" s="1"/>
  <c r="E56" i="10"/>
  <c r="G55" i="10"/>
  <c r="H55" i="10"/>
  <c r="K55" i="10" s="1"/>
  <c r="G56" i="9"/>
  <c r="D57" i="9"/>
  <c r="E57" i="9" s="1"/>
  <c r="I56" i="9"/>
  <c r="J56" i="9" s="1"/>
  <c r="A58" i="9"/>
  <c r="F57" i="9" l="1"/>
  <c r="H57" i="9" s="1"/>
  <c r="K57" i="9" s="1"/>
  <c r="F56" i="10"/>
  <c r="I56" i="10" s="1"/>
  <c r="J56" i="10" s="1"/>
  <c r="H53" i="11"/>
  <c r="K53" i="11" s="1"/>
  <c r="I53" i="11"/>
  <c r="J53" i="11" s="1"/>
  <c r="G54" i="11"/>
  <c r="A59" i="12"/>
  <c r="F54" i="11"/>
  <c r="I54" i="11" s="1"/>
  <c r="C55" i="11"/>
  <c r="D55" i="11"/>
  <c r="E55" i="11" s="1"/>
  <c r="A58" i="10"/>
  <c r="D58" i="10" s="1"/>
  <c r="E57" i="10"/>
  <c r="G56" i="10"/>
  <c r="H56" i="10"/>
  <c r="K56" i="10" s="1"/>
  <c r="G57" i="9"/>
  <c r="D58" i="9"/>
  <c r="E58" i="9" s="1"/>
  <c r="I57" i="9"/>
  <c r="J57" i="9" s="1"/>
  <c r="F57" i="10" l="1"/>
  <c r="I57" i="10" s="1"/>
  <c r="J57" i="10" s="1"/>
  <c r="F58" i="9"/>
  <c r="H58" i="9" s="1"/>
  <c r="B5" i="13" s="1"/>
  <c r="J54" i="11"/>
  <c r="C2" i="12"/>
  <c r="D2" i="12"/>
  <c r="F55" i="11"/>
  <c r="G55" i="11"/>
  <c r="C56" i="11"/>
  <c r="D56" i="11"/>
  <c r="E56" i="11" s="1"/>
  <c r="H54" i="11"/>
  <c r="K54" i="11" s="1"/>
  <c r="H57" i="10"/>
  <c r="K57" i="10" s="1"/>
  <c r="G57" i="10"/>
  <c r="E58" i="10"/>
  <c r="G58" i="9"/>
  <c r="K58" i="9" l="1"/>
  <c r="F58" i="10"/>
  <c r="I58" i="9"/>
  <c r="G56" i="11"/>
  <c r="H55" i="11"/>
  <c r="K55" i="11" s="1"/>
  <c r="I55" i="11"/>
  <c r="J55" i="11" s="1"/>
  <c r="D5" i="13"/>
  <c r="E5" i="13"/>
  <c r="E3" i="12"/>
  <c r="F3" i="12" s="1"/>
  <c r="C3" i="12"/>
  <c r="F56" i="11"/>
  <c r="C57" i="11"/>
  <c r="D57" i="11"/>
  <c r="E57" i="11" s="1"/>
  <c r="H58" i="10"/>
  <c r="K58" i="10" s="1"/>
  <c r="G58" i="10"/>
  <c r="J58" i="9" l="1"/>
  <c r="C5" i="13" s="1"/>
  <c r="H3" i="12"/>
  <c r="I58" i="10"/>
  <c r="J58" i="10" s="1"/>
  <c r="H56" i="11"/>
  <c r="K56" i="11" s="1"/>
  <c r="I56" i="11"/>
  <c r="J56" i="11" s="1"/>
  <c r="D3" i="12"/>
  <c r="E4" i="12" s="1"/>
  <c r="G3" i="12"/>
  <c r="F57" i="11"/>
  <c r="G57" i="11"/>
  <c r="C58" i="11"/>
  <c r="C59" i="11" s="1"/>
  <c r="D58" i="11"/>
  <c r="E58" i="11" s="1"/>
  <c r="I3" i="12" l="1"/>
  <c r="L3" i="12" s="1"/>
  <c r="J3" i="12"/>
  <c r="K3" i="12" s="1"/>
  <c r="H57" i="11"/>
  <c r="K57" i="11" s="1"/>
  <c r="I57" i="11"/>
  <c r="J57" i="11" s="1"/>
  <c r="F58" i="11"/>
  <c r="I58" i="11" s="1"/>
  <c r="G58" i="11"/>
  <c r="D60" i="11"/>
  <c r="D59" i="11"/>
  <c r="E59" i="11" s="1"/>
  <c r="J58" i="11" l="1"/>
  <c r="H58" i="11"/>
  <c r="K58" i="11" s="1"/>
  <c r="F59" i="11"/>
  <c r="I59" i="11" s="1"/>
  <c r="J59" i="11" s="1"/>
  <c r="G59" i="11"/>
  <c r="C6" i="13" l="1"/>
  <c r="H59" i="11"/>
  <c r="K59" i="11" s="1"/>
  <c r="C66" i="11" l="1"/>
  <c r="C65" i="11"/>
  <c r="E6" i="13"/>
  <c r="B6" i="13"/>
  <c r="F6" i="13" s="1"/>
  <c r="D6" i="13" l="1"/>
  <c r="G6" i="13" l="1"/>
  <c r="F5" i="13" l="1"/>
  <c r="G5" i="13" l="1"/>
  <c r="F4" i="12" l="1"/>
  <c r="H4" i="12" l="1"/>
  <c r="G4" i="12"/>
  <c r="J4" i="12" s="1"/>
  <c r="K4" i="12" l="1"/>
  <c r="I4" i="12"/>
  <c r="L4" i="12" s="1"/>
  <c r="C4" i="12"/>
  <c r="D4" i="12" l="1"/>
  <c r="C5" i="12" s="1"/>
  <c r="D5" i="12" l="1"/>
  <c r="E6" i="12" s="1"/>
  <c r="F6" i="12" s="1"/>
  <c r="G6" i="12" s="1"/>
  <c r="J6" i="12" s="1"/>
  <c r="E5" i="12"/>
  <c r="F5" i="12" s="1"/>
  <c r="H5" i="12" l="1"/>
  <c r="C6" i="12"/>
  <c r="D6" i="12" s="1"/>
  <c r="E7" i="12" s="1"/>
  <c r="F7" i="12" s="1"/>
  <c r="G7" i="12" s="1"/>
  <c r="J7" i="12" s="1"/>
  <c r="H6" i="12"/>
  <c r="G5" i="12"/>
  <c r="I6" i="12" l="1"/>
  <c r="L6" i="12" s="1"/>
  <c r="J5" i="12"/>
  <c r="I5" i="12"/>
  <c r="L5" i="12" s="1"/>
  <c r="C7" i="12"/>
  <c r="D7" i="12" s="1"/>
  <c r="C8" i="12" s="1"/>
  <c r="I7" i="12"/>
  <c r="L7" i="12" s="1"/>
  <c r="H7" i="12"/>
  <c r="K5" i="12" l="1"/>
  <c r="K7" i="12"/>
  <c r="K6" i="12"/>
  <c r="E8" i="12"/>
  <c r="F8" i="12" s="1"/>
  <c r="D8" i="12"/>
  <c r="C9" i="12" s="1"/>
  <c r="E9" i="12" l="1"/>
  <c r="F9" i="12" s="1"/>
  <c r="G9" i="12" s="1"/>
  <c r="J9" i="12" s="1"/>
  <c r="H8" i="12"/>
  <c r="G8" i="12"/>
  <c r="J8" i="12" s="1"/>
  <c r="D9" i="12"/>
  <c r="C10" i="12" s="1"/>
  <c r="K8" i="12" l="1"/>
  <c r="K9" i="12"/>
  <c r="H9" i="12"/>
  <c r="E10" i="12"/>
  <c r="F10" i="12" s="1"/>
  <c r="I8" i="12"/>
  <c r="L8" i="12" s="1"/>
  <c r="I9" i="12"/>
  <c r="L9" i="12" s="1"/>
  <c r="D10" i="12"/>
  <c r="C11" i="12" s="1"/>
  <c r="E11" i="12" l="1"/>
  <c r="F11" i="12" s="1"/>
  <c r="G11" i="12" s="1"/>
  <c r="J11" i="12" s="1"/>
  <c r="H10" i="12"/>
  <c r="G10" i="12"/>
  <c r="J10" i="12" s="1"/>
  <c r="D11" i="12"/>
  <c r="C12" i="12" s="1"/>
  <c r="K11" i="12" l="1"/>
  <c r="K10" i="12"/>
  <c r="H11" i="12"/>
  <c r="I10" i="12"/>
  <c r="L10" i="12" s="1"/>
  <c r="I11" i="12"/>
  <c r="L11" i="12" s="1"/>
  <c r="E12" i="12"/>
  <c r="F12" i="12" s="1"/>
  <c r="D12" i="12"/>
  <c r="C13" i="12" s="1"/>
  <c r="E13" i="12" l="1"/>
  <c r="F13" i="12" s="1"/>
  <c r="H12" i="12"/>
  <c r="G12" i="12"/>
  <c r="J12" i="12" s="1"/>
  <c r="D13" i="12"/>
  <c r="C14" i="12" s="1"/>
  <c r="K12" i="12" l="1"/>
  <c r="G13" i="12"/>
  <c r="J13" i="12" s="1"/>
  <c r="K13" i="12" s="1"/>
  <c r="H13" i="12"/>
  <c r="I12" i="12"/>
  <c r="L12" i="12" s="1"/>
  <c r="E14" i="12"/>
  <c r="F14" i="12" s="1"/>
  <c r="D14" i="12"/>
  <c r="C15" i="12" s="1"/>
  <c r="E15" i="12" l="1"/>
  <c r="F15" i="12" s="1"/>
  <c r="I13" i="12"/>
  <c r="L13" i="12" s="1"/>
  <c r="G14" i="12"/>
  <c r="J14" i="12" s="1"/>
  <c r="K14" i="12" s="1"/>
  <c r="H14" i="12"/>
  <c r="D15" i="12"/>
  <c r="C16" i="12" s="1"/>
  <c r="G15" i="12" l="1"/>
  <c r="J15" i="12" s="1"/>
  <c r="K15" i="12" s="1"/>
  <c r="H15" i="12"/>
  <c r="E16" i="12"/>
  <c r="F16" i="12" s="1"/>
  <c r="I14" i="12"/>
  <c r="L14" i="12" s="1"/>
  <c r="D16" i="12"/>
  <c r="C17" i="12" s="1"/>
  <c r="I15" i="12" l="1"/>
  <c r="L15" i="12" s="1"/>
  <c r="H16" i="12"/>
  <c r="G16" i="12"/>
  <c r="J16" i="12" s="1"/>
  <c r="K16" i="12" s="1"/>
  <c r="E17" i="12"/>
  <c r="F17" i="12" s="1"/>
  <c r="D17" i="12"/>
  <c r="C18" i="12" s="1"/>
  <c r="G17" i="12" l="1"/>
  <c r="J17" i="12" s="1"/>
  <c r="K17" i="12" s="1"/>
  <c r="H17" i="12"/>
  <c r="E18" i="12"/>
  <c r="F18" i="12" s="1"/>
  <c r="I16" i="12"/>
  <c r="L16" i="12" s="1"/>
  <c r="D18" i="12"/>
  <c r="C19" i="12" s="1"/>
  <c r="I17" i="12" l="1"/>
  <c r="L17" i="12" s="1"/>
  <c r="E19" i="12"/>
  <c r="F19" i="12" s="1"/>
  <c r="H18" i="12"/>
  <c r="G18" i="12"/>
  <c r="J18" i="12" s="1"/>
  <c r="K18" i="12" s="1"/>
  <c r="D19" i="12"/>
  <c r="C20" i="12" s="1"/>
  <c r="G19" i="12" l="1"/>
  <c r="J19" i="12" s="1"/>
  <c r="K19" i="12" s="1"/>
  <c r="H19" i="12"/>
  <c r="E20" i="12"/>
  <c r="F20" i="12" s="1"/>
  <c r="I18" i="12"/>
  <c r="L18" i="12" s="1"/>
  <c r="D20" i="12"/>
  <c r="C21" i="12" s="1"/>
  <c r="G20" i="12" l="1"/>
  <c r="J20" i="12" s="1"/>
  <c r="K20" i="12" s="1"/>
  <c r="H20" i="12"/>
  <c r="E21" i="12"/>
  <c r="F21" i="12" s="1"/>
  <c r="I19" i="12"/>
  <c r="L19" i="12" s="1"/>
  <c r="D21" i="12"/>
  <c r="C22" i="12" s="1"/>
  <c r="I20" i="12" l="1"/>
  <c r="L20" i="12" s="1"/>
  <c r="E22" i="12"/>
  <c r="F22" i="12" s="1"/>
  <c r="G21" i="12"/>
  <c r="J21" i="12" s="1"/>
  <c r="K21" i="12" s="1"/>
  <c r="H21" i="12"/>
  <c r="D22" i="12"/>
  <c r="C23" i="12" s="1"/>
  <c r="G22" i="12" l="1"/>
  <c r="J22" i="12" s="1"/>
  <c r="K22" i="12" s="1"/>
  <c r="H22" i="12"/>
  <c r="I21" i="12"/>
  <c r="L21" i="12" s="1"/>
  <c r="E23" i="12"/>
  <c r="F23" i="12" s="1"/>
  <c r="D23" i="12"/>
  <c r="C24" i="12" s="1"/>
  <c r="I22" i="12" l="1"/>
  <c r="L22" i="12" s="1"/>
  <c r="G23" i="12"/>
  <c r="J23" i="12" s="1"/>
  <c r="K23" i="12" s="1"/>
  <c r="H23" i="12"/>
  <c r="E24" i="12"/>
  <c r="F24" i="12" s="1"/>
  <c r="D24" i="12"/>
  <c r="C25" i="12" s="1"/>
  <c r="I23" i="12" l="1"/>
  <c r="L23" i="12" s="1"/>
  <c r="H24" i="12"/>
  <c r="G24" i="12"/>
  <c r="J24" i="12" s="1"/>
  <c r="K24" i="12" s="1"/>
  <c r="E25" i="12"/>
  <c r="F25" i="12" s="1"/>
  <c r="D25" i="12"/>
  <c r="C26" i="12" s="1"/>
  <c r="I24" i="12" l="1"/>
  <c r="L24" i="12" s="1"/>
  <c r="E26" i="12"/>
  <c r="F26" i="12" s="1"/>
  <c r="D26" i="12"/>
  <c r="C27" i="12" s="1"/>
  <c r="G25" i="12"/>
  <c r="J25" i="12" s="1"/>
  <c r="K25" i="12" s="1"/>
  <c r="H25" i="12"/>
  <c r="E27" i="12" l="1"/>
  <c r="F27" i="12" s="1"/>
  <c r="I25" i="12"/>
  <c r="L25" i="12" s="1"/>
  <c r="D27" i="12"/>
  <c r="C28" i="12" s="1"/>
  <c r="H26" i="12"/>
  <c r="G26" i="12"/>
  <c r="J26" i="12" s="1"/>
  <c r="K26" i="12" s="1"/>
  <c r="G27" i="12" l="1"/>
  <c r="J27" i="12" s="1"/>
  <c r="K27" i="12" s="1"/>
  <c r="H27" i="12"/>
  <c r="E28" i="12"/>
  <c r="F28" i="12" s="1"/>
  <c r="I26" i="12"/>
  <c r="L26" i="12" s="1"/>
  <c r="D28" i="12"/>
  <c r="C29" i="12" s="1"/>
  <c r="I27" i="12" l="1"/>
  <c r="L27" i="12" s="1"/>
  <c r="E29" i="12"/>
  <c r="F29" i="12" s="1"/>
  <c r="G28" i="12"/>
  <c r="J28" i="12" s="1"/>
  <c r="K28" i="12" s="1"/>
  <c r="H28" i="12"/>
  <c r="D29" i="12"/>
  <c r="C30" i="12" s="1"/>
  <c r="G29" i="12" l="1"/>
  <c r="J29" i="12" s="1"/>
  <c r="K29" i="12" s="1"/>
  <c r="H29" i="12"/>
  <c r="I28" i="12"/>
  <c r="L28" i="12" s="1"/>
  <c r="D30" i="12"/>
  <c r="C31" i="12" s="1"/>
  <c r="E30" i="12"/>
  <c r="F30" i="12" s="1"/>
  <c r="I29" i="12" l="1"/>
  <c r="L29" i="12" s="1"/>
  <c r="E31" i="12"/>
  <c r="F31" i="12" s="1"/>
  <c r="G30" i="12"/>
  <c r="J30" i="12" s="1"/>
  <c r="K30" i="12" s="1"/>
  <c r="H30" i="12"/>
  <c r="D31" i="12"/>
  <c r="C32" i="12" s="1"/>
  <c r="E32" i="12" l="1"/>
  <c r="F32" i="12" s="1"/>
  <c r="G31" i="12"/>
  <c r="J31" i="12" s="1"/>
  <c r="K31" i="12" s="1"/>
  <c r="H31" i="12"/>
  <c r="D32" i="12"/>
  <c r="C33" i="12" s="1"/>
  <c r="I30" i="12"/>
  <c r="L30" i="12" s="1"/>
  <c r="G32" i="12" l="1"/>
  <c r="J32" i="12" s="1"/>
  <c r="K32" i="12" s="1"/>
  <c r="H32" i="12"/>
  <c r="E33" i="12"/>
  <c r="F33" i="12" s="1"/>
  <c r="I31" i="12"/>
  <c r="L31" i="12" s="1"/>
  <c r="D33" i="12"/>
  <c r="C34" i="12" s="1"/>
  <c r="I32" i="12" l="1"/>
  <c r="L32" i="12" s="1"/>
  <c r="G33" i="12"/>
  <c r="H33" i="12"/>
  <c r="D34" i="12"/>
  <c r="C35" i="12" s="1"/>
  <c r="E34" i="12"/>
  <c r="F34" i="12" s="1"/>
  <c r="I33" i="12" l="1"/>
  <c r="L33" i="12" s="1"/>
  <c r="J33" i="12"/>
  <c r="K33" i="12" s="1"/>
  <c r="E35" i="12"/>
  <c r="F35" i="12" s="1"/>
  <c r="G34" i="12"/>
  <c r="J34" i="12" s="1"/>
  <c r="H34" i="12"/>
  <c r="D35" i="12"/>
  <c r="C36" i="12" s="1"/>
  <c r="K34" i="12" l="1"/>
  <c r="G35" i="12"/>
  <c r="J35" i="12" s="1"/>
  <c r="K35" i="12" s="1"/>
  <c r="H35" i="12"/>
  <c r="E36" i="12"/>
  <c r="F36" i="12" s="1"/>
  <c r="D36" i="12"/>
  <c r="C37" i="12" s="1"/>
  <c r="I34" i="12"/>
  <c r="L34" i="12" s="1"/>
  <c r="I35" i="12" l="1"/>
  <c r="L35" i="12" s="1"/>
  <c r="E37" i="12"/>
  <c r="F37" i="12" s="1"/>
  <c r="G36" i="12"/>
  <c r="J36" i="12" s="1"/>
  <c r="K36" i="12" s="1"/>
  <c r="H36" i="12"/>
  <c r="D37" i="12"/>
  <c r="C38" i="12" s="1"/>
  <c r="G37" i="12" l="1"/>
  <c r="J37" i="12" s="1"/>
  <c r="K37" i="12" s="1"/>
  <c r="H37" i="12"/>
  <c r="E38" i="12"/>
  <c r="F38" i="12" s="1"/>
  <c r="I36" i="12"/>
  <c r="L36" i="12" s="1"/>
  <c r="D38" i="12"/>
  <c r="C39" i="12" s="1"/>
  <c r="I37" i="12" l="1"/>
  <c r="L37" i="12" s="1"/>
  <c r="G38" i="12"/>
  <c r="H38" i="12"/>
  <c r="E39" i="12"/>
  <c r="F39" i="12" s="1"/>
  <c r="D39" i="12"/>
  <c r="E40" i="12" s="1"/>
  <c r="F40" i="12" s="1"/>
  <c r="I38" i="12" l="1"/>
  <c r="L38" i="12" s="1"/>
  <c r="J38" i="12"/>
  <c r="K38" i="12" s="1"/>
  <c r="H40" i="12"/>
  <c r="G40" i="12"/>
  <c r="J40" i="12" s="1"/>
  <c r="C40" i="12"/>
  <c r="D40" i="12" s="1"/>
  <c r="C41" i="12" s="1"/>
  <c r="H39" i="12"/>
  <c r="G39" i="12"/>
  <c r="J39" i="12" s="1"/>
  <c r="K40" i="12" l="1"/>
  <c r="K39" i="12"/>
  <c r="I40" i="12"/>
  <c r="L40" i="12" s="1"/>
  <c r="E41" i="12"/>
  <c r="F41" i="12" s="1"/>
  <c r="I39" i="12"/>
  <c r="L39" i="12" s="1"/>
  <c r="D41" i="12"/>
  <c r="C42" i="12" s="1"/>
  <c r="G41" i="12" l="1"/>
  <c r="H41" i="12"/>
  <c r="E42" i="12"/>
  <c r="F42" i="12" s="1"/>
  <c r="D42" i="12"/>
  <c r="C43" i="12" s="1"/>
  <c r="I41" i="12" l="1"/>
  <c r="L41" i="12" s="1"/>
  <c r="J41" i="12"/>
  <c r="K41" i="12" s="1"/>
  <c r="E43" i="12"/>
  <c r="F43" i="12" s="1"/>
  <c r="H42" i="12"/>
  <c r="G42" i="12"/>
  <c r="J42" i="12" s="1"/>
  <c r="D43" i="12"/>
  <c r="C44" i="12" s="1"/>
  <c r="K42" i="12" l="1"/>
  <c r="G43" i="12"/>
  <c r="J43" i="12" s="1"/>
  <c r="K43" i="12" s="1"/>
  <c r="H43" i="12"/>
  <c r="I42" i="12"/>
  <c r="L42" i="12" s="1"/>
  <c r="E44" i="12"/>
  <c r="F44" i="12" s="1"/>
  <c r="D44" i="12"/>
  <c r="C45" i="12" s="1"/>
  <c r="I43" i="12" l="1"/>
  <c r="L43" i="12" s="1"/>
  <c r="E45" i="12"/>
  <c r="F45" i="12" s="1"/>
  <c r="G44" i="12"/>
  <c r="J44" i="12" s="1"/>
  <c r="K44" i="12" s="1"/>
  <c r="H44" i="12"/>
  <c r="D45" i="12"/>
  <c r="C46" i="12" s="1"/>
  <c r="G45" i="12" l="1"/>
  <c r="J45" i="12" s="1"/>
  <c r="K45" i="12" s="1"/>
  <c r="H45" i="12"/>
  <c r="E46" i="12"/>
  <c r="F46" i="12" s="1"/>
  <c r="I44" i="12"/>
  <c r="L44" i="12" s="1"/>
  <c r="D46" i="12"/>
  <c r="C47" i="12" s="1"/>
  <c r="E47" i="12" l="1"/>
  <c r="F47" i="12" s="1"/>
  <c r="I45" i="12"/>
  <c r="L45" i="12" s="1"/>
  <c r="G46" i="12"/>
  <c r="J46" i="12" s="1"/>
  <c r="K46" i="12" s="1"/>
  <c r="H46" i="12"/>
  <c r="D47" i="12"/>
  <c r="C48" i="12" s="1"/>
  <c r="G47" i="12" l="1"/>
  <c r="J47" i="12" s="1"/>
  <c r="K47" i="12" s="1"/>
  <c r="H47" i="12"/>
  <c r="E48" i="12"/>
  <c r="F48" i="12" s="1"/>
  <c r="I46" i="12"/>
  <c r="L46" i="12" s="1"/>
  <c r="D48" i="12"/>
  <c r="C49" i="12" s="1"/>
  <c r="I47" i="12" l="1"/>
  <c r="L47" i="12" s="1"/>
  <c r="G48" i="12"/>
  <c r="J48" i="12" s="1"/>
  <c r="K48" i="12" s="1"/>
  <c r="H48" i="12"/>
  <c r="E49" i="12"/>
  <c r="F49" i="12" s="1"/>
  <c r="D49" i="12"/>
  <c r="C50" i="12" s="1"/>
  <c r="I48" i="12" l="1"/>
  <c r="L48" i="12" s="1"/>
  <c r="D50" i="12"/>
  <c r="C51" i="12" s="1"/>
  <c r="E50" i="12"/>
  <c r="F50" i="12" s="1"/>
  <c r="H49" i="12"/>
  <c r="G49" i="12"/>
  <c r="J49" i="12" s="1"/>
  <c r="K49" i="12" s="1"/>
  <c r="E51" i="12" l="1"/>
  <c r="F51" i="12" s="1"/>
  <c r="I49" i="12"/>
  <c r="L49" i="12" s="1"/>
  <c r="H50" i="12"/>
  <c r="G50" i="12"/>
  <c r="J50" i="12" s="1"/>
  <c r="K50" i="12" s="1"/>
  <c r="D51" i="12"/>
  <c r="C52" i="12" s="1"/>
  <c r="G51" i="12" l="1"/>
  <c r="J51" i="12" s="1"/>
  <c r="K51" i="12" s="1"/>
  <c r="H51" i="12"/>
  <c r="E52" i="12"/>
  <c r="F52" i="12" s="1"/>
  <c r="D52" i="12"/>
  <c r="E53" i="12" s="1"/>
  <c r="F53" i="12" s="1"/>
  <c r="I50" i="12"/>
  <c r="L50" i="12" s="1"/>
  <c r="I51" i="12" l="1"/>
  <c r="L51" i="12" s="1"/>
  <c r="G53" i="12"/>
  <c r="J53" i="12" s="1"/>
  <c r="G52" i="12"/>
  <c r="J52" i="12" s="1"/>
  <c r="K52" i="12" s="1"/>
  <c r="C53" i="12"/>
  <c r="D53" i="12" s="1"/>
  <c r="E54" i="12" s="1"/>
  <c r="F54" i="12" s="1"/>
  <c r="H52" i="12"/>
  <c r="H53" i="12"/>
  <c r="I52" i="12" l="1"/>
  <c r="L52" i="12" s="1"/>
  <c r="H54" i="12"/>
  <c r="I53" i="12"/>
  <c r="L53" i="12" s="1"/>
  <c r="K53" i="12"/>
  <c r="C54" i="12"/>
  <c r="D54" i="12" s="1"/>
  <c r="E55" i="12" s="1"/>
  <c r="F55" i="12" s="1"/>
  <c r="G54" i="12"/>
  <c r="J54" i="12" s="1"/>
  <c r="K54" i="12" s="1"/>
  <c r="I54" i="12" l="1"/>
  <c r="L54" i="12" s="1"/>
  <c r="C55" i="12"/>
  <c r="D55" i="12" s="1"/>
  <c r="C56" i="12" s="1"/>
  <c r="G55" i="12"/>
  <c r="J55" i="12" s="1"/>
  <c r="K55" i="12" s="1"/>
  <c r="H55" i="12"/>
  <c r="I55" i="12" l="1"/>
  <c r="L55" i="12" s="1"/>
  <c r="E56" i="12"/>
  <c r="F56" i="12" s="1"/>
  <c r="D56" i="12"/>
  <c r="C57" i="12" s="1"/>
  <c r="G56" i="12" l="1"/>
  <c r="J56" i="12" s="1"/>
  <c r="K56" i="12" s="1"/>
  <c r="H56" i="12"/>
  <c r="E57" i="12"/>
  <c r="F57" i="12" s="1"/>
  <c r="D57" i="12"/>
  <c r="C58" i="12" s="1"/>
  <c r="I56" i="12" l="1"/>
  <c r="L56" i="12" s="1"/>
  <c r="E58" i="12"/>
  <c r="F58" i="12" s="1"/>
  <c r="G57" i="12"/>
  <c r="J57" i="12" s="1"/>
  <c r="K57" i="12" s="1"/>
  <c r="H57" i="12"/>
  <c r="D58" i="12"/>
  <c r="C59" i="12" s="1"/>
  <c r="E59" i="12" l="1"/>
  <c r="F59" i="12" s="1"/>
  <c r="H58" i="12"/>
  <c r="G58" i="12"/>
  <c r="J58" i="12" s="1"/>
  <c r="K58" i="12" s="1"/>
  <c r="I57" i="12"/>
  <c r="L57" i="12" s="1"/>
  <c r="D59" i="12"/>
  <c r="E60" i="12" s="1"/>
  <c r="G59" i="12" l="1"/>
  <c r="J59" i="12" s="1"/>
  <c r="K59" i="12" s="1"/>
  <c r="H59" i="12"/>
  <c r="I58" i="12"/>
  <c r="L58" i="12" s="1"/>
  <c r="I59" i="12" l="1"/>
  <c r="L59" i="12" s="1"/>
  <c r="C7" i="13"/>
  <c r="C67" i="12" l="1"/>
  <c r="C66" i="12"/>
  <c r="E7" i="13"/>
  <c r="B7" i="13"/>
  <c r="F7" i="13" s="1"/>
  <c r="D7" i="13" l="1"/>
  <c r="G7" i="13" l="1"/>
</calcChain>
</file>

<file path=xl/sharedStrings.xml><?xml version="1.0" encoding="utf-8"?>
<sst xmlns="http://schemas.openxmlformats.org/spreadsheetml/2006/main" count="534" uniqueCount="130">
  <si>
    <t>Date</t>
  </si>
  <si>
    <t>Open</t>
  </si>
  <si>
    <t>High</t>
  </si>
  <si>
    <t>Low</t>
  </si>
  <si>
    <t>Close</t>
  </si>
  <si>
    <t>Adj Close</t>
  </si>
  <si>
    <t>Volume</t>
  </si>
  <si>
    <t>Periodo</t>
  </si>
  <si>
    <t>Valor Real</t>
  </si>
  <si>
    <t>Lt</t>
  </si>
  <si>
    <t>Forecast</t>
  </si>
  <si>
    <t>Et</t>
  </si>
  <si>
    <t>At</t>
  </si>
  <si>
    <t>MSE</t>
  </si>
  <si>
    <t>MAD</t>
  </si>
  <si>
    <t>%Error</t>
  </si>
  <si>
    <t>MAPE</t>
  </si>
  <si>
    <t>TSt</t>
  </si>
  <si>
    <t>ESTIMACIONES DE ERROR DE LOS PRONÓSTICOS</t>
  </si>
  <si>
    <t>Método</t>
  </si>
  <si>
    <t>Rango TS inf</t>
  </si>
  <si>
    <t>Rango TS sup</t>
  </si>
  <si>
    <t>Desv. Est.</t>
  </si>
  <si>
    <t>Rango</t>
  </si>
  <si>
    <t>Promedio Móvil</t>
  </si>
  <si>
    <t>Alpha</t>
  </si>
  <si>
    <t>Beta</t>
  </si>
  <si>
    <t>Precio</t>
  </si>
  <si>
    <t>a</t>
  </si>
  <si>
    <t>b</t>
  </si>
  <si>
    <t>c</t>
  </si>
  <si>
    <t>d</t>
  </si>
  <si>
    <t>e</t>
  </si>
  <si>
    <t>Tt</t>
  </si>
  <si>
    <t>Regresión Cúbica</t>
  </si>
  <si>
    <t>Suavización Exponencial</t>
  </si>
  <si>
    <t>Estados</t>
  </si>
  <si>
    <t xml:space="preserve">De A </t>
  </si>
  <si>
    <t>0-10,000</t>
  </si>
  <si>
    <t>10,000-20,000</t>
  </si>
  <si>
    <t>20,000-30,000</t>
  </si>
  <si>
    <t>30,000-40,000</t>
  </si>
  <si>
    <t>40,000-50,000</t>
  </si>
  <si>
    <t>50,000-60,000</t>
  </si>
  <si>
    <t>60,000-70,000</t>
  </si>
  <si>
    <t>Media</t>
  </si>
  <si>
    <t>Error típico</t>
  </si>
  <si>
    <t>Mediana</t>
  </si>
  <si>
    <t>Moda</t>
  </si>
  <si>
    <t>Desviación estándar</t>
  </si>
  <si>
    <t>Varianza de la muestra</t>
  </si>
  <si>
    <t>Curtosis</t>
  </si>
  <si>
    <t>Coeficiente de asimetría</t>
  </si>
  <si>
    <t>Mínimo</t>
  </si>
  <si>
    <t>Máximo</t>
  </si>
  <si>
    <t>Suma</t>
  </si>
  <si>
    <t>Cuenta</t>
  </si>
  <si>
    <t>,</t>
  </si>
  <si>
    <t xml:space="preserve"> </t>
  </si>
  <si>
    <t>Resumen</t>
  </si>
  <si>
    <t>Estadísticas de la regresión</t>
  </si>
  <si>
    <t>Coeficiente de correlación múltiple</t>
  </si>
  <si>
    <t>Coeficiente de determinación R^2</t>
  </si>
  <si>
    <t>R^2  ajustado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</si>
  <si>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</si>
  <si>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</si>
  <si>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</si>
  <si>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</si>
  <si>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</si>
  <si>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</si>
  <si>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</si>
  <si>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</si>
  <si>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</si>
  <si>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</si>
  <si>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</si>
  <si>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</si>
  <si>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</si>
  <si>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</si>
  <si>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</si>
  <si>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</si>
  <si>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</si>
  <si>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</si>
  <si>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Análisis de los residuales</t>
  </si>
  <si>
    <t>Observación</t>
  </si>
  <si>
    <t>Pronóstico Valor Real</t>
  </si>
  <si>
    <t>Residuos estándares</t>
  </si>
  <si>
    <t>Resultados de datos de probabilidad</t>
  </si>
  <si>
    <t>Percentil</t>
  </si>
  <si>
    <t>error absoluto</t>
  </si>
  <si>
    <t>Regresión Lineal</t>
  </si>
  <si>
    <t>Pronóstico</t>
  </si>
  <si>
    <t>70,000-80,000</t>
  </si>
  <si>
    <t>Mad</t>
  </si>
  <si>
    <t>Mape</t>
  </si>
  <si>
    <t>Desviación Estándar</t>
  </si>
  <si>
    <t>Señal de Rastreo Inferior</t>
  </si>
  <si>
    <t>Señal de Rastreo Superior</t>
  </si>
  <si>
    <t>Holt</t>
  </si>
  <si>
    <t>MIN</t>
  </si>
  <si>
    <t>MAX</t>
  </si>
  <si>
    <t>St</t>
  </si>
  <si>
    <t>Dt</t>
  </si>
  <si>
    <t>Demanda Decestacionalizada</t>
  </si>
  <si>
    <t>Factor estacional</t>
  </si>
  <si>
    <t>Y = ax + b</t>
  </si>
  <si>
    <t>Lambda</t>
  </si>
  <si>
    <t>Winter</t>
  </si>
  <si>
    <t>Presenta los valores de MAD, MAPE y Desviación estándar más altos, entre el resto de modelos, por lo que no representa una opción viable de pronóstico.</t>
  </si>
  <si>
    <t>Se utiliza un promedio móvil de 3 periodos.  Su porcentaje de error Mape se encuentra entre los mejores de los modelos implementados, empero, su Señal de Rasteo se mantiene fuera del rango usual -6 y 6.</t>
  </si>
  <si>
    <t>No representa una alternativa confiable, ya que presenta el segundo error Mape más elevado con 39%, y de igual manera su Señal de Rasteo se mantiene fuera del rango usual -6 y 6.</t>
  </si>
  <si>
    <t>Muestra el MAD y Desviación Estándar más bajos; no obstante al optimizar por el error MAD mediante el uso del Solver, el alpha se mantiene en 1, siendo el pronóstico del periodo 58 el mismo valor que el periodo 57, por lo que no resulta ser modelo predictivo adecuado</t>
  </si>
  <si>
    <t>Optimizado por MAD, resultando en un valor Alpha 0.9 y Beta 0.6, el modelo presenta el error MAPE más bajo y se encuentra dentro del rango permitido de Señal de Rastero -6 y 6.</t>
  </si>
  <si>
    <t>Presenta el error MAD más bajo, una Desviación Estándar menor que el Holt y al igual que el último se mantiene en el rango de -6 y 6.</t>
  </si>
  <si>
    <t>Estadísticas</t>
  </si>
  <si>
    <t>inst#</t>
  </si>
  <si>
    <t>error</t>
  </si>
  <si>
    <t>Actual</t>
  </si>
  <si>
    <t>Predicted</t>
  </si>
  <si>
    <t>Error</t>
  </si>
  <si>
    <t>Random Forest</t>
  </si>
  <si>
    <t>Gaussian Processes</t>
  </si>
  <si>
    <t>Multilayer Perceptron</t>
  </si>
  <si>
    <t>SMOreg</t>
  </si>
  <si>
    <t>Gauassian Processes</t>
  </si>
  <si>
    <t>actual</t>
  </si>
  <si>
    <t>predicted</t>
  </si>
  <si>
    <t>Algoritmo</t>
  </si>
  <si>
    <t>Cambio</t>
  </si>
  <si>
    <t>Rangos de Estados</t>
  </si>
  <si>
    <t>Conteo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</si>
</sst>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_-;\-* #,##0.0_-;_-* &quot;-&quot;??_-;_-@_-"/>
    <numFmt numFmtId="165" formatCode="_-* #,##0_-;\-* #,##0_-;_-* &quot;-&quot;??_-;_-@_-"/>
    <numFmt numFmtId="166" formatCode="_(* #,##0.00_);_(* \(#,##0.00\);_(* &quot;-&quot;??_);_(@_)"/>
    <numFmt numFmtId="167" formatCode="_(* #,##0_);_(* \(#,##0\);_(* &quot;-&quot;??_);_(@_)"/>
    <numFmt numFmtId="168" formatCode="0.0"/>
  </numFmts>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Light"/>
      <family val="2"/>
    </font>
    <font>
      <b/>
      <sz val="11"/>
      <color theme="0"/>
      <name val="Calibri Light"/>
      <family val="2"/>
    </font>
    <font>
      <sz val="11"/>
      <color theme="1"/>
      <name val="Calibri Light"/>
      <family val="2"/>
    </font>
    <font>
      <i/>
      <sz val="11"/>
      <color theme="1"/>
      <name val="Aptos Narrow"/>
      <family val="2"/>
      <scheme val="minor"/>
    </font>
    <font>
      <b/>
      <sz val="11"/>
      <color theme="1"/>
      <name val="Aptos Display"/>
      <family val="2"/>
      <scheme val="major"/>
    </font>
    <font>
      <sz val="11"/>
      <color theme="1"/>
      <name val="Aptos Display"/>
      <family val="2"/>
      <scheme val="major"/>
    </font>
    <font>
      <b/>
      <sz val="11"/>
      <color theme="0"/>
      <name val="Aptos Display"/>
      <family val="2"/>
      <scheme val="major"/>
    </font>
    <font>
      <i/>
      <sz val="11"/>
      <color theme="0"/>
      <name val="Aptos Narrow"/>
      <family val="2"/>
      <scheme val="minor"/>
    </font>
    <font>
      <b/>
      <sz val="10"/>
      <color theme="1"/>
      <name val="Calibri Light"/>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0070C0"/>
        <bgColor indexed="64"/>
      </patternFill>
    </fill>
    <fill>
      <patternFill patternType="solid">
        <fgColor theme="3" tint="0.89999084444715716"/>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theme="8"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6" fontId="1" fillId="0" borderId="0" applyFont="0" applyFill="0" applyBorder="0" applyAlignment="0" applyProtection="0"/>
  </cellStyleXfs>
  <cellXfs count="150">
    <xf numFmtId="0" fontId="0" fillId="0" borderId="0" xfId="0"/>
    <xf numFmtId="14" fontId="0" fillId="0" borderId="0" xfId="0" applyNumberFormat="1"/>
    <xf numFmtId="165" fontId="0" fillId="0" borderId="0" xfId="1" applyNumberFormat="1" applyFont="1"/>
    <xf numFmtId="0" fontId="13" fillId="33" borderId="10" xfId="0" applyFont="1" applyFill="1" applyBorder="1" applyAlignment="1">
      <alignment horizontal="center"/>
    </xf>
    <xf numFmtId="0" fontId="0" fillId="34" borderId="0" xfId="0" applyFill="1"/>
    <xf numFmtId="0" fontId="0" fillId="34" borderId="10" xfId="0" applyFill="1" applyBorder="1" applyAlignment="1">
      <alignment horizontal="center"/>
    </xf>
    <xf numFmtId="167" fontId="0" fillId="34" borderId="10" xfId="44" applyNumberFormat="1" applyFont="1" applyFill="1" applyBorder="1"/>
    <xf numFmtId="0" fontId="0" fillId="34" borderId="10" xfId="0" applyFill="1" applyBorder="1"/>
    <xf numFmtId="0" fontId="0" fillId="35" borderId="10" xfId="0" applyFill="1" applyBorder="1" applyAlignment="1">
      <alignment horizontal="center"/>
    </xf>
    <xf numFmtId="167" fontId="0" fillId="35" borderId="10" xfId="44" applyNumberFormat="1" applyFont="1" applyFill="1" applyBorder="1"/>
    <xf numFmtId="0" fontId="0" fillId="35" borderId="10" xfId="0" applyFill="1" applyBorder="1"/>
    <xf numFmtId="43" fontId="0" fillId="35" borderId="10" xfId="1" applyFont="1" applyFill="1" applyBorder="1"/>
    <xf numFmtId="43" fontId="0" fillId="34" borderId="10" xfId="1" applyFont="1" applyFill="1" applyBorder="1"/>
    <xf numFmtId="164" fontId="0" fillId="35" borderId="10" xfId="1" applyNumberFormat="1" applyFont="1" applyFill="1" applyBorder="1"/>
    <xf numFmtId="164" fontId="0" fillId="34" borderId="10" xfId="1" applyNumberFormat="1" applyFont="1" applyFill="1" applyBorder="1"/>
    <xf numFmtId="0" fontId="19" fillId="33" borderId="10" xfId="0" applyFont="1" applyFill="1" applyBorder="1" applyAlignment="1">
      <alignment horizontal="center"/>
    </xf>
    <xf numFmtId="0" fontId="18" fillId="0" borderId="10" xfId="0" applyFont="1" applyBorder="1"/>
    <xf numFmtId="167" fontId="20" fillId="34" borderId="10" xfId="1" applyNumberFormat="1" applyFont="1" applyFill="1" applyBorder="1"/>
    <xf numFmtId="1" fontId="20" fillId="34" borderId="10" xfId="0" applyNumberFormat="1" applyFont="1" applyFill="1" applyBorder="1"/>
    <xf numFmtId="2" fontId="20" fillId="34" borderId="10" xfId="0" applyNumberFormat="1" applyFont="1" applyFill="1" applyBorder="1"/>
    <xf numFmtId="167" fontId="18" fillId="0" borderId="10" xfId="1" applyNumberFormat="1" applyFont="1" applyFill="1" applyBorder="1"/>
    <xf numFmtId="0" fontId="0" fillId="0" borderId="10" xfId="0" applyBorder="1" applyAlignment="1">
      <alignment horizontal="center"/>
    </xf>
    <xf numFmtId="167" fontId="0" fillId="0" borderId="10" xfId="44" applyNumberFormat="1" applyFont="1" applyFill="1" applyBorder="1"/>
    <xf numFmtId="43" fontId="0" fillId="0" borderId="10" xfId="1" applyFont="1" applyFill="1" applyBorder="1"/>
    <xf numFmtId="0" fontId="0" fillId="0" borderId="10" xfId="0" applyBorder="1"/>
    <xf numFmtId="0" fontId="13" fillId="0" borderId="10" xfId="0" applyFont="1" applyBorder="1" applyAlignment="1">
      <alignment horizontal="center"/>
    </xf>
    <xf numFmtId="0" fontId="16" fillId="0" borderId="10" xfId="0" applyFont="1" applyBorder="1" applyAlignment="1">
      <alignment horizontal="center"/>
    </xf>
    <xf numFmtId="167" fontId="16" fillId="0" borderId="10" xfId="0" applyNumberFormat="1" applyFont="1" applyBorder="1" applyAlignment="1">
      <alignment horizontal="center"/>
    </xf>
    <xf numFmtId="0" fontId="0" fillId="34" borderId="0" xfId="0" applyFill="1" applyAlignment="1">
      <alignment horizontal="center"/>
    </xf>
    <xf numFmtId="0" fontId="0" fillId="0" borderId="0" xfId="0" applyAlignment="1">
      <alignment horizontal="center"/>
    </xf>
    <xf numFmtId="0" fontId="0" fillId="0" borderId="11" xfId="0" applyBorder="1" applyAlignment="1">
      <alignment horizontal="center"/>
    </xf>
    <xf numFmtId="0" fontId="16" fillId="0" borderId="11" xfId="0" applyFont="1" applyBorder="1" applyAlignment="1">
      <alignment horizontal="center"/>
    </xf>
    <xf numFmtId="9" fontId="0" fillId="0" borderId="10" xfId="2" applyFont="1" applyBorder="1" applyAlignment="1">
      <alignment horizontal="center"/>
    </xf>
    <xf numFmtId="9" fontId="16" fillId="0" borderId="10" xfId="2" applyFont="1" applyFill="1" applyBorder="1" applyAlignment="1">
      <alignment horizontal="center"/>
    </xf>
    <xf numFmtId="9" fontId="0" fillId="0" borderId="0" xfId="0" applyNumberFormat="1"/>
    <xf numFmtId="0" fontId="16" fillId="0" borderId="0" xfId="0" applyFont="1"/>
    <xf numFmtId="0" fontId="0" fillId="0" borderId="12" xfId="0" applyBorder="1"/>
    <xf numFmtId="0" fontId="21" fillId="0" borderId="13" xfId="0" applyFont="1" applyBorder="1" applyAlignment="1">
      <alignment horizontal="center"/>
    </xf>
    <xf numFmtId="0" fontId="21" fillId="0" borderId="13" xfId="0" applyFont="1" applyBorder="1" applyAlignment="1">
      <alignment horizontal="centerContinuous"/>
    </xf>
    <xf numFmtId="166" fontId="0" fillId="34" borderId="10" xfId="44" applyFont="1" applyFill="1" applyBorder="1"/>
    <xf numFmtId="166" fontId="0" fillId="35" borderId="10" xfId="44" applyFont="1" applyFill="1" applyBorder="1"/>
    <xf numFmtId="166" fontId="0" fillId="0" borderId="0" xfId="0" applyNumberFormat="1"/>
    <xf numFmtId="43" fontId="0" fillId="0" borderId="0" xfId="0" applyNumberFormat="1"/>
    <xf numFmtId="43" fontId="0" fillId="35" borderId="10" xfId="0" applyNumberFormat="1" applyFill="1" applyBorder="1"/>
    <xf numFmtId="167" fontId="0" fillId="0" borderId="0" xfId="0" applyNumberFormat="1"/>
    <xf numFmtId="9" fontId="0" fillId="36" borderId="0" xfId="0" applyNumberFormat="1" applyFill="1"/>
    <xf numFmtId="0" fontId="0" fillId="36" borderId="0" xfId="0" applyFill="1"/>
    <xf numFmtId="167" fontId="0" fillId="36" borderId="0" xfId="0" applyNumberFormat="1" applyFill="1"/>
    <xf numFmtId="43" fontId="0" fillId="0" borderId="0" xfId="1" applyFont="1"/>
    <xf numFmtId="0" fontId="23" fillId="0" borderId="0" xfId="0" applyFont="1"/>
    <xf numFmtId="164" fontId="0" fillId="34" borderId="0" xfId="0" applyNumberFormat="1" applyFill="1"/>
    <xf numFmtId="167" fontId="16" fillId="0" borderId="10" xfId="44" applyNumberFormat="1" applyFont="1" applyFill="1" applyBorder="1"/>
    <xf numFmtId="43" fontId="0" fillId="34" borderId="0" xfId="0" applyNumberFormat="1" applyFill="1"/>
    <xf numFmtId="0" fontId="17" fillId="37" borderId="0" xfId="0" applyFont="1" applyFill="1" applyAlignment="1">
      <alignment horizontal="center"/>
    </xf>
    <xf numFmtId="165" fontId="17" fillId="37" borderId="0" xfId="1" applyNumberFormat="1" applyFont="1" applyFill="1" applyAlignment="1">
      <alignment horizontal="center"/>
    </xf>
    <xf numFmtId="14" fontId="0" fillId="38" borderId="0" xfId="0" applyNumberFormat="1" applyFill="1"/>
    <xf numFmtId="165" fontId="0" fillId="38" borderId="0" xfId="1" applyNumberFormat="1" applyFont="1" applyFill="1"/>
    <xf numFmtId="1" fontId="0" fillId="0" borderId="10" xfId="0" applyNumberFormat="1" applyBorder="1" applyAlignment="1">
      <alignment horizontal="center"/>
    </xf>
    <xf numFmtId="1" fontId="1" fillId="35" borderId="10" xfId="1" applyNumberFormat="1" applyFont="1" applyFill="1" applyBorder="1" applyAlignment="1">
      <alignment horizontal="center"/>
    </xf>
    <xf numFmtId="1" fontId="0" fillId="35" borderId="10" xfId="0" applyNumberFormat="1" applyFill="1" applyBorder="1" applyAlignment="1">
      <alignment horizontal="center"/>
    </xf>
    <xf numFmtId="165" fontId="1" fillId="35" borderId="10" xfId="1" applyNumberFormat="1" applyFont="1" applyFill="1" applyBorder="1" applyAlignment="1">
      <alignment horizontal="center"/>
    </xf>
    <xf numFmtId="165" fontId="0" fillId="0" borderId="10" xfId="1" applyNumberFormat="1" applyFont="1" applyBorder="1" applyAlignment="1">
      <alignment horizontal="center"/>
    </xf>
    <xf numFmtId="0" fontId="13" fillId="33" borderId="10" xfId="0" applyFont="1" applyFill="1" applyBorder="1" applyAlignment="1">
      <alignment horizontal="center" vertical="center"/>
    </xf>
    <xf numFmtId="0" fontId="16" fillId="34" borderId="10" xfId="0" applyFont="1" applyFill="1" applyBorder="1" applyAlignment="1">
      <alignment horizontal="center"/>
    </xf>
    <xf numFmtId="0" fontId="0" fillId="34" borderId="0" xfId="0" applyFill="1" applyAlignment="1">
      <alignment horizontal="center" vertical="center" wrapText="1"/>
    </xf>
    <xf numFmtId="167" fontId="16" fillId="34" borderId="10" xfId="44" applyNumberFormat="1" applyFont="1" applyFill="1" applyBorder="1" applyAlignment="1">
      <alignment horizontal="center"/>
    </xf>
    <xf numFmtId="167" fontId="16" fillId="39" borderId="10" xfId="44" applyNumberFormat="1" applyFont="1" applyFill="1" applyBorder="1" applyAlignment="1">
      <alignment horizontal="center"/>
    </xf>
    <xf numFmtId="1" fontId="16" fillId="34" borderId="10" xfId="0" applyNumberFormat="1" applyFont="1" applyFill="1" applyBorder="1" applyAlignment="1">
      <alignment horizontal="center"/>
    </xf>
    <xf numFmtId="2" fontId="0" fillId="35" borderId="10" xfId="0" applyNumberFormat="1" applyFill="1" applyBorder="1"/>
    <xf numFmtId="1" fontId="0" fillId="35" borderId="10" xfId="0" applyNumberFormat="1" applyFill="1" applyBorder="1"/>
    <xf numFmtId="0" fontId="0" fillId="40" borderId="10" xfId="0" applyFill="1" applyBorder="1"/>
    <xf numFmtId="167" fontId="0" fillId="40" borderId="0" xfId="44" applyNumberFormat="1" applyFont="1" applyFill="1"/>
    <xf numFmtId="2" fontId="0" fillId="40" borderId="0" xfId="44" applyNumberFormat="1" applyFont="1" applyFill="1"/>
    <xf numFmtId="0" fontId="0" fillId="41" borderId="10" xfId="0" applyFill="1" applyBorder="1"/>
    <xf numFmtId="167" fontId="0" fillId="41" borderId="0" xfId="44" applyNumberFormat="1" applyFont="1" applyFill="1"/>
    <xf numFmtId="166" fontId="0" fillId="41" borderId="0" xfId="44" applyFont="1" applyFill="1"/>
    <xf numFmtId="0" fontId="16" fillId="34" borderId="0" xfId="0" applyFont="1" applyFill="1" applyAlignment="1">
      <alignment horizontal="center"/>
    </xf>
    <xf numFmtId="167" fontId="0" fillId="34" borderId="0" xfId="44" applyNumberFormat="1" applyFont="1" applyFill="1"/>
    <xf numFmtId="166" fontId="0" fillId="34" borderId="0" xfId="44" applyFont="1" applyFill="1"/>
    <xf numFmtId="166" fontId="0" fillId="40" borderId="0" xfId="44" applyFont="1" applyFill="1"/>
    <xf numFmtId="0" fontId="0" fillId="42" borderId="10" xfId="0" applyFill="1" applyBorder="1"/>
    <xf numFmtId="167" fontId="0" fillId="42" borderId="0" xfId="44" applyNumberFormat="1" applyFont="1" applyFill="1"/>
    <xf numFmtId="166" fontId="0" fillId="42" borderId="0" xfId="44" applyFont="1" applyFill="1"/>
    <xf numFmtId="167" fontId="0" fillId="34" borderId="0" xfId="0" applyNumberFormat="1" applyFill="1"/>
    <xf numFmtId="166" fontId="0" fillId="34" borderId="0" xfId="0" applyNumberFormat="1" applyFill="1"/>
    <xf numFmtId="43" fontId="0" fillId="34" borderId="0" xfId="1" applyFont="1" applyFill="1"/>
    <xf numFmtId="165" fontId="0" fillId="40" borderId="10" xfId="1" applyNumberFormat="1" applyFont="1" applyFill="1" applyBorder="1"/>
    <xf numFmtId="165" fontId="0" fillId="41" borderId="10" xfId="1" applyNumberFormat="1" applyFont="1" applyFill="1" applyBorder="1"/>
    <xf numFmtId="165" fontId="0" fillId="34" borderId="10" xfId="1" applyNumberFormat="1" applyFont="1" applyFill="1" applyBorder="1"/>
    <xf numFmtId="165" fontId="0" fillId="42" borderId="10" xfId="1" applyNumberFormat="1" applyFont="1" applyFill="1" applyBorder="1"/>
    <xf numFmtId="0" fontId="0" fillId="43" borderId="10" xfId="0" applyFill="1" applyBorder="1"/>
    <xf numFmtId="165" fontId="0" fillId="43" borderId="10" xfId="1" applyNumberFormat="1" applyFont="1" applyFill="1" applyBorder="1"/>
    <xf numFmtId="167" fontId="0" fillId="43" borderId="0" xfId="44" applyNumberFormat="1" applyFont="1" applyFill="1"/>
    <xf numFmtId="2" fontId="0" fillId="43" borderId="0" xfId="44" applyNumberFormat="1" applyFont="1" applyFill="1"/>
    <xf numFmtId="166" fontId="0" fillId="43" borderId="0" xfId="44" applyFont="1" applyFill="1"/>
    <xf numFmtId="2" fontId="0" fillId="0" borderId="10" xfId="0" applyNumberFormat="1" applyBorder="1"/>
    <xf numFmtId="1" fontId="0" fillId="0" borderId="10" xfId="0" applyNumberFormat="1" applyBorder="1"/>
    <xf numFmtId="1" fontId="0" fillId="34" borderId="0" xfId="0" applyNumberFormat="1" applyFill="1"/>
    <xf numFmtId="2" fontId="0" fillId="34" borderId="0" xfId="0" applyNumberFormat="1" applyFill="1"/>
    <xf numFmtId="167" fontId="23" fillId="42" borderId="10" xfId="1" applyNumberFormat="1" applyFont="1" applyFill="1" applyBorder="1"/>
    <xf numFmtId="1" fontId="23" fillId="42" borderId="10" xfId="0" applyNumberFormat="1" applyFont="1" applyFill="1" applyBorder="1"/>
    <xf numFmtId="2" fontId="23" fillId="42" borderId="10" xfId="0" applyNumberFormat="1" applyFont="1" applyFill="1" applyBorder="1" applyAlignment="1">
      <alignment horizontal="center"/>
    </xf>
    <xf numFmtId="168" fontId="23" fillId="42" borderId="10" xfId="0" applyNumberFormat="1" applyFont="1" applyFill="1" applyBorder="1"/>
    <xf numFmtId="2" fontId="0" fillId="34" borderId="0" xfId="0" applyNumberFormat="1" applyFill="1" applyAlignment="1">
      <alignment horizontal="center"/>
    </xf>
    <xf numFmtId="167" fontId="23" fillId="44" borderId="10" xfId="1" applyNumberFormat="1" applyFont="1" applyFill="1" applyBorder="1"/>
    <xf numFmtId="1" fontId="23" fillId="44" borderId="10" xfId="0" applyNumberFormat="1" applyFont="1" applyFill="1" applyBorder="1"/>
    <xf numFmtId="2" fontId="23" fillId="44" borderId="10" xfId="0" applyNumberFormat="1" applyFont="1" applyFill="1" applyBorder="1" applyAlignment="1">
      <alignment horizontal="center"/>
    </xf>
    <xf numFmtId="168" fontId="23" fillId="44" borderId="10" xfId="0" applyNumberFormat="1" applyFont="1" applyFill="1" applyBorder="1"/>
    <xf numFmtId="0" fontId="24" fillId="45" borderId="10" xfId="0" applyFont="1" applyFill="1" applyBorder="1" applyAlignment="1">
      <alignment horizontal="center" vertical="center"/>
    </xf>
    <xf numFmtId="0" fontId="24" fillId="45" borderId="10" xfId="0" applyFont="1" applyFill="1" applyBorder="1" applyAlignment="1">
      <alignment horizontal="center" vertical="center" wrapText="1"/>
    </xf>
    <xf numFmtId="0" fontId="22" fillId="42" borderId="10" xfId="0" applyFont="1" applyFill="1" applyBorder="1" applyAlignment="1">
      <alignment horizontal="center" vertical="center"/>
    </xf>
    <xf numFmtId="0" fontId="22" fillId="44" borderId="10" xfId="0" applyFont="1" applyFill="1" applyBorder="1" applyAlignment="1">
      <alignment horizontal="center" vertical="center"/>
    </xf>
    <xf numFmtId="0" fontId="23" fillId="42" borderId="10" xfId="0" applyFont="1" applyFill="1" applyBorder="1" applyAlignment="1">
      <alignment vertical="center" wrapText="1"/>
    </xf>
    <xf numFmtId="0" fontId="23" fillId="44" borderId="10" xfId="0" applyFont="1" applyFill="1" applyBorder="1" applyAlignment="1">
      <alignment vertical="center" wrapText="1"/>
    </xf>
    <xf numFmtId="17" fontId="0" fillId="0" borderId="0" xfId="0" applyNumberFormat="1"/>
    <xf numFmtId="17" fontId="0" fillId="38" borderId="0" xfId="0" applyNumberFormat="1" applyFill="1"/>
    <xf numFmtId="0" fontId="22" fillId="34" borderId="0" xfId="0" applyFont="1" applyFill="1" applyAlignment="1">
      <alignment horizontal="center"/>
    </xf>
    <xf numFmtId="0" fontId="18" fillId="34" borderId="0" xfId="0" applyFont="1" applyFill="1" applyAlignment="1">
      <alignment horizontal="center"/>
    </xf>
    <xf numFmtId="0" fontId="25" fillId="46" borderId="10" xfId="0" applyFont="1" applyFill="1" applyBorder="1" applyAlignment="1">
      <alignment horizontal="center"/>
    </xf>
    <xf numFmtId="165" fontId="0" fillId="0" borderId="10" xfId="1" applyNumberFormat="1" applyFont="1" applyFill="1" applyBorder="1" applyAlignment="1"/>
    <xf numFmtId="165" fontId="0" fillId="35" borderId="10" xfId="1" applyNumberFormat="1" applyFont="1" applyFill="1" applyBorder="1" applyAlignment="1"/>
    <xf numFmtId="165" fontId="0" fillId="0" borderId="10" xfId="1" applyNumberFormat="1" applyFont="1" applyBorder="1"/>
    <xf numFmtId="165" fontId="0" fillId="35" borderId="10" xfId="1" applyNumberFormat="1" applyFont="1" applyFill="1" applyBorder="1"/>
    <xf numFmtId="0" fontId="0" fillId="0" borderId="10" xfId="0" applyFill="1" applyBorder="1" applyAlignment="1">
      <alignment horizontal="center"/>
    </xf>
    <xf numFmtId="0" fontId="0" fillId="0" borderId="10" xfId="0" applyFill="1" applyBorder="1"/>
    <xf numFmtId="43" fontId="0" fillId="0" borderId="10" xfId="0" applyNumberFormat="1" applyFill="1" applyBorder="1"/>
    <xf numFmtId="0" fontId="20" fillId="0" borderId="0" xfId="0" applyFont="1"/>
    <xf numFmtId="0" fontId="19" fillId="33" borderId="11" xfId="0" applyFont="1" applyFill="1" applyBorder="1" applyAlignment="1">
      <alignment horizontal="center"/>
    </xf>
    <xf numFmtId="0" fontId="20" fillId="34" borderId="10" xfId="0" applyFont="1" applyFill="1" applyBorder="1" applyAlignment="1">
      <alignment horizontal="center"/>
    </xf>
    <xf numFmtId="167" fontId="20" fillId="34" borderId="10" xfId="44" applyNumberFormat="1" applyFont="1" applyFill="1" applyBorder="1"/>
    <xf numFmtId="0" fontId="18" fillId="0" borderId="10" xfId="0" applyFont="1" applyBorder="1" applyAlignment="1">
      <alignment horizontal="center"/>
    </xf>
    <xf numFmtId="0" fontId="20" fillId="0" borderId="10" xfId="0" applyFont="1" applyBorder="1" applyAlignment="1">
      <alignment horizontal="center"/>
    </xf>
    <xf numFmtId="0" fontId="20" fillId="35" borderId="10" xfId="0" applyFont="1" applyFill="1" applyBorder="1" applyAlignment="1">
      <alignment horizontal="center"/>
    </xf>
    <xf numFmtId="167" fontId="20" fillId="35" borderId="10" xfId="44" applyNumberFormat="1" applyFont="1" applyFill="1" applyBorder="1"/>
    <xf numFmtId="0" fontId="20" fillId="0" borderId="0" xfId="0" applyFont="1" applyAlignment="1">
      <alignment horizontal="center"/>
    </xf>
    <xf numFmtId="9" fontId="20" fillId="0" borderId="10" xfId="2" applyFont="1" applyBorder="1" applyAlignment="1">
      <alignment horizontal="center"/>
    </xf>
    <xf numFmtId="9" fontId="20" fillId="0" borderId="0" xfId="0" applyNumberFormat="1" applyFont="1"/>
    <xf numFmtId="167" fontId="20" fillId="0" borderId="0" xfId="0" applyNumberFormat="1" applyFont="1"/>
    <xf numFmtId="9" fontId="20" fillId="36" borderId="0" xfId="0" applyNumberFormat="1" applyFont="1" applyFill="1"/>
    <xf numFmtId="0" fontId="20" fillId="36" borderId="0" xfId="0" applyFont="1" applyFill="1"/>
    <xf numFmtId="167" fontId="20" fillId="36" borderId="0" xfId="0" applyNumberFormat="1" applyFont="1" applyFill="1"/>
    <xf numFmtId="9" fontId="18" fillId="0" borderId="10" xfId="2" applyFont="1" applyFill="1" applyBorder="1" applyAlignment="1">
      <alignment horizontal="center"/>
    </xf>
    <xf numFmtId="43" fontId="20" fillId="0" borderId="0" xfId="1" applyFont="1"/>
    <xf numFmtId="43" fontId="20" fillId="0" borderId="0" xfId="0" applyNumberFormat="1" applyFont="1"/>
    <xf numFmtId="0" fontId="18" fillId="0" borderId="0" xfId="0" applyFont="1"/>
    <xf numFmtId="0" fontId="18" fillId="41" borderId="10" xfId="0" applyFont="1" applyFill="1" applyBorder="1"/>
    <xf numFmtId="0" fontId="26" fillId="41" borderId="10" xfId="0" applyFont="1" applyFill="1" applyBorder="1"/>
    <xf numFmtId="0" fontId="18" fillId="35" borderId="10" xfId="0" applyFont="1" applyFill="1" applyBorder="1" applyAlignment="1">
      <alignment horizontal="center"/>
    </xf>
    <xf numFmtId="0" fontId="18" fillId="47" borderId="10" xfId="0" applyFont="1" applyFill="1" applyBorder="1" applyAlignment="1">
      <alignment horizontal="center"/>
    </xf>
    <xf numFmtId="0" fontId="18" fillId="47" borderId="0" xfId="0" applyFont="1" applyFill="1" applyAlignment="1">
      <alignment horizontal="center"/>
    </xf>
  </cellXfs>
  <cellStyles count="45">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1" builtinId="3"/>
    <cellStyle name="Millares 2" xfId="44" xr:uid="{43ED78C2-1E51-4D30-A21E-E2C6E44700DA}"/>
    <cellStyle name="Neutral" xfId="10" builtinId="28" customBuiltin="1"/>
    <cellStyle name="Normal" xfId="0" builtinId="0"/>
    <cellStyle name="Notas" xfId="17" builtinId="10" customBuiltin="1"/>
    <cellStyle name="Porcentaje" xfId="2" builtinId="5"/>
    <cellStyle name="Salida" xfId="12" builtinId="21" customBuiltin="1"/>
    <cellStyle name="Texto de advertencia" xfId="16" builtinId="11" customBuiltin="1"/>
    <cellStyle name="Texto explicativo" xfId="18" builtinId="53" customBuiltin="1"/>
    <cellStyle name="Título" xfId="3" builtinId="15" customBuiltin="1"/>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Hoja7!$B$1</c:f>
              <c:strCache>
                <c:ptCount val="1"/>
                <c:pt idx="0">
                  <c:v>Precio</c:v>
                </c:pt>
              </c:strCache>
            </c:strRef>
          </c:tx>
          <c:spPr>
            <a:ln w="28575" cap="rnd">
              <a:solidFill>
                <a:schemeClr val="accent1"/>
              </a:solidFill>
              <a:round/>
            </a:ln>
            <a:effectLst/>
          </c:spPr>
          <c:marker>
            <c:symbol val="none"/>
          </c:marker>
          <c:cat>
            <c:numRef>
              <c:f>Hoja7!$A$2:$A$58</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cat>
          <c:val>
            <c:numRef>
              <c:f>Hoja7!$B$2:$B$58</c:f>
              <c:numCache>
                <c:formatCode>_(* #,##0_);_(* \(#,##0\);_(*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0-0DD8-464E-A1DA-A274D9A3A4F5}"/>
            </c:ext>
          </c:extLst>
        </c:ser>
        <c:dLbls>
          <c:showLegendKey val="0"/>
          <c:showVal val="0"/>
          <c:showCatName val="0"/>
          <c:showSerName val="0"/>
          <c:showPercent val="0"/>
          <c:showBubbleSize val="0"/>
        </c:dLbls>
        <c:smooth val="0"/>
        <c:axId val="466736672"/>
        <c:axId val="466737032"/>
      </c:lineChart>
      <c:catAx>
        <c:axId val="46673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466737032"/>
        <c:crosses val="autoZero"/>
        <c:auto val="1"/>
        <c:lblAlgn val="ctr"/>
        <c:lblOffset val="100"/>
        <c:noMultiLvlLbl val="0"/>
      </c:catAx>
      <c:valAx>
        <c:axId val="46673703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46673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A"/>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'RANDOM FOREST'!$B$1</c:f>
              <c:strCache>
                <c:ptCount val="1"/>
                <c:pt idx="0">
                  <c:v>Valor Real</c:v>
                </c:pt>
              </c:strCache>
            </c:strRef>
          </c:tx>
          <c:spPr>
            <a:ln w="28575" cap="rnd">
              <a:solidFill>
                <a:schemeClr val="accent2"/>
              </a:solidFill>
              <a:round/>
            </a:ln>
            <a:effectLst/>
          </c:spPr>
          <c:marker>
            <c:symbol val="none"/>
          </c:marker>
          <c:val>
            <c:numRef>
              <c:f>'RANDOM FOREST'!$B$14:$B$58</c:f>
              <c:numCache>
                <c:formatCode>_(* #,##0_);_(* \(#,##0\);_(* "-"??_);_(@_)</c:formatCode>
                <c:ptCount val="45"/>
                <c:pt idx="0">
                  <c:v>28994.009765999999</c:v>
                </c:pt>
                <c:pt idx="1">
                  <c:v>33114.578125</c:v>
                </c:pt>
                <c:pt idx="2">
                  <c:v>45159.503905999998</c:v>
                </c:pt>
                <c:pt idx="3">
                  <c:v>58926.5625</c:v>
                </c:pt>
                <c:pt idx="4">
                  <c:v>57714.664062999997</c:v>
                </c:pt>
                <c:pt idx="5">
                  <c:v>37293.792969000002</c:v>
                </c:pt>
                <c:pt idx="6">
                  <c:v>35035.984375</c:v>
                </c:pt>
                <c:pt idx="7">
                  <c:v>41460.84375</c:v>
                </c:pt>
                <c:pt idx="8">
                  <c:v>47099.773437999997</c:v>
                </c:pt>
                <c:pt idx="9">
                  <c:v>43816.742187999997</c:v>
                </c:pt>
                <c:pt idx="10">
                  <c:v>61320.449219000002</c:v>
                </c:pt>
                <c:pt idx="11">
                  <c:v>56907.964844000002</c:v>
                </c:pt>
                <c:pt idx="12">
                  <c:v>46311.746094000002</c:v>
                </c:pt>
                <c:pt idx="13">
                  <c:v>38481.765625</c:v>
                </c:pt>
                <c:pt idx="14">
                  <c:v>43194.503905999998</c:v>
                </c:pt>
                <c:pt idx="15">
                  <c:v>45554.164062999997</c:v>
                </c:pt>
                <c:pt idx="16">
                  <c:v>37713.265625</c:v>
                </c:pt>
                <c:pt idx="17">
                  <c:v>31792.554688</c:v>
                </c:pt>
                <c:pt idx="18">
                  <c:v>19820.470702999999</c:v>
                </c:pt>
                <c:pt idx="19">
                  <c:v>23336.71875</c:v>
                </c:pt>
                <c:pt idx="20">
                  <c:v>20050.498047000001</c:v>
                </c:pt>
                <c:pt idx="21">
                  <c:v>19431.105468999998</c:v>
                </c:pt>
                <c:pt idx="22">
                  <c:v>20494.898438</c:v>
                </c:pt>
                <c:pt idx="23">
                  <c:v>17168.001952999999</c:v>
                </c:pt>
                <c:pt idx="24">
                  <c:v>16547.914063</c:v>
                </c:pt>
                <c:pt idx="25">
                  <c:v>23137.835938</c:v>
                </c:pt>
                <c:pt idx="26">
                  <c:v>23150.929688</c:v>
                </c:pt>
                <c:pt idx="27">
                  <c:v>28473.332031000002</c:v>
                </c:pt>
                <c:pt idx="28">
                  <c:v>29227.103515999999</c:v>
                </c:pt>
                <c:pt idx="29">
                  <c:v>27218.412109000001</c:v>
                </c:pt>
                <c:pt idx="30">
                  <c:v>30471.847656000002</c:v>
                </c:pt>
                <c:pt idx="31">
                  <c:v>29230.873047000001</c:v>
                </c:pt>
                <c:pt idx="32">
                  <c:v>25934.021484000001</c:v>
                </c:pt>
                <c:pt idx="33">
                  <c:v>26967.396484000001</c:v>
                </c:pt>
                <c:pt idx="34">
                  <c:v>34657.273437999997</c:v>
                </c:pt>
                <c:pt idx="35">
                  <c:v>37718.007812999997</c:v>
                </c:pt>
                <c:pt idx="36">
                  <c:v>42280.234375</c:v>
                </c:pt>
                <c:pt idx="37">
                  <c:v>42569.761719000002</c:v>
                </c:pt>
                <c:pt idx="38">
                  <c:v>61168.0625</c:v>
                </c:pt>
                <c:pt idx="39">
                  <c:v>71333.484375</c:v>
                </c:pt>
                <c:pt idx="40">
                  <c:v>60609.496094000002</c:v>
                </c:pt>
                <c:pt idx="41">
                  <c:v>67489.609375</c:v>
                </c:pt>
                <c:pt idx="42">
                  <c:v>62673.605469000002</c:v>
                </c:pt>
                <c:pt idx="43">
                  <c:v>64625.839844000002</c:v>
                </c:pt>
                <c:pt idx="44">
                  <c:v>58969.800780999998</c:v>
                </c:pt>
              </c:numCache>
            </c:numRef>
          </c:val>
          <c:smooth val="0"/>
          <c:extLst>
            <c:ext xmlns:c16="http://schemas.microsoft.com/office/drawing/2014/chart" uri="{C3380CC4-5D6E-409C-BE32-E72D297353CC}">
              <c16:uniqueId val="{00000000-0E7A-4C8D-9164-0570B84A7C2F}"/>
            </c:ext>
          </c:extLst>
        </c:ser>
        <c:ser>
          <c:idx val="2"/>
          <c:order val="1"/>
          <c:tx>
            <c:strRef>
              <c:f>'RANDOM FOREST'!$D$1</c:f>
              <c:strCache>
                <c:ptCount val="1"/>
                <c:pt idx="0">
                  <c:v>Forecast</c:v>
                </c:pt>
              </c:strCache>
            </c:strRef>
          </c:tx>
          <c:spPr>
            <a:ln w="28575" cap="rnd">
              <a:solidFill>
                <a:schemeClr val="accent3"/>
              </a:solidFill>
              <a:prstDash val="sysDash"/>
              <a:round/>
            </a:ln>
            <a:effectLst/>
          </c:spPr>
          <c:marker>
            <c:symbol val="none"/>
          </c:marker>
          <c:val>
            <c:numRef>
              <c:f>'RANDOM FOREST'!$D$14:$D$59</c:f>
              <c:numCache>
                <c:formatCode>_(* #,##0_);_(* \(#,##0\);_(* "-"??_);_(@_)</c:formatCode>
                <c:ptCount val="46"/>
                <c:pt idx="0">
                  <c:v>27053.014299999999</c:v>
                </c:pt>
                <c:pt idx="1">
                  <c:v>30564.8586</c:v>
                </c:pt>
                <c:pt idx="2">
                  <c:v>40289.777099999999</c:v>
                </c:pt>
                <c:pt idx="3">
                  <c:v>51966.866099999999</c:v>
                </c:pt>
                <c:pt idx="4">
                  <c:v>53836.189599999998</c:v>
                </c:pt>
                <c:pt idx="5">
                  <c:v>41517.229299999999</c:v>
                </c:pt>
                <c:pt idx="6">
                  <c:v>37749.506200000003</c:v>
                </c:pt>
                <c:pt idx="7">
                  <c:v>41408.516100000001</c:v>
                </c:pt>
                <c:pt idx="8">
                  <c:v>46144.305899999999</c:v>
                </c:pt>
                <c:pt idx="9">
                  <c:v>45072.987999999998</c:v>
                </c:pt>
                <c:pt idx="10">
                  <c:v>54235.794999999998</c:v>
                </c:pt>
                <c:pt idx="11">
                  <c:v>53709.585500000001</c:v>
                </c:pt>
                <c:pt idx="12">
                  <c:v>44929.974699999999</c:v>
                </c:pt>
                <c:pt idx="13">
                  <c:v>39633.495999999999</c:v>
                </c:pt>
                <c:pt idx="14">
                  <c:v>42070.012699999999</c:v>
                </c:pt>
                <c:pt idx="15">
                  <c:v>42727.052000000003</c:v>
                </c:pt>
                <c:pt idx="16">
                  <c:v>39281.647299999997</c:v>
                </c:pt>
                <c:pt idx="17">
                  <c:v>37064.970500000003</c:v>
                </c:pt>
                <c:pt idx="18">
                  <c:v>28230.183700000001</c:v>
                </c:pt>
                <c:pt idx="19">
                  <c:v>24586.650600000001</c:v>
                </c:pt>
                <c:pt idx="20">
                  <c:v>20109.884900000001</c:v>
                </c:pt>
                <c:pt idx="21">
                  <c:v>20921.736199999999</c:v>
                </c:pt>
                <c:pt idx="22">
                  <c:v>20133.0707</c:v>
                </c:pt>
                <c:pt idx="23">
                  <c:v>19014.504400000002</c:v>
                </c:pt>
                <c:pt idx="24">
                  <c:v>18807.179199999999</c:v>
                </c:pt>
                <c:pt idx="25">
                  <c:v>23197.661800000002</c:v>
                </c:pt>
                <c:pt idx="26">
                  <c:v>23158.320899999999</c:v>
                </c:pt>
                <c:pt idx="27">
                  <c:v>26649.2179</c:v>
                </c:pt>
                <c:pt idx="28">
                  <c:v>28644.4954</c:v>
                </c:pt>
                <c:pt idx="29">
                  <c:v>27124.383399999999</c:v>
                </c:pt>
                <c:pt idx="30">
                  <c:v>30266.625700000001</c:v>
                </c:pt>
                <c:pt idx="31">
                  <c:v>29339.1083</c:v>
                </c:pt>
                <c:pt idx="32">
                  <c:v>27749.089400000001</c:v>
                </c:pt>
                <c:pt idx="33">
                  <c:v>28877.090199999999</c:v>
                </c:pt>
                <c:pt idx="34">
                  <c:v>32850.315999999999</c:v>
                </c:pt>
                <c:pt idx="35">
                  <c:v>38084.326200000003</c:v>
                </c:pt>
                <c:pt idx="36">
                  <c:v>40819.020600000003</c:v>
                </c:pt>
                <c:pt idx="37">
                  <c:v>45745.782800000001</c:v>
                </c:pt>
                <c:pt idx="38">
                  <c:v>57285.6446</c:v>
                </c:pt>
                <c:pt idx="39">
                  <c:v>67354.626999999993</c:v>
                </c:pt>
                <c:pt idx="40">
                  <c:v>62528.359799999998</c:v>
                </c:pt>
                <c:pt idx="41">
                  <c:v>65305.807099999998</c:v>
                </c:pt>
                <c:pt idx="42">
                  <c:v>62587.965799999998</c:v>
                </c:pt>
                <c:pt idx="43">
                  <c:v>63326.4761</c:v>
                </c:pt>
                <c:pt idx="44">
                  <c:v>60615.266600000003</c:v>
                </c:pt>
              </c:numCache>
            </c:numRef>
          </c:val>
          <c:smooth val="0"/>
          <c:extLst>
            <c:ext xmlns:c16="http://schemas.microsoft.com/office/drawing/2014/chart" uri="{C3380CC4-5D6E-409C-BE32-E72D297353CC}">
              <c16:uniqueId val="{00000001-0E7A-4C8D-9164-0570B84A7C2F}"/>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_(* \(#,##0\);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'GAUSSIAN PROCESSES'!$B$1</c:f>
              <c:strCache>
                <c:ptCount val="1"/>
                <c:pt idx="0">
                  <c:v>Valor Real</c:v>
                </c:pt>
              </c:strCache>
            </c:strRef>
          </c:tx>
          <c:spPr>
            <a:ln w="28575" cap="rnd">
              <a:solidFill>
                <a:schemeClr val="accent2"/>
              </a:solidFill>
              <a:round/>
            </a:ln>
            <a:effectLst/>
          </c:spPr>
          <c:marker>
            <c:symbol val="none"/>
          </c:marker>
          <c:val>
            <c:numRef>
              <c:f>'GAUSSIAN PROCESSES'!$B$14:$B$58</c:f>
              <c:numCache>
                <c:formatCode>_(* #,##0_);_(* \(#,##0\);_(* "-"??_);_(@_)</c:formatCode>
                <c:ptCount val="45"/>
                <c:pt idx="0">
                  <c:v>28994.009765999999</c:v>
                </c:pt>
                <c:pt idx="1">
                  <c:v>33114.578125</c:v>
                </c:pt>
                <c:pt idx="2">
                  <c:v>45159.503905999998</c:v>
                </c:pt>
                <c:pt idx="3">
                  <c:v>58926.5625</c:v>
                </c:pt>
                <c:pt idx="4">
                  <c:v>57714.664062999997</c:v>
                </c:pt>
                <c:pt idx="5">
                  <c:v>37293.792969000002</c:v>
                </c:pt>
                <c:pt idx="6">
                  <c:v>35035.984375</c:v>
                </c:pt>
                <c:pt idx="7">
                  <c:v>41460.84375</c:v>
                </c:pt>
                <c:pt idx="8">
                  <c:v>47099.773437999997</c:v>
                </c:pt>
                <c:pt idx="9">
                  <c:v>43816.742187999997</c:v>
                </c:pt>
                <c:pt idx="10">
                  <c:v>61320.449219000002</c:v>
                </c:pt>
                <c:pt idx="11">
                  <c:v>56907.964844000002</c:v>
                </c:pt>
                <c:pt idx="12">
                  <c:v>46311.746094000002</c:v>
                </c:pt>
                <c:pt idx="13">
                  <c:v>38481.765625</c:v>
                </c:pt>
                <c:pt idx="14">
                  <c:v>43194.503905999998</c:v>
                </c:pt>
                <c:pt idx="15">
                  <c:v>45554.164062999997</c:v>
                </c:pt>
                <c:pt idx="16">
                  <c:v>37713.265625</c:v>
                </c:pt>
                <c:pt idx="17">
                  <c:v>31792.554688</c:v>
                </c:pt>
                <c:pt idx="18">
                  <c:v>19820.470702999999</c:v>
                </c:pt>
                <c:pt idx="19">
                  <c:v>23336.71875</c:v>
                </c:pt>
                <c:pt idx="20">
                  <c:v>20050.498047000001</c:v>
                </c:pt>
                <c:pt idx="21">
                  <c:v>19431.105468999998</c:v>
                </c:pt>
                <c:pt idx="22">
                  <c:v>20494.898438</c:v>
                </c:pt>
                <c:pt idx="23">
                  <c:v>17168.001952999999</c:v>
                </c:pt>
                <c:pt idx="24">
                  <c:v>16547.914063</c:v>
                </c:pt>
                <c:pt idx="25">
                  <c:v>23137.835938</c:v>
                </c:pt>
                <c:pt idx="26">
                  <c:v>23150.929688</c:v>
                </c:pt>
                <c:pt idx="27">
                  <c:v>28473.332031000002</c:v>
                </c:pt>
                <c:pt idx="28">
                  <c:v>29227.103515999999</c:v>
                </c:pt>
                <c:pt idx="29">
                  <c:v>27218.412109000001</c:v>
                </c:pt>
                <c:pt idx="30">
                  <c:v>30471.847656000002</c:v>
                </c:pt>
                <c:pt idx="31">
                  <c:v>29230.873047000001</c:v>
                </c:pt>
                <c:pt idx="32">
                  <c:v>25934.021484000001</c:v>
                </c:pt>
                <c:pt idx="33">
                  <c:v>26967.396484000001</c:v>
                </c:pt>
                <c:pt idx="34">
                  <c:v>34657.273437999997</c:v>
                </c:pt>
                <c:pt idx="35">
                  <c:v>37718.007812999997</c:v>
                </c:pt>
                <c:pt idx="36">
                  <c:v>42280.234375</c:v>
                </c:pt>
                <c:pt idx="37">
                  <c:v>42569.761719000002</c:v>
                </c:pt>
                <c:pt idx="38">
                  <c:v>61168.0625</c:v>
                </c:pt>
                <c:pt idx="39">
                  <c:v>71333.484375</c:v>
                </c:pt>
                <c:pt idx="40">
                  <c:v>60609.496094000002</c:v>
                </c:pt>
                <c:pt idx="41">
                  <c:v>67489.609375</c:v>
                </c:pt>
                <c:pt idx="42">
                  <c:v>62673.605469000002</c:v>
                </c:pt>
                <c:pt idx="43">
                  <c:v>64625.839844000002</c:v>
                </c:pt>
                <c:pt idx="44">
                  <c:v>58969.800780999998</c:v>
                </c:pt>
              </c:numCache>
            </c:numRef>
          </c:val>
          <c:smooth val="0"/>
          <c:extLst>
            <c:ext xmlns:c16="http://schemas.microsoft.com/office/drawing/2014/chart" uri="{C3380CC4-5D6E-409C-BE32-E72D297353CC}">
              <c16:uniqueId val="{00000000-49D7-4131-9A4B-2941521523D2}"/>
            </c:ext>
          </c:extLst>
        </c:ser>
        <c:ser>
          <c:idx val="2"/>
          <c:order val="1"/>
          <c:tx>
            <c:strRef>
              <c:f>'GAUSSIAN PROCESSES'!$D$1</c:f>
              <c:strCache>
                <c:ptCount val="1"/>
                <c:pt idx="0">
                  <c:v>Forecast</c:v>
                </c:pt>
              </c:strCache>
            </c:strRef>
          </c:tx>
          <c:spPr>
            <a:ln w="28575" cap="rnd">
              <a:solidFill>
                <a:schemeClr val="accent3"/>
              </a:solidFill>
              <a:prstDash val="sysDash"/>
              <a:round/>
            </a:ln>
            <a:effectLst/>
          </c:spPr>
          <c:marker>
            <c:symbol val="none"/>
          </c:marker>
          <c:val>
            <c:numRef>
              <c:f>'GAUSSIAN PROCESSES'!$D$14:$D$59</c:f>
              <c:numCache>
                <c:formatCode>_(* #,##0_);_(* \(#,##0\);_(* "-"??_);_(@_)</c:formatCode>
                <c:ptCount val="46"/>
                <c:pt idx="0">
                  <c:v>38324.997600000002</c:v>
                </c:pt>
                <c:pt idx="1">
                  <c:v>41033.042800000003</c:v>
                </c:pt>
                <c:pt idx="2">
                  <c:v>43043.5628</c:v>
                </c:pt>
                <c:pt idx="3">
                  <c:v>47784.233399999997</c:v>
                </c:pt>
                <c:pt idx="4">
                  <c:v>52486.004099999998</c:v>
                </c:pt>
                <c:pt idx="5">
                  <c:v>53061.642200000002</c:v>
                </c:pt>
                <c:pt idx="6">
                  <c:v>47550.694199999998</c:v>
                </c:pt>
                <c:pt idx="7">
                  <c:v>45741.2333</c:v>
                </c:pt>
                <c:pt idx="8">
                  <c:v>46723.981599999999</c:v>
                </c:pt>
                <c:pt idx="9">
                  <c:v>48014.711199999998</c:v>
                </c:pt>
                <c:pt idx="10">
                  <c:v>46523.0144</c:v>
                </c:pt>
                <c:pt idx="11">
                  <c:v>50195.479099999997</c:v>
                </c:pt>
                <c:pt idx="12">
                  <c:v>44407.6976</c:v>
                </c:pt>
                <c:pt idx="13">
                  <c:v>37140.363100000002</c:v>
                </c:pt>
                <c:pt idx="14">
                  <c:v>31485.8966</c:v>
                </c:pt>
                <c:pt idx="15">
                  <c:v>30307.368699999999</c:v>
                </c:pt>
                <c:pt idx="16">
                  <c:v>31025.455699999999</c:v>
                </c:pt>
                <c:pt idx="17">
                  <c:v>33734.589699999997</c:v>
                </c:pt>
                <c:pt idx="18">
                  <c:v>31211.900099999999</c:v>
                </c:pt>
                <c:pt idx="19">
                  <c:v>22049.160899999999</c:v>
                </c:pt>
                <c:pt idx="20">
                  <c:v>17308.3858</c:v>
                </c:pt>
                <c:pt idx="21">
                  <c:v>17111.642100000001</c:v>
                </c:pt>
                <c:pt idx="22">
                  <c:v>12632.9154</c:v>
                </c:pt>
                <c:pt idx="23">
                  <c:v>15364.284600000001</c:v>
                </c:pt>
                <c:pt idx="24">
                  <c:v>17057.702099999999</c:v>
                </c:pt>
                <c:pt idx="25">
                  <c:v>18847.066299999999</c:v>
                </c:pt>
                <c:pt idx="26">
                  <c:v>21197.165799999999</c:v>
                </c:pt>
                <c:pt idx="27">
                  <c:v>23432.2192</c:v>
                </c:pt>
                <c:pt idx="28">
                  <c:v>30844.301200000002</c:v>
                </c:pt>
                <c:pt idx="29">
                  <c:v>35193.0789</c:v>
                </c:pt>
                <c:pt idx="30">
                  <c:v>39902.967199999999</c:v>
                </c:pt>
                <c:pt idx="31">
                  <c:v>40136.449099999998</c:v>
                </c:pt>
                <c:pt idx="32">
                  <c:v>41843.4378</c:v>
                </c:pt>
                <c:pt idx="33">
                  <c:v>41256.2592</c:v>
                </c:pt>
                <c:pt idx="34">
                  <c:v>40820.3053</c:v>
                </c:pt>
                <c:pt idx="35">
                  <c:v>44603.127399999998</c:v>
                </c:pt>
                <c:pt idx="36">
                  <c:v>45900.481800000001</c:v>
                </c:pt>
                <c:pt idx="37">
                  <c:v>45082.859799999998</c:v>
                </c:pt>
                <c:pt idx="38">
                  <c:v>46216.322099999998</c:v>
                </c:pt>
                <c:pt idx="39">
                  <c:v>52771.548300000002</c:v>
                </c:pt>
                <c:pt idx="40">
                  <c:v>59612.125500000002</c:v>
                </c:pt>
                <c:pt idx="41">
                  <c:v>58782.258999999998</c:v>
                </c:pt>
                <c:pt idx="42">
                  <c:v>61300.263800000001</c:v>
                </c:pt>
                <c:pt idx="43">
                  <c:v>59568.673300000002</c:v>
                </c:pt>
                <c:pt idx="44">
                  <c:v>58545.358500000002</c:v>
                </c:pt>
              </c:numCache>
            </c:numRef>
          </c:val>
          <c:smooth val="0"/>
          <c:extLst>
            <c:ext xmlns:c16="http://schemas.microsoft.com/office/drawing/2014/chart" uri="{C3380CC4-5D6E-409C-BE32-E72D297353CC}">
              <c16:uniqueId val="{00000001-49D7-4131-9A4B-2941521523D2}"/>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_(* \(#,##0\);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'MULTILAYER PERCEPTRON'!$B$1</c:f>
              <c:strCache>
                <c:ptCount val="1"/>
                <c:pt idx="0">
                  <c:v>Valor Real</c:v>
                </c:pt>
              </c:strCache>
            </c:strRef>
          </c:tx>
          <c:spPr>
            <a:ln w="28575" cap="rnd">
              <a:solidFill>
                <a:schemeClr val="accent2"/>
              </a:solidFill>
              <a:round/>
            </a:ln>
            <a:effectLst/>
          </c:spPr>
          <c:marker>
            <c:symbol val="none"/>
          </c:marker>
          <c:val>
            <c:numRef>
              <c:f>'MULTILAYER PERCEPTRON'!$B$14:$B$58</c:f>
              <c:numCache>
                <c:formatCode>_(* #,##0_);_(* \(#,##0\);_(* "-"??_);_(@_)</c:formatCode>
                <c:ptCount val="45"/>
                <c:pt idx="0">
                  <c:v>28994.009765999999</c:v>
                </c:pt>
                <c:pt idx="1">
                  <c:v>33114.578125</c:v>
                </c:pt>
                <c:pt idx="2">
                  <c:v>45159.503905999998</c:v>
                </c:pt>
                <c:pt idx="3">
                  <c:v>58926.5625</c:v>
                </c:pt>
                <c:pt idx="4">
                  <c:v>57714.664062999997</c:v>
                </c:pt>
                <c:pt idx="5">
                  <c:v>37293.792969000002</c:v>
                </c:pt>
                <c:pt idx="6">
                  <c:v>35035.984375</c:v>
                </c:pt>
                <c:pt idx="7">
                  <c:v>41460.84375</c:v>
                </c:pt>
                <c:pt idx="8">
                  <c:v>47099.773437999997</c:v>
                </c:pt>
                <c:pt idx="9">
                  <c:v>43816.742187999997</c:v>
                </c:pt>
                <c:pt idx="10">
                  <c:v>61320.449219000002</c:v>
                </c:pt>
                <c:pt idx="11">
                  <c:v>56907.964844000002</c:v>
                </c:pt>
                <c:pt idx="12">
                  <c:v>46311.746094000002</c:v>
                </c:pt>
                <c:pt idx="13">
                  <c:v>38481.765625</c:v>
                </c:pt>
                <c:pt idx="14">
                  <c:v>43194.503905999998</c:v>
                </c:pt>
                <c:pt idx="15">
                  <c:v>45554.164062999997</c:v>
                </c:pt>
                <c:pt idx="16">
                  <c:v>37713.265625</c:v>
                </c:pt>
                <c:pt idx="17">
                  <c:v>31792.554688</c:v>
                </c:pt>
                <c:pt idx="18">
                  <c:v>19820.470702999999</c:v>
                </c:pt>
                <c:pt idx="19">
                  <c:v>23336.71875</c:v>
                </c:pt>
                <c:pt idx="20">
                  <c:v>20050.498047000001</c:v>
                </c:pt>
                <c:pt idx="21">
                  <c:v>19431.105468999998</c:v>
                </c:pt>
                <c:pt idx="22">
                  <c:v>20494.898438</c:v>
                </c:pt>
                <c:pt idx="23">
                  <c:v>17168.001952999999</c:v>
                </c:pt>
                <c:pt idx="24">
                  <c:v>16547.914063</c:v>
                </c:pt>
                <c:pt idx="25">
                  <c:v>23137.835938</c:v>
                </c:pt>
                <c:pt idx="26">
                  <c:v>23150.929688</c:v>
                </c:pt>
                <c:pt idx="27">
                  <c:v>28473.332031000002</c:v>
                </c:pt>
                <c:pt idx="28">
                  <c:v>29227.103515999999</c:v>
                </c:pt>
                <c:pt idx="29">
                  <c:v>27218.412109000001</c:v>
                </c:pt>
                <c:pt idx="30">
                  <c:v>30471.847656000002</c:v>
                </c:pt>
                <c:pt idx="31">
                  <c:v>29230.873047000001</c:v>
                </c:pt>
                <c:pt idx="32">
                  <c:v>25934.021484000001</c:v>
                </c:pt>
                <c:pt idx="33">
                  <c:v>26967.396484000001</c:v>
                </c:pt>
                <c:pt idx="34">
                  <c:v>34657.273437999997</c:v>
                </c:pt>
                <c:pt idx="35">
                  <c:v>37718.007812999997</c:v>
                </c:pt>
                <c:pt idx="36">
                  <c:v>42280.234375</c:v>
                </c:pt>
                <c:pt idx="37">
                  <c:v>42569.761719000002</c:v>
                </c:pt>
                <c:pt idx="38">
                  <c:v>61168.0625</c:v>
                </c:pt>
                <c:pt idx="39">
                  <c:v>71333.484375</c:v>
                </c:pt>
                <c:pt idx="40">
                  <c:v>60609.496094000002</c:v>
                </c:pt>
                <c:pt idx="41">
                  <c:v>67489.609375</c:v>
                </c:pt>
                <c:pt idx="42">
                  <c:v>62673.605469000002</c:v>
                </c:pt>
                <c:pt idx="43">
                  <c:v>64625.839844000002</c:v>
                </c:pt>
                <c:pt idx="44">
                  <c:v>58969.800780999998</c:v>
                </c:pt>
              </c:numCache>
            </c:numRef>
          </c:val>
          <c:smooth val="0"/>
          <c:extLst>
            <c:ext xmlns:c16="http://schemas.microsoft.com/office/drawing/2014/chart" uri="{C3380CC4-5D6E-409C-BE32-E72D297353CC}">
              <c16:uniqueId val="{00000000-6212-4720-B435-C377DD51FBB9}"/>
            </c:ext>
          </c:extLst>
        </c:ser>
        <c:ser>
          <c:idx val="2"/>
          <c:order val="1"/>
          <c:tx>
            <c:strRef>
              <c:f>'MULTILAYER PERCEPTRON'!$D$1</c:f>
              <c:strCache>
                <c:ptCount val="1"/>
                <c:pt idx="0">
                  <c:v>Forecast</c:v>
                </c:pt>
              </c:strCache>
            </c:strRef>
          </c:tx>
          <c:spPr>
            <a:ln w="28575" cap="rnd">
              <a:solidFill>
                <a:schemeClr val="accent3"/>
              </a:solidFill>
              <a:prstDash val="sysDash"/>
              <a:round/>
            </a:ln>
            <a:effectLst/>
          </c:spPr>
          <c:marker>
            <c:symbol val="none"/>
          </c:marker>
          <c:val>
            <c:numRef>
              <c:f>'MULTILAYER PERCEPTRON'!$D$14:$D$59</c:f>
              <c:numCache>
                <c:formatCode>_(* #,##0_);_(* \(#,##0\);_(* "-"??_);_(@_)</c:formatCode>
                <c:ptCount val="46"/>
                <c:pt idx="0">
                  <c:v>31757.1626</c:v>
                </c:pt>
                <c:pt idx="1">
                  <c:v>35429.974600000001</c:v>
                </c:pt>
                <c:pt idx="2">
                  <c:v>45828.6613</c:v>
                </c:pt>
                <c:pt idx="3">
                  <c:v>62974.841500000002</c:v>
                </c:pt>
                <c:pt idx="4">
                  <c:v>57984.705999999998</c:v>
                </c:pt>
                <c:pt idx="5">
                  <c:v>37475.159099999997</c:v>
                </c:pt>
                <c:pt idx="6">
                  <c:v>34322.966699999997</c:v>
                </c:pt>
                <c:pt idx="7">
                  <c:v>40802.079100000003</c:v>
                </c:pt>
                <c:pt idx="8">
                  <c:v>49950.641199999998</c:v>
                </c:pt>
                <c:pt idx="9">
                  <c:v>46516.212099999997</c:v>
                </c:pt>
                <c:pt idx="10">
                  <c:v>62883.018100000001</c:v>
                </c:pt>
                <c:pt idx="11">
                  <c:v>57509.777699999999</c:v>
                </c:pt>
                <c:pt idx="12">
                  <c:v>47544.785900000003</c:v>
                </c:pt>
                <c:pt idx="13">
                  <c:v>40873.347399999999</c:v>
                </c:pt>
                <c:pt idx="14">
                  <c:v>44429.870499999997</c:v>
                </c:pt>
                <c:pt idx="15">
                  <c:v>49174.526899999997</c:v>
                </c:pt>
                <c:pt idx="16">
                  <c:v>38376.272400000002</c:v>
                </c:pt>
                <c:pt idx="17">
                  <c:v>30966.782800000001</c:v>
                </c:pt>
                <c:pt idx="18">
                  <c:v>21689.155299999999</c:v>
                </c:pt>
                <c:pt idx="19">
                  <c:v>26990.408500000001</c:v>
                </c:pt>
                <c:pt idx="20">
                  <c:v>21596.0612</c:v>
                </c:pt>
                <c:pt idx="21">
                  <c:v>20876.750499999998</c:v>
                </c:pt>
                <c:pt idx="22">
                  <c:v>20419.2821</c:v>
                </c:pt>
                <c:pt idx="23">
                  <c:v>18162.605100000001</c:v>
                </c:pt>
                <c:pt idx="24">
                  <c:v>20066.298200000001</c:v>
                </c:pt>
                <c:pt idx="25">
                  <c:v>25760.636600000002</c:v>
                </c:pt>
                <c:pt idx="26">
                  <c:v>27149.996800000001</c:v>
                </c:pt>
                <c:pt idx="27">
                  <c:v>30262.448</c:v>
                </c:pt>
                <c:pt idx="28">
                  <c:v>33247.688099999999</c:v>
                </c:pt>
                <c:pt idx="29">
                  <c:v>29313.309499999999</c:v>
                </c:pt>
                <c:pt idx="30">
                  <c:v>31593.9107</c:v>
                </c:pt>
                <c:pt idx="31">
                  <c:v>28639.267400000001</c:v>
                </c:pt>
                <c:pt idx="32">
                  <c:v>25427.356199999998</c:v>
                </c:pt>
                <c:pt idx="33">
                  <c:v>30838.048500000001</c:v>
                </c:pt>
                <c:pt idx="34">
                  <c:v>35639.252200000003</c:v>
                </c:pt>
                <c:pt idx="35">
                  <c:v>38750.736900000004</c:v>
                </c:pt>
                <c:pt idx="36">
                  <c:v>46612.900699999998</c:v>
                </c:pt>
                <c:pt idx="37">
                  <c:v>45895.2238</c:v>
                </c:pt>
                <c:pt idx="38">
                  <c:v>61984.862699999998</c:v>
                </c:pt>
                <c:pt idx="39">
                  <c:v>73725.695099999997</c:v>
                </c:pt>
                <c:pt idx="40">
                  <c:v>61760.697399999997</c:v>
                </c:pt>
                <c:pt idx="41">
                  <c:v>69745.542499999996</c:v>
                </c:pt>
                <c:pt idx="42">
                  <c:v>65170.650699999998</c:v>
                </c:pt>
                <c:pt idx="43">
                  <c:v>65782.130300000004</c:v>
                </c:pt>
                <c:pt idx="44">
                  <c:v>61270.540800000002</c:v>
                </c:pt>
              </c:numCache>
            </c:numRef>
          </c:val>
          <c:smooth val="0"/>
          <c:extLst>
            <c:ext xmlns:c16="http://schemas.microsoft.com/office/drawing/2014/chart" uri="{C3380CC4-5D6E-409C-BE32-E72D297353CC}">
              <c16:uniqueId val="{00000001-6212-4720-B435-C377DD51FBB9}"/>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_(* \(#,##0\);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SMOreg!$B$1</c:f>
              <c:strCache>
                <c:ptCount val="1"/>
                <c:pt idx="0">
                  <c:v>Valor Real</c:v>
                </c:pt>
              </c:strCache>
            </c:strRef>
          </c:tx>
          <c:spPr>
            <a:ln w="28575" cap="rnd">
              <a:solidFill>
                <a:schemeClr val="accent2"/>
              </a:solidFill>
              <a:round/>
            </a:ln>
            <a:effectLst/>
          </c:spPr>
          <c:marker>
            <c:symbol val="none"/>
          </c:marker>
          <c:val>
            <c:numRef>
              <c:f>SMOreg!$B$14:$B$58</c:f>
              <c:numCache>
                <c:formatCode>_(* #,##0_);_(* \(#,##0\);_(* "-"??_);_(@_)</c:formatCode>
                <c:ptCount val="45"/>
                <c:pt idx="0">
                  <c:v>28994.009765999999</c:v>
                </c:pt>
                <c:pt idx="1">
                  <c:v>33114.578125</c:v>
                </c:pt>
                <c:pt idx="2">
                  <c:v>45159.503905999998</c:v>
                </c:pt>
                <c:pt idx="3">
                  <c:v>58926.5625</c:v>
                </c:pt>
                <c:pt idx="4">
                  <c:v>57714.664062999997</c:v>
                </c:pt>
                <c:pt idx="5">
                  <c:v>37293.792969000002</c:v>
                </c:pt>
                <c:pt idx="6">
                  <c:v>35035.984375</c:v>
                </c:pt>
                <c:pt idx="7">
                  <c:v>41460.84375</c:v>
                </c:pt>
                <c:pt idx="8">
                  <c:v>47099.773437999997</c:v>
                </c:pt>
                <c:pt idx="9">
                  <c:v>43816.742187999997</c:v>
                </c:pt>
                <c:pt idx="10">
                  <c:v>61320.449219000002</c:v>
                </c:pt>
                <c:pt idx="11">
                  <c:v>56907.964844000002</c:v>
                </c:pt>
                <c:pt idx="12">
                  <c:v>46311.746094000002</c:v>
                </c:pt>
                <c:pt idx="13">
                  <c:v>38481.765625</c:v>
                </c:pt>
                <c:pt idx="14">
                  <c:v>43194.503905999998</c:v>
                </c:pt>
                <c:pt idx="15">
                  <c:v>45554.164062999997</c:v>
                </c:pt>
                <c:pt idx="16">
                  <c:v>37713.265625</c:v>
                </c:pt>
                <c:pt idx="17">
                  <c:v>31792.554688</c:v>
                </c:pt>
                <c:pt idx="18">
                  <c:v>19820.470702999999</c:v>
                </c:pt>
                <c:pt idx="19">
                  <c:v>23336.71875</c:v>
                </c:pt>
                <c:pt idx="20">
                  <c:v>20050.498047000001</c:v>
                </c:pt>
                <c:pt idx="21">
                  <c:v>19431.105468999998</c:v>
                </c:pt>
                <c:pt idx="22">
                  <c:v>20494.898438</c:v>
                </c:pt>
                <c:pt idx="23">
                  <c:v>17168.001952999999</c:v>
                </c:pt>
                <c:pt idx="24">
                  <c:v>16547.914063</c:v>
                </c:pt>
                <c:pt idx="25">
                  <c:v>23137.835938</c:v>
                </c:pt>
                <c:pt idx="26">
                  <c:v>23150.929688</c:v>
                </c:pt>
                <c:pt idx="27">
                  <c:v>28473.332031000002</c:v>
                </c:pt>
                <c:pt idx="28">
                  <c:v>29227.103515999999</c:v>
                </c:pt>
                <c:pt idx="29">
                  <c:v>27218.412109000001</c:v>
                </c:pt>
                <c:pt idx="30">
                  <c:v>30471.847656000002</c:v>
                </c:pt>
                <c:pt idx="31">
                  <c:v>29230.873047000001</c:v>
                </c:pt>
                <c:pt idx="32">
                  <c:v>25934.021484000001</c:v>
                </c:pt>
                <c:pt idx="33">
                  <c:v>26967.396484000001</c:v>
                </c:pt>
                <c:pt idx="34">
                  <c:v>34657.273437999997</c:v>
                </c:pt>
                <c:pt idx="35">
                  <c:v>37718.007812999997</c:v>
                </c:pt>
                <c:pt idx="36">
                  <c:v>42280.234375</c:v>
                </c:pt>
                <c:pt idx="37">
                  <c:v>42569.761719000002</c:v>
                </c:pt>
                <c:pt idx="38">
                  <c:v>61168.0625</c:v>
                </c:pt>
                <c:pt idx="39">
                  <c:v>71333.484375</c:v>
                </c:pt>
                <c:pt idx="40">
                  <c:v>60609.496094000002</c:v>
                </c:pt>
                <c:pt idx="41">
                  <c:v>67489.609375</c:v>
                </c:pt>
                <c:pt idx="42">
                  <c:v>62673.605469000002</c:v>
                </c:pt>
                <c:pt idx="43">
                  <c:v>64625.839844000002</c:v>
                </c:pt>
                <c:pt idx="44">
                  <c:v>58969.800780999998</c:v>
                </c:pt>
              </c:numCache>
            </c:numRef>
          </c:val>
          <c:smooth val="0"/>
          <c:extLst>
            <c:ext xmlns:c16="http://schemas.microsoft.com/office/drawing/2014/chart" uri="{C3380CC4-5D6E-409C-BE32-E72D297353CC}">
              <c16:uniqueId val="{00000000-802F-462A-BED2-FDE736585319}"/>
            </c:ext>
          </c:extLst>
        </c:ser>
        <c:ser>
          <c:idx val="2"/>
          <c:order val="1"/>
          <c:tx>
            <c:strRef>
              <c:f>SMOreg!$D$1</c:f>
              <c:strCache>
                <c:ptCount val="1"/>
                <c:pt idx="0">
                  <c:v>Forecast</c:v>
                </c:pt>
              </c:strCache>
            </c:strRef>
          </c:tx>
          <c:spPr>
            <a:ln w="28575" cap="rnd">
              <a:solidFill>
                <a:schemeClr val="accent3"/>
              </a:solidFill>
              <a:prstDash val="sysDash"/>
              <a:round/>
            </a:ln>
            <a:effectLst/>
          </c:spPr>
          <c:marker>
            <c:symbol val="none"/>
          </c:marker>
          <c:val>
            <c:numRef>
              <c:f>SMOreg!$D$14:$D$59</c:f>
              <c:numCache>
                <c:formatCode>_(* #,##0_);_(* \(#,##0\);_(* "-"??_);_(@_)</c:formatCode>
                <c:ptCount val="46"/>
                <c:pt idx="0">
                  <c:v>28206.808099999998</c:v>
                </c:pt>
                <c:pt idx="1">
                  <c:v>32990.486400000002</c:v>
                </c:pt>
                <c:pt idx="2">
                  <c:v>34375.315499999997</c:v>
                </c:pt>
                <c:pt idx="3">
                  <c:v>43490.217100000002</c:v>
                </c:pt>
                <c:pt idx="4">
                  <c:v>52063.2143</c:v>
                </c:pt>
                <c:pt idx="5">
                  <c:v>50065.227599999998</c:v>
                </c:pt>
                <c:pt idx="6">
                  <c:v>38391.371800000001</c:v>
                </c:pt>
                <c:pt idx="7">
                  <c:v>41470.056600000004</c:v>
                </c:pt>
                <c:pt idx="8">
                  <c:v>45342.875999999997</c:v>
                </c:pt>
                <c:pt idx="9">
                  <c:v>45258.865400000002</c:v>
                </c:pt>
                <c:pt idx="10">
                  <c:v>42266.930200000003</c:v>
                </c:pt>
                <c:pt idx="11">
                  <c:v>56830.444799999997</c:v>
                </c:pt>
                <c:pt idx="12">
                  <c:v>47949.940300000002</c:v>
                </c:pt>
                <c:pt idx="13">
                  <c:v>38488.408600000002</c:v>
                </c:pt>
                <c:pt idx="14">
                  <c:v>37645.701200000003</c:v>
                </c:pt>
                <c:pt idx="15">
                  <c:v>43351.891100000001</c:v>
                </c:pt>
                <c:pt idx="16">
                  <c:v>37621.898800000003</c:v>
                </c:pt>
                <c:pt idx="17">
                  <c:v>33579.547599999998</c:v>
                </c:pt>
                <c:pt idx="18">
                  <c:v>32794.652399999999</c:v>
                </c:pt>
                <c:pt idx="19">
                  <c:v>23208.7405</c:v>
                </c:pt>
                <c:pt idx="20">
                  <c:v>20024.660899999999</c:v>
                </c:pt>
                <c:pt idx="21">
                  <c:v>20516.940399999999</c:v>
                </c:pt>
                <c:pt idx="22">
                  <c:v>17997.631399999998</c:v>
                </c:pt>
                <c:pt idx="23">
                  <c:v>18770.290300000001</c:v>
                </c:pt>
                <c:pt idx="24">
                  <c:v>16975.284299999999</c:v>
                </c:pt>
                <c:pt idx="25">
                  <c:v>17516.062600000001</c:v>
                </c:pt>
                <c:pt idx="26">
                  <c:v>23050.819899999999</c:v>
                </c:pt>
                <c:pt idx="27">
                  <c:v>23005.560099999999</c:v>
                </c:pt>
                <c:pt idx="28">
                  <c:v>29463.130700000002</c:v>
                </c:pt>
                <c:pt idx="29">
                  <c:v>30486.84</c:v>
                </c:pt>
                <c:pt idx="30">
                  <c:v>33972.938199999997</c:v>
                </c:pt>
                <c:pt idx="31">
                  <c:v>34472.178200000002</c:v>
                </c:pt>
                <c:pt idx="32">
                  <c:v>35209.321799999998</c:v>
                </c:pt>
                <c:pt idx="33">
                  <c:v>33694.624799999998</c:v>
                </c:pt>
                <c:pt idx="34">
                  <c:v>34047.120300000002</c:v>
                </c:pt>
                <c:pt idx="35">
                  <c:v>40377.923199999997</c:v>
                </c:pt>
                <c:pt idx="36">
                  <c:v>42278.420299999998</c:v>
                </c:pt>
                <c:pt idx="37">
                  <c:v>42440.589599999999</c:v>
                </c:pt>
                <c:pt idx="38">
                  <c:v>44483.7958</c:v>
                </c:pt>
                <c:pt idx="39">
                  <c:v>57524.443599999999</c:v>
                </c:pt>
                <c:pt idx="40">
                  <c:v>62830.651100000003</c:v>
                </c:pt>
                <c:pt idx="41">
                  <c:v>56413.539499999999</c:v>
                </c:pt>
                <c:pt idx="42">
                  <c:v>62771.590199999999</c:v>
                </c:pt>
                <c:pt idx="43">
                  <c:v>60750.712200000002</c:v>
                </c:pt>
                <c:pt idx="44">
                  <c:v>59008.226300000002</c:v>
                </c:pt>
              </c:numCache>
            </c:numRef>
          </c:val>
          <c:smooth val="0"/>
          <c:extLst>
            <c:ext xmlns:c16="http://schemas.microsoft.com/office/drawing/2014/chart" uri="{C3380CC4-5D6E-409C-BE32-E72D297353CC}">
              <c16:uniqueId val="{00000001-802F-462A-BED2-FDE736585319}"/>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_(* \(#,##0\);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PA"/>
              <a:t>Periodo Gráfico de los residuales</a:t>
            </a:r>
          </a:p>
        </c:rich>
      </c:tx>
      <c:overlay val="0"/>
    </c:title>
    <c:autoTitleDeleted val="0"/>
    <c:plotArea>
      <c:layout/>
      <c:scatterChart>
        <c:scatterStyle val="lineMarker"/>
        <c:varyColors val="0"/>
        <c:ser>
          <c:idx val="0"/>
          <c:order val="0"/>
          <c:spPr>
            <a:ln w="38100">
              <a:noFill/>
            </a:ln>
          </c:spPr>
          <c:xVal>
            <c:numRef>
              <c:f>Hoja1!$A$2:$A$58</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xVal>
          <c:yVal>
            <c:numRef>
              <c:f>Hoja1!$J$26:$J$82</c:f>
              <c:numCache>
                <c:formatCode>General</c:formatCode>
                <c:ptCount val="57"/>
                <c:pt idx="0">
                  <c:v>-9006.5242256170422</c:v>
                </c:pt>
                <c:pt idx="1">
                  <c:v>-7467.3654608149318</c:v>
                </c:pt>
                <c:pt idx="2">
                  <c:v>-8826.2706610128189</c:v>
                </c:pt>
                <c:pt idx="3">
                  <c:v>-11601.016681210705</c:v>
                </c:pt>
                <c:pt idx="4">
                  <c:v>-9977.8603574085901</c:v>
                </c:pt>
                <c:pt idx="5">
                  <c:v>-9799.3436826064808</c:v>
                </c:pt>
                <c:pt idx="6">
                  <c:v>-10729.270366804365</c:v>
                </c:pt>
                <c:pt idx="7">
                  <c:v>-9164.9919730022521</c:v>
                </c:pt>
                <c:pt idx="8">
                  <c:v>-9420.5524472001398</c:v>
                </c:pt>
                <c:pt idx="9">
                  <c:v>-10916.920537398028</c:v>
                </c:pt>
                <c:pt idx="10">
                  <c:v>-8543.4868705959143</c:v>
                </c:pt>
                <c:pt idx="11">
                  <c:v>-3303.0190237938004</c:v>
                </c:pt>
                <c:pt idx="12">
                  <c:v>5444.9146440083096</c:v>
                </c:pt>
                <c:pt idx="13">
                  <c:v>8953.1764358104265</c:v>
                </c:pt>
                <c:pt idx="14">
                  <c:v>20385.795649612533</c:v>
                </c:pt>
                <c:pt idx="15">
                  <c:v>33540.547676414652</c:v>
                </c:pt>
                <c:pt idx="16">
                  <c:v>31716.342672216757</c:v>
                </c:pt>
                <c:pt idx="17">
                  <c:v>10683.165011018878</c:v>
                </c:pt>
                <c:pt idx="18">
                  <c:v>7813.049849820989</c:v>
                </c:pt>
                <c:pt idx="19">
                  <c:v>13625.602657623102</c:v>
                </c:pt>
                <c:pt idx="20">
                  <c:v>18652.225778425211</c:v>
                </c:pt>
                <c:pt idx="21">
                  <c:v>14756.887961227323</c:v>
                </c:pt>
                <c:pt idx="22">
                  <c:v>31648.288425029441</c:v>
                </c:pt>
                <c:pt idx="23">
                  <c:v>26623.497482831553</c:v>
                </c:pt>
                <c:pt idx="24">
                  <c:v>15414.97216563367</c:v>
                </c:pt>
                <c:pt idx="25">
                  <c:v>6972.6851294357766</c:v>
                </c:pt>
                <c:pt idx="26">
                  <c:v>11073.116843237891</c:v>
                </c:pt>
                <c:pt idx="27">
                  <c:v>12820.470433040002</c:v>
                </c:pt>
                <c:pt idx="28">
                  <c:v>4367.2654278421178</c:v>
                </c:pt>
                <c:pt idx="29">
                  <c:v>-2165.7520763557732</c:v>
                </c:pt>
                <c:pt idx="30">
                  <c:v>-14750.142628553658</c:v>
                </c:pt>
                <c:pt idx="31">
                  <c:v>-11846.201148751541</c:v>
                </c:pt>
                <c:pt idx="32">
                  <c:v>-15744.728418949431</c:v>
                </c:pt>
                <c:pt idx="33">
                  <c:v>-16976.427564147325</c:v>
                </c:pt>
                <c:pt idx="34">
                  <c:v>-16524.941162345207</c:v>
                </c:pt>
                <c:pt idx="35">
                  <c:v>-20464.144214543092</c:v>
                </c:pt>
                <c:pt idx="36">
                  <c:v>-21696.538671740982</c:v>
                </c:pt>
                <c:pt idx="37">
                  <c:v>-15718.923363938866</c:v>
                </c:pt>
                <c:pt idx="38">
                  <c:v>-16318.136181136757</c:v>
                </c:pt>
                <c:pt idx="39">
                  <c:v>-11608.040405334639</c:v>
                </c:pt>
                <c:pt idx="40">
                  <c:v>-11466.575487532526</c:v>
                </c:pt>
                <c:pt idx="41">
                  <c:v>-14087.573461730415</c:v>
                </c:pt>
                <c:pt idx="42">
                  <c:v>-11446.444481928305</c:v>
                </c:pt>
                <c:pt idx="43">
                  <c:v>-13299.72565812619</c:v>
                </c:pt>
                <c:pt idx="44">
                  <c:v>-17208.883788324074</c:v>
                </c:pt>
                <c:pt idx="45">
                  <c:v>-16787.815355521965</c:v>
                </c:pt>
                <c:pt idx="46">
                  <c:v>-9710.2449687198605</c:v>
                </c:pt>
                <c:pt idx="47">
                  <c:v>-7261.8171609177443</c:v>
                </c:pt>
                <c:pt idx="48">
                  <c:v>-3311.8971661156247</c:v>
                </c:pt>
                <c:pt idx="49">
                  <c:v>-3634.6763893135067</c:v>
                </c:pt>
                <c:pt idx="50">
                  <c:v>14351.3178244886</c:v>
                </c:pt>
                <c:pt idx="51">
                  <c:v>23904.433132290709</c:v>
                </c:pt>
                <c:pt idx="52">
                  <c:v>12568.138284092827</c:v>
                </c:pt>
                <c:pt idx="53">
                  <c:v>18835.944997894941</c:v>
                </c:pt>
                <c:pt idx="54">
                  <c:v>13407.634524697052</c:v>
                </c:pt>
                <c:pt idx="55">
                  <c:v>14747.562332499168</c:v>
                </c:pt>
                <c:pt idx="56">
                  <c:v>8479.2167023012735</c:v>
                </c:pt>
              </c:numCache>
            </c:numRef>
          </c:yVal>
          <c:smooth val="0"/>
          <c:extLst>
            <c:ext xmlns:c16="http://schemas.microsoft.com/office/drawing/2014/chart" uri="{C3380CC4-5D6E-409C-BE32-E72D297353CC}">
              <c16:uniqueId val="{00000001-AA55-473F-8CFC-C1E78A0B303F}"/>
            </c:ext>
          </c:extLst>
        </c:ser>
        <c:dLbls>
          <c:showLegendKey val="0"/>
          <c:showVal val="0"/>
          <c:showCatName val="0"/>
          <c:showSerName val="0"/>
          <c:showPercent val="0"/>
          <c:showBubbleSize val="0"/>
        </c:dLbls>
        <c:axId val="744677240"/>
        <c:axId val="744675440"/>
      </c:scatterChart>
      <c:valAx>
        <c:axId val="744677240"/>
        <c:scaling>
          <c:orientation val="minMax"/>
        </c:scaling>
        <c:delete val="0"/>
        <c:axPos val="b"/>
        <c:title>
          <c:tx>
            <c:rich>
              <a:bodyPr/>
              <a:lstStyle/>
              <a:p>
                <a:pPr>
                  <a:defRPr/>
                </a:pPr>
                <a:r>
                  <a:rPr lang="es-PA"/>
                  <a:t>Periodo</a:t>
                </a:r>
              </a:p>
            </c:rich>
          </c:tx>
          <c:overlay val="0"/>
        </c:title>
        <c:numFmt formatCode="General" sourceLinked="1"/>
        <c:majorTickMark val="out"/>
        <c:minorTickMark val="none"/>
        <c:tickLblPos val="nextTo"/>
        <c:crossAx val="744675440"/>
        <c:crosses val="autoZero"/>
        <c:crossBetween val="midCat"/>
      </c:valAx>
      <c:valAx>
        <c:axId val="744675440"/>
        <c:scaling>
          <c:orientation val="minMax"/>
        </c:scaling>
        <c:delete val="0"/>
        <c:axPos val="l"/>
        <c:title>
          <c:tx>
            <c:rich>
              <a:bodyPr/>
              <a:lstStyle/>
              <a:p>
                <a:pPr>
                  <a:defRPr/>
                </a:pPr>
                <a:r>
                  <a:rPr lang="es-PA"/>
                  <a:t>Residuos</a:t>
                </a:r>
              </a:p>
            </c:rich>
          </c:tx>
          <c:overlay val="0"/>
        </c:title>
        <c:numFmt formatCode="General" sourceLinked="1"/>
        <c:majorTickMark val="out"/>
        <c:minorTickMark val="none"/>
        <c:tickLblPos val="nextTo"/>
        <c:crossAx val="7446772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PA"/>
              <a:t>Periodo Curva de regresión ajustada</a:t>
            </a:r>
          </a:p>
        </c:rich>
      </c:tx>
      <c:overlay val="0"/>
    </c:title>
    <c:autoTitleDeleted val="0"/>
    <c:plotArea>
      <c:layout/>
      <c:scatterChart>
        <c:scatterStyle val="lineMarker"/>
        <c:varyColors val="0"/>
        <c:ser>
          <c:idx val="0"/>
          <c:order val="0"/>
          <c:tx>
            <c:v>Valor Real</c:v>
          </c:tx>
          <c:spPr>
            <a:ln w="38100">
              <a:noFill/>
            </a:ln>
          </c:spPr>
          <c:xVal>
            <c:numRef>
              <c:f>Hoja1!$A$2:$A$58</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xVal>
          <c:yVal>
            <c:numRef>
              <c:f>Hoja1!$B$2:$B$58</c:f>
              <c:numCache>
                <c:formatCode>_(* #,##0.00_);_(* \(#,##0.00\);_(*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yVal>
          <c:smooth val="0"/>
          <c:extLst>
            <c:ext xmlns:c16="http://schemas.microsoft.com/office/drawing/2014/chart" uri="{C3380CC4-5D6E-409C-BE32-E72D297353CC}">
              <c16:uniqueId val="{00000001-AE0D-4FB6-A13D-A29A0931DC15}"/>
            </c:ext>
          </c:extLst>
        </c:ser>
        <c:ser>
          <c:idx val="1"/>
          <c:order val="1"/>
          <c:tx>
            <c:v>Pronóstico Valor Real</c:v>
          </c:tx>
          <c:spPr>
            <a:ln w="38100">
              <a:noFill/>
            </a:ln>
          </c:spPr>
          <c:xVal>
            <c:numRef>
              <c:f>Hoja1!$A$2:$A$58</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xVal>
          <c:yVal>
            <c:numRef>
              <c:f>Hoja1!$I$26:$I$82</c:f>
              <c:numCache>
                <c:formatCode>General</c:formatCode>
                <c:ptCount val="57"/>
                <c:pt idx="0">
                  <c:v>16201.416315617043</c:v>
                </c:pt>
                <c:pt idx="1">
                  <c:v>16813.722882814931</c:v>
                </c:pt>
                <c:pt idx="2">
                  <c:v>17426.029450012818</c:v>
                </c:pt>
                <c:pt idx="3">
                  <c:v>18038.336017210706</c:v>
                </c:pt>
                <c:pt idx="4">
                  <c:v>18650.64258440859</c:v>
                </c:pt>
                <c:pt idx="5">
                  <c:v>19262.949151606481</c:v>
                </c:pt>
                <c:pt idx="6">
                  <c:v>19875.255718804365</c:v>
                </c:pt>
                <c:pt idx="7">
                  <c:v>20487.562286002252</c:v>
                </c:pt>
                <c:pt idx="8">
                  <c:v>21099.86885320014</c:v>
                </c:pt>
                <c:pt idx="9">
                  <c:v>21712.175420398027</c:v>
                </c:pt>
                <c:pt idx="10">
                  <c:v>22324.481987595915</c:v>
                </c:pt>
                <c:pt idx="11">
                  <c:v>22936.788554793802</c:v>
                </c:pt>
                <c:pt idx="12">
                  <c:v>23549.09512199169</c:v>
                </c:pt>
                <c:pt idx="13">
                  <c:v>24161.401689189574</c:v>
                </c:pt>
                <c:pt idx="14">
                  <c:v>24773.708256387465</c:v>
                </c:pt>
                <c:pt idx="15">
                  <c:v>25386.014823585348</c:v>
                </c:pt>
                <c:pt idx="16">
                  <c:v>25998.32139078324</c:v>
                </c:pt>
                <c:pt idx="17">
                  <c:v>26610.627957981123</c:v>
                </c:pt>
                <c:pt idx="18">
                  <c:v>27222.934525179011</c:v>
                </c:pt>
                <c:pt idx="19">
                  <c:v>27835.241092376898</c:v>
                </c:pt>
                <c:pt idx="20">
                  <c:v>28447.547659574786</c:v>
                </c:pt>
                <c:pt idx="21">
                  <c:v>29059.854226772673</c:v>
                </c:pt>
                <c:pt idx="22">
                  <c:v>29672.160793970561</c:v>
                </c:pt>
                <c:pt idx="23">
                  <c:v>30284.467361168448</c:v>
                </c:pt>
                <c:pt idx="24">
                  <c:v>30896.773928366332</c:v>
                </c:pt>
                <c:pt idx="25">
                  <c:v>31509.080495564223</c:v>
                </c:pt>
                <c:pt idx="26">
                  <c:v>32121.387062762107</c:v>
                </c:pt>
                <c:pt idx="27">
                  <c:v>32733.693629959995</c:v>
                </c:pt>
                <c:pt idx="28">
                  <c:v>33346.000197157882</c:v>
                </c:pt>
                <c:pt idx="29">
                  <c:v>33958.306764355773</c:v>
                </c:pt>
                <c:pt idx="30">
                  <c:v>34570.613331553657</c:v>
                </c:pt>
                <c:pt idx="31">
                  <c:v>35182.919898751541</c:v>
                </c:pt>
                <c:pt idx="32">
                  <c:v>35795.226465949432</c:v>
                </c:pt>
                <c:pt idx="33">
                  <c:v>36407.533033147323</c:v>
                </c:pt>
                <c:pt idx="34">
                  <c:v>37019.839600345207</c:v>
                </c:pt>
                <c:pt idx="35">
                  <c:v>37632.146167543091</c:v>
                </c:pt>
                <c:pt idx="36">
                  <c:v>38244.452734740982</c:v>
                </c:pt>
                <c:pt idx="37">
                  <c:v>38856.759301938866</c:v>
                </c:pt>
                <c:pt idx="38">
                  <c:v>39469.065869136757</c:v>
                </c:pt>
                <c:pt idx="39">
                  <c:v>40081.372436334641</c:v>
                </c:pt>
                <c:pt idx="40">
                  <c:v>40693.679003532525</c:v>
                </c:pt>
                <c:pt idx="41">
                  <c:v>41305.985570730416</c:v>
                </c:pt>
                <c:pt idx="42">
                  <c:v>41918.292137928307</c:v>
                </c:pt>
                <c:pt idx="43">
                  <c:v>42530.598705126191</c:v>
                </c:pt>
                <c:pt idx="44">
                  <c:v>43142.905272324075</c:v>
                </c:pt>
                <c:pt idx="45">
                  <c:v>43755.211839521966</c:v>
                </c:pt>
                <c:pt idx="46">
                  <c:v>44367.518406719857</c:v>
                </c:pt>
                <c:pt idx="47">
                  <c:v>44979.824973917741</c:v>
                </c:pt>
                <c:pt idx="48">
                  <c:v>45592.131541115625</c:v>
                </c:pt>
                <c:pt idx="49">
                  <c:v>46204.438108313509</c:v>
                </c:pt>
                <c:pt idx="50">
                  <c:v>46816.7446755114</c:v>
                </c:pt>
                <c:pt idx="51">
                  <c:v>47429.051242709291</c:v>
                </c:pt>
                <c:pt idx="52">
                  <c:v>48041.357809907175</c:v>
                </c:pt>
                <c:pt idx="53">
                  <c:v>48653.664377105059</c:v>
                </c:pt>
                <c:pt idx="54">
                  <c:v>49265.97094430295</c:v>
                </c:pt>
                <c:pt idx="55">
                  <c:v>49878.277511500833</c:v>
                </c:pt>
                <c:pt idx="56">
                  <c:v>50490.584078698725</c:v>
                </c:pt>
              </c:numCache>
            </c:numRef>
          </c:yVal>
          <c:smooth val="0"/>
          <c:extLst>
            <c:ext xmlns:c16="http://schemas.microsoft.com/office/drawing/2014/chart" uri="{C3380CC4-5D6E-409C-BE32-E72D297353CC}">
              <c16:uniqueId val="{00000002-AE0D-4FB6-A13D-A29A0931DC15}"/>
            </c:ext>
          </c:extLst>
        </c:ser>
        <c:dLbls>
          <c:showLegendKey val="0"/>
          <c:showVal val="0"/>
          <c:showCatName val="0"/>
          <c:showSerName val="0"/>
          <c:showPercent val="0"/>
          <c:showBubbleSize val="0"/>
        </c:dLbls>
        <c:axId val="570414216"/>
        <c:axId val="570414576"/>
      </c:scatterChart>
      <c:valAx>
        <c:axId val="570414216"/>
        <c:scaling>
          <c:orientation val="minMax"/>
        </c:scaling>
        <c:delete val="0"/>
        <c:axPos val="b"/>
        <c:title>
          <c:tx>
            <c:rich>
              <a:bodyPr/>
              <a:lstStyle/>
              <a:p>
                <a:pPr>
                  <a:defRPr/>
                </a:pPr>
                <a:r>
                  <a:rPr lang="es-PA"/>
                  <a:t>Periodo</a:t>
                </a:r>
              </a:p>
            </c:rich>
          </c:tx>
          <c:overlay val="0"/>
        </c:title>
        <c:numFmt formatCode="General" sourceLinked="1"/>
        <c:majorTickMark val="out"/>
        <c:minorTickMark val="none"/>
        <c:tickLblPos val="nextTo"/>
        <c:crossAx val="570414576"/>
        <c:crosses val="autoZero"/>
        <c:crossBetween val="midCat"/>
      </c:valAx>
      <c:valAx>
        <c:axId val="570414576"/>
        <c:scaling>
          <c:orientation val="minMax"/>
        </c:scaling>
        <c:delete val="0"/>
        <c:axPos val="l"/>
        <c:title>
          <c:tx>
            <c:rich>
              <a:bodyPr/>
              <a:lstStyle/>
              <a:p>
                <a:pPr>
                  <a:defRPr/>
                </a:pPr>
                <a:r>
                  <a:rPr lang="es-PA"/>
                  <a:t>Valor Real</a:t>
                </a:r>
              </a:p>
            </c:rich>
          </c:tx>
          <c:overlay val="0"/>
        </c:title>
        <c:numFmt formatCode="_(* #,##0.00_);_(* \(#,##0.00\);_(* &quot;-&quot;??_);_(@_)" sourceLinked="1"/>
        <c:majorTickMark val="out"/>
        <c:minorTickMark val="none"/>
        <c:tickLblPos val="nextTo"/>
        <c:crossAx val="5704142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PA"/>
              <a:t>Gráfico de probabilidad normal</a:t>
            </a:r>
          </a:p>
        </c:rich>
      </c:tx>
      <c:overlay val="0"/>
    </c:title>
    <c:autoTitleDeleted val="0"/>
    <c:plotArea>
      <c:layout/>
      <c:scatterChart>
        <c:scatterStyle val="lineMarker"/>
        <c:varyColors val="0"/>
        <c:ser>
          <c:idx val="0"/>
          <c:order val="0"/>
          <c:spPr>
            <a:ln w="38100">
              <a:noFill/>
            </a:ln>
          </c:spPr>
          <c:xVal>
            <c:numRef>
              <c:f>Hoja1!$M$26:$M$82</c:f>
              <c:numCache>
                <c:formatCode>General</c:formatCode>
                <c:ptCount val="57"/>
                <c:pt idx="0">
                  <c:v>0.87719298245613997</c:v>
                </c:pt>
                <c:pt idx="1">
                  <c:v>2.6315789473684208</c:v>
                </c:pt>
                <c:pt idx="2">
                  <c:v>4.3859649122807012</c:v>
                </c:pt>
                <c:pt idx="3">
                  <c:v>6.140350877192982</c:v>
                </c:pt>
                <c:pt idx="4">
                  <c:v>7.8947368421052628</c:v>
                </c:pt>
                <c:pt idx="5">
                  <c:v>9.6491228070175428</c:v>
                </c:pt>
                <c:pt idx="6">
                  <c:v>11.403508771929824</c:v>
                </c:pt>
                <c:pt idx="7">
                  <c:v>13.157894736842104</c:v>
                </c:pt>
                <c:pt idx="8">
                  <c:v>14.912280701754385</c:v>
                </c:pt>
                <c:pt idx="9">
                  <c:v>16.666666666666664</c:v>
                </c:pt>
                <c:pt idx="10">
                  <c:v>18.421052631578945</c:v>
                </c:pt>
                <c:pt idx="11">
                  <c:v>20.175438596491226</c:v>
                </c:pt>
                <c:pt idx="12">
                  <c:v>21.929824561403507</c:v>
                </c:pt>
                <c:pt idx="13">
                  <c:v>23.684210526315788</c:v>
                </c:pt>
                <c:pt idx="14">
                  <c:v>25.438596491228068</c:v>
                </c:pt>
                <c:pt idx="15">
                  <c:v>27.192982456140349</c:v>
                </c:pt>
                <c:pt idx="16">
                  <c:v>28.94736842105263</c:v>
                </c:pt>
                <c:pt idx="17">
                  <c:v>30.701754385964911</c:v>
                </c:pt>
                <c:pt idx="18">
                  <c:v>32.456140350877192</c:v>
                </c:pt>
                <c:pt idx="19">
                  <c:v>34.210526315789465</c:v>
                </c:pt>
                <c:pt idx="20">
                  <c:v>35.964912280701746</c:v>
                </c:pt>
                <c:pt idx="21">
                  <c:v>37.719298245614027</c:v>
                </c:pt>
                <c:pt idx="22">
                  <c:v>39.473684210526308</c:v>
                </c:pt>
                <c:pt idx="23">
                  <c:v>41.228070175438589</c:v>
                </c:pt>
                <c:pt idx="24">
                  <c:v>42.98245614035087</c:v>
                </c:pt>
                <c:pt idx="25">
                  <c:v>44.73684210526315</c:v>
                </c:pt>
                <c:pt idx="26">
                  <c:v>46.491228070175431</c:v>
                </c:pt>
                <c:pt idx="27">
                  <c:v>48.245614035087712</c:v>
                </c:pt>
                <c:pt idx="28">
                  <c:v>49.999999999999993</c:v>
                </c:pt>
                <c:pt idx="29">
                  <c:v>51.754385964912274</c:v>
                </c:pt>
                <c:pt idx="30">
                  <c:v>53.508771929824555</c:v>
                </c:pt>
                <c:pt idx="31">
                  <c:v>55.263157894736835</c:v>
                </c:pt>
                <c:pt idx="32">
                  <c:v>57.017543859649116</c:v>
                </c:pt>
                <c:pt idx="33">
                  <c:v>58.771929824561397</c:v>
                </c:pt>
                <c:pt idx="34">
                  <c:v>60.526315789473678</c:v>
                </c:pt>
                <c:pt idx="35">
                  <c:v>62.280701754385959</c:v>
                </c:pt>
                <c:pt idx="36">
                  <c:v>64.035087719298247</c:v>
                </c:pt>
                <c:pt idx="37">
                  <c:v>65.78947368421052</c:v>
                </c:pt>
                <c:pt idx="38">
                  <c:v>67.543859649122794</c:v>
                </c:pt>
                <c:pt idx="39">
                  <c:v>69.298245614035082</c:v>
                </c:pt>
                <c:pt idx="40">
                  <c:v>71.052631578947356</c:v>
                </c:pt>
                <c:pt idx="41">
                  <c:v>72.807017543859644</c:v>
                </c:pt>
                <c:pt idx="42">
                  <c:v>74.561403508771917</c:v>
                </c:pt>
                <c:pt idx="43">
                  <c:v>76.315789473684205</c:v>
                </c:pt>
                <c:pt idx="44">
                  <c:v>78.070175438596479</c:v>
                </c:pt>
                <c:pt idx="45">
                  <c:v>79.824561403508767</c:v>
                </c:pt>
                <c:pt idx="46">
                  <c:v>81.578947368421041</c:v>
                </c:pt>
                <c:pt idx="47">
                  <c:v>83.333333333333329</c:v>
                </c:pt>
                <c:pt idx="48">
                  <c:v>85.087719298245602</c:v>
                </c:pt>
                <c:pt idx="49">
                  <c:v>86.84210526315789</c:v>
                </c:pt>
                <c:pt idx="50">
                  <c:v>88.596491228070164</c:v>
                </c:pt>
                <c:pt idx="51">
                  <c:v>90.350877192982452</c:v>
                </c:pt>
                <c:pt idx="52">
                  <c:v>92.105263157894726</c:v>
                </c:pt>
                <c:pt idx="53">
                  <c:v>93.859649122807014</c:v>
                </c:pt>
                <c:pt idx="54">
                  <c:v>95.614035087719287</c:v>
                </c:pt>
                <c:pt idx="55">
                  <c:v>97.368421052631575</c:v>
                </c:pt>
                <c:pt idx="56">
                  <c:v>99.122807017543849</c:v>
                </c:pt>
              </c:numCache>
            </c:numRef>
          </c:xVal>
          <c:yVal>
            <c:numRef>
              <c:f>Hoja1!$N$26:$N$82</c:f>
              <c:numCache>
                <c:formatCode>General</c:formatCode>
                <c:ptCount val="57"/>
                <c:pt idx="0">
                  <c:v>6437.3193359999996</c:v>
                </c:pt>
                <c:pt idx="1">
                  <c:v>7194.8920900000003</c:v>
                </c:pt>
                <c:pt idx="2">
                  <c:v>8599.7587889999995</c:v>
                </c:pt>
                <c:pt idx="3">
                  <c:v>8672.7822269999997</c:v>
                </c:pt>
                <c:pt idx="4">
                  <c:v>9145.9853519999997</c:v>
                </c:pt>
                <c:pt idx="5">
                  <c:v>9346.3574219999991</c:v>
                </c:pt>
                <c:pt idx="6">
                  <c:v>9463.6054690000001</c:v>
                </c:pt>
                <c:pt idx="7">
                  <c:v>10795.254883</c:v>
                </c:pt>
                <c:pt idx="8">
                  <c:v>11322.570313</c:v>
                </c:pt>
                <c:pt idx="9">
                  <c:v>11679.316406</c:v>
                </c:pt>
                <c:pt idx="10">
                  <c:v>13780.995117</c:v>
                </c:pt>
                <c:pt idx="11">
                  <c:v>16547.914063</c:v>
                </c:pt>
                <c:pt idx="12">
                  <c:v>17168.001952999999</c:v>
                </c:pt>
                <c:pt idx="13">
                  <c:v>19431.105468999998</c:v>
                </c:pt>
                <c:pt idx="14">
                  <c:v>19633.769531000002</c:v>
                </c:pt>
                <c:pt idx="15">
                  <c:v>19820.470702999999</c:v>
                </c:pt>
                <c:pt idx="16">
                  <c:v>20050.498047000001</c:v>
                </c:pt>
                <c:pt idx="17">
                  <c:v>20494.898438</c:v>
                </c:pt>
                <c:pt idx="18">
                  <c:v>23137.835938</c:v>
                </c:pt>
                <c:pt idx="19">
                  <c:v>23150.929688</c:v>
                </c:pt>
                <c:pt idx="20">
                  <c:v>23336.71875</c:v>
                </c:pt>
                <c:pt idx="21">
                  <c:v>25934.021484000001</c:v>
                </c:pt>
                <c:pt idx="22">
                  <c:v>26967.396484000001</c:v>
                </c:pt>
                <c:pt idx="23">
                  <c:v>27218.412109000001</c:v>
                </c:pt>
                <c:pt idx="24">
                  <c:v>28473.332031000002</c:v>
                </c:pt>
                <c:pt idx="25">
                  <c:v>28994.009765999999</c:v>
                </c:pt>
                <c:pt idx="26">
                  <c:v>29227.103515999999</c:v>
                </c:pt>
                <c:pt idx="27">
                  <c:v>29230.873047000001</c:v>
                </c:pt>
                <c:pt idx="28">
                  <c:v>30471.847656000002</c:v>
                </c:pt>
                <c:pt idx="29">
                  <c:v>31792.554688</c:v>
                </c:pt>
                <c:pt idx="30">
                  <c:v>33114.578125</c:v>
                </c:pt>
                <c:pt idx="31">
                  <c:v>34657.273437999997</c:v>
                </c:pt>
                <c:pt idx="32">
                  <c:v>35035.984375</c:v>
                </c:pt>
                <c:pt idx="33">
                  <c:v>37293.792969000002</c:v>
                </c:pt>
                <c:pt idx="34">
                  <c:v>37713.265625</c:v>
                </c:pt>
                <c:pt idx="35">
                  <c:v>37718.007812999997</c:v>
                </c:pt>
                <c:pt idx="36">
                  <c:v>38481.765625</c:v>
                </c:pt>
                <c:pt idx="37">
                  <c:v>41460.84375</c:v>
                </c:pt>
                <c:pt idx="38">
                  <c:v>42280.234375</c:v>
                </c:pt>
                <c:pt idx="39">
                  <c:v>42569.761719000002</c:v>
                </c:pt>
                <c:pt idx="40">
                  <c:v>43194.503905999998</c:v>
                </c:pt>
                <c:pt idx="41">
                  <c:v>43816.742187999997</c:v>
                </c:pt>
                <c:pt idx="42">
                  <c:v>45159.503905999998</c:v>
                </c:pt>
                <c:pt idx="43">
                  <c:v>45554.164062999997</c:v>
                </c:pt>
                <c:pt idx="44">
                  <c:v>46311.746094000002</c:v>
                </c:pt>
                <c:pt idx="45">
                  <c:v>47099.773437999997</c:v>
                </c:pt>
                <c:pt idx="46">
                  <c:v>56907.964844000002</c:v>
                </c:pt>
                <c:pt idx="47">
                  <c:v>57714.664062999997</c:v>
                </c:pt>
                <c:pt idx="48">
                  <c:v>58926.5625</c:v>
                </c:pt>
                <c:pt idx="49">
                  <c:v>58969.800780999998</c:v>
                </c:pt>
                <c:pt idx="50">
                  <c:v>60609.496094000002</c:v>
                </c:pt>
                <c:pt idx="51">
                  <c:v>61168.0625</c:v>
                </c:pt>
                <c:pt idx="52">
                  <c:v>61320.449219000002</c:v>
                </c:pt>
                <c:pt idx="53">
                  <c:v>62673.605469000002</c:v>
                </c:pt>
                <c:pt idx="54">
                  <c:v>64625.839844000002</c:v>
                </c:pt>
                <c:pt idx="55">
                  <c:v>67489.609375</c:v>
                </c:pt>
                <c:pt idx="56">
                  <c:v>71333.484375</c:v>
                </c:pt>
              </c:numCache>
            </c:numRef>
          </c:yVal>
          <c:smooth val="0"/>
          <c:extLst>
            <c:ext xmlns:c16="http://schemas.microsoft.com/office/drawing/2014/chart" uri="{C3380CC4-5D6E-409C-BE32-E72D297353CC}">
              <c16:uniqueId val="{00000001-3E7B-4B2C-9457-2873C0FC8D69}"/>
            </c:ext>
          </c:extLst>
        </c:ser>
        <c:dLbls>
          <c:showLegendKey val="0"/>
          <c:showVal val="0"/>
          <c:showCatName val="0"/>
          <c:showSerName val="0"/>
          <c:showPercent val="0"/>
          <c:showBubbleSize val="0"/>
        </c:dLbls>
        <c:axId val="751385912"/>
        <c:axId val="751387352"/>
      </c:scatterChart>
      <c:valAx>
        <c:axId val="751385912"/>
        <c:scaling>
          <c:orientation val="minMax"/>
        </c:scaling>
        <c:delete val="0"/>
        <c:axPos val="b"/>
        <c:title>
          <c:tx>
            <c:rich>
              <a:bodyPr/>
              <a:lstStyle/>
              <a:p>
                <a:pPr>
                  <a:defRPr/>
                </a:pPr>
                <a:r>
                  <a:rPr lang="es-PA"/>
                  <a:t>Muestra percentil</a:t>
                </a:r>
              </a:p>
            </c:rich>
          </c:tx>
          <c:overlay val="0"/>
        </c:title>
        <c:numFmt formatCode="General" sourceLinked="1"/>
        <c:majorTickMark val="out"/>
        <c:minorTickMark val="none"/>
        <c:tickLblPos val="nextTo"/>
        <c:crossAx val="751387352"/>
        <c:crosses val="autoZero"/>
        <c:crossBetween val="midCat"/>
      </c:valAx>
      <c:valAx>
        <c:axId val="751387352"/>
        <c:scaling>
          <c:orientation val="minMax"/>
        </c:scaling>
        <c:delete val="0"/>
        <c:axPos val="l"/>
        <c:title>
          <c:tx>
            <c:rich>
              <a:bodyPr/>
              <a:lstStyle/>
              <a:p>
                <a:pPr>
                  <a:defRPr/>
                </a:pPr>
                <a:r>
                  <a:rPr lang="es-PA"/>
                  <a:t>Valor Real</a:t>
                </a:r>
              </a:p>
            </c:rich>
          </c:tx>
          <c:overlay val="0"/>
        </c:title>
        <c:numFmt formatCode="General" sourceLinked="1"/>
        <c:majorTickMark val="out"/>
        <c:minorTickMark val="none"/>
        <c:tickLblPos val="nextTo"/>
        <c:crossAx val="7513859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A"/>
        </a:p>
      </c:txPr>
    </c:title>
    <c:autoTitleDeleted val="0"/>
    <c:plotArea>
      <c:layout/>
      <c:lineChart>
        <c:grouping val="standard"/>
        <c:varyColors val="0"/>
        <c:ser>
          <c:idx val="0"/>
          <c:order val="0"/>
          <c:tx>
            <c:strRef>
              <c:f>Hoja7!$B$1</c:f>
              <c:strCache>
                <c:ptCount val="1"/>
                <c:pt idx="0">
                  <c:v>Precio</c:v>
                </c:pt>
              </c:strCache>
            </c:strRef>
          </c:tx>
          <c:spPr>
            <a:ln w="28575" cap="rnd">
              <a:solidFill>
                <a:schemeClr val="accent1"/>
              </a:solidFill>
              <a:round/>
            </a:ln>
            <a:effectLst/>
          </c:spPr>
          <c:marker>
            <c:symbol val="none"/>
          </c:marker>
          <c:cat>
            <c:numRef>
              <c:f>Hoja7!$A$2:$A$58</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cat>
          <c:val>
            <c:numRef>
              <c:f>Hoja7!$B$2:$B$58</c:f>
              <c:numCache>
                <c:formatCode>_(* #,##0_);_(* \(#,##0\);_(*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0-870D-4A68-AFDE-1F77F9E573EE}"/>
            </c:ext>
          </c:extLst>
        </c:ser>
        <c:dLbls>
          <c:showLegendKey val="0"/>
          <c:showVal val="0"/>
          <c:showCatName val="0"/>
          <c:showSerName val="0"/>
          <c:showPercent val="0"/>
          <c:showBubbleSize val="0"/>
        </c:dLbls>
        <c:smooth val="0"/>
        <c:axId val="466736672"/>
        <c:axId val="466737032"/>
      </c:lineChart>
      <c:catAx>
        <c:axId val="46673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466737032"/>
        <c:crosses val="autoZero"/>
        <c:auto val="1"/>
        <c:lblAlgn val="ctr"/>
        <c:lblOffset val="100"/>
        <c:noMultiLvlLbl val="0"/>
      </c:catAx>
      <c:valAx>
        <c:axId val="4667370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46673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A"/>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A"/>
        </a:p>
      </c:txPr>
    </c:title>
    <c:autoTitleDeleted val="0"/>
    <c:plotArea>
      <c:layout/>
      <c:lineChart>
        <c:grouping val="standard"/>
        <c:varyColors val="0"/>
        <c:ser>
          <c:idx val="0"/>
          <c:order val="0"/>
          <c:tx>
            <c:strRef>
              <c:f>Hoja4!$B$1</c:f>
              <c:strCache>
                <c:ptCount val="1"/>
                <c:pt idx="0">
                  <c:v> Open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trendlineLbl>
          </c:trendline>
          <c:cat>
            <c:numRef>
              <c:f>Hoja4!$A$2:$A$58</c:f>
              <c:numCache>
                <c:formatCode>m/d/yyyy</c:formatCode>
                <c:ptCount val="57"/>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numCache>
            </c:numRef>
          </c:cat>
          <c:val>
            <c:numRef>
              <c:f>Hoja4!$B$2:$B$58</c:f>
              <c:numCache>
                <c:formatCode>_-* #,##0_-;\-* #,##0_-;_-*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0-E6AB-4E99-B0CF-61DC69EDF150}"/>
            </c:ext>
          </c:extLst>
        </c:ser>
        <c:dLbls>
          <c:showLegendKey val="0"/>
          <c:showVal val="0"/>
          <c:showCatName val="0"/>
          <c:showSerName val="0"/>
          <c:showPercent val="0"/>
          <c:showBubbleSize val="0"/>
        </c:dLbls>
        <c:smooth val="0"/>
        <c:axId val="982173856"/>
        <c:axId val="982174576"/>
      </c:lineChart>
      <c:dateAx>
        <c:axId val="98217385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982174576"/>
        <c:crosses val="autoZero"/>
        <c:auto val="1"/>
        <c:lblOffset val="100"/>
        <c:baseTimeUnit val="months"/>
      </c:dateAx>
      <c:valAx>
        <c:axId val="9821745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98217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A"/>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A"/>
        </a:p>
      </c:txPr>
    </c:title>
    <c:autoTitleDeleted val="0"/>
    <c:plotArea>
      <c:layout/>
      <c:lineChart>
        <c:grouping val="standard"/>
        <c:varyColors val="0"/>
        <c:ser>
          <c:idx val="0"/>
          <c:order val="0"/>
          <c:tx>
            <c:strRef>
              <c:f>Hoja4!$B$1</c:f>
              <c:strCache>
                <c:ptCount val="1"/>
                <c:pt idx="0">
                  <c:v> Open </c:v>
                </c:pt>
              </c:strCache>
            </c:strRef>
          </c:tx>
          <c:spPr>
            <a:ln w="28575" cap="rnd">
              <a:solidFill>
                <a:schemeClr val="accent1"/>
              </a:solidFill>
              <a:round/>
            </a:ln>
            <a:effectLst/>
          </c:spPr>
          <c:marker>
            <c:symbol val="none"/>
          </c:marker>
          <c:cat>
            <c:numRef>
              <c:f>Hoja4!$A$2:$A$58</c:f>
              <c:numCache>
                <c:formatCode>m/d/yyyy</c:formatCode>
                <c:ptCount val="57"/>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numCache>
            </c:numRef>
          </c:cat>
          <c:val>
            <c:numRef>
              <c:f>Hoja4!$B$2:$B$58</c:f>
              <c:numCache>
                <c:formatCode>_-* #,##0_-;\-* #,##0_-;_-*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0-AA62-48CE-9040-E3DFDE71CB0B}"/>
            </c:ext>
          </c:extLst>
        </c:ser>
        <c:dLbls>
          <c:showLegendKey val="0"/>
          <c:showVal val="0"/>
          <c:showCatName val="0"/>
          <c:showSerName val="0"/>
          <c:showPercent val="0"/>
          <c:showBubbleSize val="0"/>
        </c:dLbls>
        <c:smooth val="0"/>
        <c:axId val="880305336"/>
        <c:axId val="880304256"/>
      </c:lineChart>
      <c:dateAx>
        <c:axId val="880305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880304256"/>
        <c:crosses val="autoZero"/>
        <c:auto val="1"/>
        <c:lblOffset val="100"/>
        <c:baseTimeUnit val="months"/>
      </c:dateAx>
      <c:valAx>
        <c:axId val="88030425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880305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RESUMEN!$B$54</c:f>
              <c:strCache>
                <c:ptCount val="1"/>
                <c:pt idx="0">
                  <c:v> Open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RESUMEN!$A$55:$A$111</c:f>
              <c:numCache>
                <c:formatCode>mmm\-yy</c:formatCode>
                <c:ptCount val="57"/>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numCache>
            </c:numRef>
          </c:cat>
          <c:val>
            <c:numRef>
              <c:f>RESUMEN!$B$55:$B$111</c:f>
              <c:numCache>
                <c:formatCode>_-* #,##0_-;\-* #,##0_-;_-*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0-334F-45F2-A594-FB21653FAE76}"/>
            </c:ext>
          </c:extLst>
        </c:ser>
        <c:dLbls>
          <c:showLegendKey val="0"/>
          <c:showVal val="0"/>
          <c:showCatName val="0"/>
          <c:showSerName val="0"/>
          <c:showPercent val="0"/>
          <c:showBubbleSize val="0"/>
        </c:dLbls>
        <c:marker val="1"/>
        <c:smooth val="0"/>
        <c:axId val="739870832"/>
        <c:axId val="739871192"/>
      </c:lineChart>
      <c:dateAx>
        <c:axId val="7398708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739871192"/>
        <c:crosses val="autoZero"/>
        <c:auto val="1"/>
        <c:lblOffset val="100"/>
        <c:baseTimeUnit val="months"/>
      </c:dateAx>
      <c:valAx>
        <c:axId val="7398711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7398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'01. PROMEDIO MÓVIL'!$B$1</c:f>
              <c:strCache>
                <c:ptCount val="1"/>
                <c:pt idx="0">
                  <c:v>Valor Real</c:v>
                </c:pt>
              </c:strCache>
            </c:strRef>
          </c:tx>
          <c:spPr>
            <a:ln w="28575" cap="rnd">
              <a:solidFill>
                <a:schemeClr val="accent2"/>
              </a:solidFill>
              <a:round/>
            </a:ln>
            <a:effectLst/>
          </c:spPr>
          <c:marker>
            <c:symbol val="none"/>
          </c:marker>
          <c:val>
            <c:numRef>
              <c:f>'01. PROMEDIO MÓVIL'!$B$2:$B$58</c:f>
              <c:numCache>
                <c:formatCode>_(* #,##0_);_(* \(#,##0\);_(*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1-48E9-47E5-9DBB-F693A36878D4}"/>
            </c:ext>
          </c:extLst>
        </c:ser>
        <c:ser>
          <c:idx val="2"/>
          <c:order val="1"/>
          <c:tx>
            <c:strRef>
              <c:f>'01. PROMEDIO MÓVIL'!$D$1</c:f>
              <c:strCache>
                <c:ptCount val="1"/>
                <c:pt idx="0">
                  <c:v>Forecast</c:v>
                </c:pt>
              </c:strCache>
            </c:strRef>
          </c:tx>
          <c:spPr>
            <a:ln w="28575" cap="rnd">
              <a:solidFill>
                <a:schemeClr val="accent3"/>
              </a:solidFill>
              <a:prstDash val="sysDash"/>
              <a:round/>
            </a:ln>
            <a:effectLst/>
          </c:spPr>
          <c:marker>
            <c:symbol val="none"/>
          </c:marker>
          <c:val>
            <c:numRef>
              <c:f>'01. PROMEDIO MÓVIL'!$D$2:$D$59</c:f>
              <c:numCache>
                <c:formatCode>_(* #,##0_);_(* \(#,##0\);_(* "-"??_);_(@_)</c:formatCode>
                <c:ptCount val="58"/>
                <c:pt idx="3">
                  <c:v>8380.3361003333321</c:v>
                </c:pt>
                <c:pt idx="4">
                  <c:v>8127.8118490000006</c:v>
                </c:pt>
                <c:pt idx="5">
                  <c:v>7903.2867839999999</c:v>
                </c:pt>
                <c:pt idx="6">
                  <c:v>8191.2356773333331</c:v>
                </c:pt>
                <c:pt idx="7">
                  <c:v>9094.1243493333332</c:v>
                </c:pt>
                <c:pt idx="8">
                  <c:v>9977.387044666666</c:v>
                </c:pt>
                <c:pt idx="9">
                  <c:v>10715.957356999999</c:v>
                </c:pt>
                <c:pt idx="10">
                  <c:v>11265.713867333334</c:v>
                </c:pt>
                <c:pt idx="11">
                  <c:v>12085.188801999999</c:v>
                </c:pt>
                <c:pt idx="12">
                  <c:v>14736.673176999999</c:v>
                </c:pt>
                <c:pt idx="13">
                  <c:v>20802.924804666665</c:v>
                </c:pt>
                <c:pt idx="14">
                  <c:v>27247.452474000002</c:v>
                </c:pt>
                <c:pt idx="15">
                  <c:v>35756.030598999998</c:v>
                </c:pt>
                <c:pt idx="16">
                  <c:v>45733.548176999997</c:v>
                </c:pt>
                <c:pt idx="17">
                  <c:v>53933.576823000003</c:v>
                </c:pt>
                <c:pt idx="18">
                  <c:v>51311.673177333338</c:v>
                </c:pt>
                <c:pt idx="19">
                  <c:v>43348.147135666666</c:v>
                </c:pt>
                <c:pt idx="20">
                  <c:v>37930.207031333332</c:v>
                </c:pt>
                <c:pt idx="21">
                  <c:v>41198.86718766667</c:v>
                </c:pt>
                <c:pt idx="22">
                  <c:v>44125.786458666669</c:v>
                </c:pt>
                <c:pt idx="23">
                  <c:v>50745.654948333337</c:v>
                </c:pt>
                <c:pt idx="24">
                  <c:v>54015.052083666669</c:v>
                </c:pt>
                <c:pt idx="25">
                  <c:v>54846.720052333338</c:v>
                </c:pt>
                <c:pt idx="26">
                  <c:v>47233.825520999999</c:v>
                </c:pt>
                <c:pt idx="27">
                  <c:v>42662.671875</c:v>
                </c:pt>
                <c:pt idx="28">
                  <c:v>42410.144531333332</c:v>
                </c:pt>
                <c:pt idx="29">
                  <c:v>42153.977864666667</c:v>
                </c:pt>
                <c:pt idx="30">
                  <c:v>38353.328125333333</c:v>
                </c:pt>
                <c:pt idx="31">
                  <c:v>29775.430338666669</c:v>
                </c:pt>
                <c:pt idx="32">
                  <c:v>24983.248047000001</c:v>
                </c:pt>
                <c:pt idx="33">
                  <c:v>21069.229166666668</c:v>
                </c:pt>
                <c:pt idx="34">
                  <c:v>20939.440755333333</c:v>
                </c:pt>
                <c:pt idx="35">
                  <c:v>19992.167318000003</c:v>
                </c:pt>
                <c:pt idx="36">
                  <c:v>19031.335286666665</c:v>
                </c:pt>
                <c:pt idx="37">
                  <c:v>18070.271484666668</c:v>
                </c:pt>
                <c:pt idx="38">
                  <c:v>18951.250651333336</c:v>
                </c:pt>
                <c:pt idx="39">
                  <c:v>20945.559896333332</c:v>
                </c:pt>
                <c:pt idx="40">
                  <c:v>24920.699219000002</c:v>
                </c:pt>
                <c:pt idx="41">
                  <c:v>26950.455078333336</c:v>
                </c:pt>
                <c:pt idx="42">
                  <c:v>28306.282552000001</c:v>
                </c:pt>
                <c:pt idx="43">
                  <c:v>28972.454427000001</c:v>
                </c:pt>
                <c:pt idx="44">
                  <c:v>28973.710937333333</c:v>
                </c:pt>
                <c:pt idx="45">
                  <c:v>28545.580728999998</c:v>
                </c:pt>
                <c:pt idx="46">
                  <c:v>27377.430338333332</c:v>
                </c:pt>
                <c:pt idx="47">
                  <c:v>29186.230468666665</c:v>
                </c:pt>
                <c:pt idx="48">
                  <c:v>33114.225911666668</c:v>
                </c:pt>
                <c:pt idx="49">
                  <c:v>38218.505208666662</c:v>
                </c:pt>
                <c:pt idx="50">
                  <c:v>40856.001302333338</c:v>
                </c:pt>
                <c:pt idx="51">
                  <c:v>48672.686198000003</c:v>
                </c:pt>
                <c:pt idx="52">
                  <c:v>58357.102864666667</c:v>
                </c:pt>
                <c:pt idx="53">
                  <c:v>64370.347656333332</c:v>
                </c:pt>
                <c:pt idx="54">
                  <c:v>66477.529947999996</c:v>
                </c:pt>
                <c:pt idx="55">
                  <c:v>63590.903645999999</c:v>
                </c:pt>
                <c:pt idx="56">
                  <c:v>64929.684895999999</c:v>
                </c:pt>
                <c:pt idx="57">
                  <c:v>62089.748698000003</c:v>
                </c:pt>
              </c:numCache>
            </c:numRef>
          </c:val>
          <c:smooth val="0"/>
          <c:extLst>
            <c:ext xmlns:c16="http://schemas.microsoft.com/office/drawing/2014/chart" uri="{C3380CC4-5D6E-409C-BE32-E72D297353CC}">
              <c16:uniqueId val="{00000003-48E9-47E5-9DBB-F693A36878D4}"/>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_(* \(#,##0\);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'02. REGRESION LINEAL'!$B$1</c:f>
              <c:strCache>
                <c:ptCount val="1"/>
                <c:pt idx="0">
                  <c:v>Valor Real</c:v>
                </c:pt>
              </c:strCache>
            </c:strRef>
          </c:tx>
          <c:spPr>
            <a:ln w="28575" cap="rnd">
              <a:solidFill>
                <a:schemeClr val="accent2"/>
              </a:solidFill>
              <a:round/>
            </a:ln>
            <a:effectLst/>
          </c:spPr>
          <c:marker>
            <c:symbol val="none"/>
          </c:marker>
          <c:val>
            <c:numRef>
              <c:f>'02. REGRESION LINEAL'!$B$2:$B$58</c:f>
              <c:numCache>
                <c:formatCode>_(* #,##0_);_(* \(#,##0\);_(*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1-1BAC-41A4-B409-BED2A804ECC3}"/>
            </c:ext>
          </c:extLst>
        </c:ser>
        <c:ser>
          <c:idx val="2"/>
          <c:order val="1"/>
          <c:tx>
            <c:strRef>
              <c:f>'02. REGRESION LINEAL'!$D$1</c:f>
              <c:strCache>
                <c:ptCount val="1"/>
                <c:pt idx="0">
                  <c:v>Forecast</c:v>
                </c:pt>
              </c:strCache>
            </c:strRef>
          </c:tx>
          <c:spPr>
            <a:ln w="28575" cap="rnd">
              <a:solidFill>
                <a:schemeClr val="accent3"/>
              </a:solidFill>
              <a:prstDash val="sysDash"/>
              <a:round/>
            </a:ln>
            <a:effectLst/>
          </c:spPr>
          <c:marker>
            <c:symbol val="none"/>
          </c:marker>
          <c:val>
            <c:numRef>
              <c:f>'02. REGRESION LINEAL'!$D$2:$D$59</c:f>
              <c:numCache>
                <c:formatCode>_(* #,##0_);_(* \(#,##0\);_(* "-"??_);_(@_)</c:formatCode>
                <c:ptCount val="58"/>
                <c:pt idx="0">
                  <c:v>16201.416315617047</c:v>
                </c:pt>
                <c:pt idx="1">
                  <c:v>16813.722882814935</c:v>
                </c:pt>
                <c:pt idx="2">
                  <c:v>17426.029450012822</c:v>
                </c:pt>
                <c:pt idx="3">
                  <c:v>18038.336017210706</c:v>
                </c:pt>
                <c:pt idx="4">
                  <c:v>18650.642584408593</c:v>
                </c:pt>
                <c:pt idx="5">
                  <c:v>19262.949151606481</c:v>
                </c:pt>
                <c:pt idx="6">
                  <c:v>19875.255718804368</c:v>
                </c:pt>
                <c:pt idx="7">
                  <c:v>20487.562286002256</c:v>
                </c:pt>
                <c:pt idx="8">
                  <c:v>21099.868853200143</c:v>
                </c:pt>
                <c:pt idx="9">
                  <c:v>21712.175420398031</c:v>
                </c:pt>
                <c:pt idx="10">
                  <c:v>22324.481987595915</c:v>
                </c:pt>
                <c:pt idx="11">
                  <c:v>22936.788554793806</c:v>
                </c:pt>
                <c:pt idx="12">
                  <c:v>23549.09512199169</c:v>
                </c:pt>
                <c:pt idx="13">
                  <c:v>24161.401689189577</c:v>
                </c:pt>
                <c:pt idx="14">
                  <c:v>24773.708256387465</c:v>
                </c:pt>
                <c:pt idx="15">
                  <c:v>25386.014823585352</c:v>
                </c:pt>
                <c:pt idx="16">
                  <c:v>25998.32139078324</c:v>
                </c:pt>
                <c:pt idx="17">
                  <c:v>26610.627957981127</c:v>
                </c:pt>
                <c:pt idx="18">
                  <c:v>27222.934525179015</c:v>
                </c:pt>
                <c:pt idx="19">
                  <c:v>27835.241092376898</c:v>
                </c:pt>
                <c:pt idx="20">
                  <c:v>28447.54765957479</c:v>
                </c:pt>
                <c:pt idx="21">
                  <c:v>29059.854226772673</c:v>
                </c:pt>
                <c:pt idx="22">
                  <c:v>29672.160793970561</c:v>
                </c:pt>
                <c:pt idx="23">
                  <c:v>30284.467361168448</c:v>
                </c:pt>
                <c:pt idx="24">
                  <c:v>30896.773928366336</c:v>
                </c:pt>
                <c:pt idx="25">
                  <c:v>31509.080495564223</c:v>
                </c:pt>
                <c:pt idx="26">
                  <c:v>32121.387062762111</c:v>
                </c:pt>
                <c:pt idx="27">
                  <c:v>32733.693629959995</c:v>
                </c:pt>
                <c:pt idx="28">
                  <c:v>33346.000197157882</c:v>
                </c:pt>
                <c:pt idx="29">
                  <c:v>33958.306764355773</c:v>
                </c:pt>
                <c:pt idx="30">
                  <c:v>34570.613331553657</c:v>
                </c:pt>
                <c:pt idx="31">
                  <c:v>35182.919898751541</c:v>
                </c:pt>
                <c:pt idx="32">
                  <c:v>35795.226465949432</c:v>
                </c:pt>
                <c:pt idx="33">
                  <c:v>36407.533033147323</c:v>
                </c:pt>
                <c:pt idx="34">
                  <c:v>37019.839600345207</c:v>
                </c:pt>
                <c:pt idx="35">
                  <c:v>37632.146167543091</c:v>
                </c:pt>
                <c:pt idx="36">
                  <c:v>38244.452734740975</c:v>
                </c:pt>
                <c:pt idx="37">
                  <c:v>38856.759301938866</c:v>
                </c:pt>
                <c:pt idx="38">
                  <c:v>39469.065869136757</c:v>
                </c:pt>
                <c:pt idx="39">
                  <c:v>40081.372436334641</c:v>
                </c:pt>
                <c:pt idx="40">
                  <c:v>40693.679003532525</c:v>
                </c:pt>
                <c:pt idx="41">
                  <c:v>41305.985570730416</c:v>
                </c:pt>
                <c:pt idx="42">
                  <c:v>41918.292137928307</c:v>
                </c:pt>
                <c:pt idx="43">
                  <c:v>42530.598705126191</c:v>
                </c:pt>
                <c:pt idx="44">
                  <c:v>43142.905272324075</c:v>
                </c:pt>
                <c:pt idx="45">
                  <c:v>43755.211839521959</c:v>
                </c:pt>
                <c:pt idx="46">
                  <c:v>44367.51840671985</c:v>
                </c:pt>
                <c:pt idx="47">
                  <c:v>44979.824973917741</c:v>
                </c:pt>
                <c:pt idx="48">
                  <c:v>45592.131541115625</c:v>
                </c:pt>
                <c:pt idx="49">
                  <c:v>46204.438108313509</c:v>
                </c:pt>
                <c:pt idx="50">
                  <c:v>46816.7446755114</c:v>
                </c:pt>
                <c:pt idx="51">
                  <c:v>47429.051242709291</c:v>
                </c:pt>
                <c:pt idx="52">
                  <c:v>48041.357809907175</c:v>
                </c:pt>
                <c:pt idx="53">
                  <c:v>48653.664377105059</c:v>
                </c:pt>
                <c:pt idx="54">
                  <c:v>49265.970944302942</c:v>
                </c:pt>
                <c:pt idx="55">
                  <c:v>49878.277511500826</c:v>
                </c:pt>
                <c:pt idx="56">
                  <c:v>50490.584078698725</c:v>
                </c:pt>
                <c:pt idx="57">
                  <c:v>51102.890645896608</c:v>
                </c:pt>
              </c:numCache>
            </c:numRef>
          </c:val>
          <c:smooth val="0"/>
          <c:extLst>
            <c:ext xmlns:c16="http://schemas.microsoft.com/office/drawing/2014/chart" uri="{C3380CC4-5D6E-409C-BE32-E72D297353CC}">
              <c16:uniqueId val="{00000002-1BAC-41A4-B409-BED2A804ECC3}"/>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_(* \(#,##0\);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'03. CUBICA'!$B$1</c:f>
              <c:strCache>
                <c:ptCount val="1"/>
                <c:pt idx="0">
                  <c:v>Valor Real</c:v>
                </c:pt>
              </c:strCache>
            </c:strRef>
          </c:tx>
          <c:spPr>
            <a:ln w="28575" cap="rnd">
              <a:solidFill>
                <a:schemeClr val="accent2"/>
              </a:solidFill>
              <a:round/>
            </a:ln>
            <a:effectLst/>
          </c:spPr>
          <c:marker>
            <c:symbol val="none"/>
          </c:marker>
          <c:val>
            <c:numRef>
              <c:f>'03. CUBICA'!$B$2:$B$58</c:f>
              <c:numCache>
                <c:formatCode>_(* #,##0_);_(* \(#,##0\);_(*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0-F491-4507-A510-FAE6F9BC847B}"/>
            </c:ext>
          </c:extLst>
        </c:ser>
        <c:ser>
          <c:idx val="2"/>
          <c:order val="1"/>
          <c:tx>
            <c:strRef>
              <c:f>'03. CUBICA'!$D$1</c:f>
              <c:strCache>
                <c:ptCount val="1"/>
                <c:pt idx="0">
                  <c:v>Forecast</c:v>
                </c:pt>
              </c:strCache>
            </c:strRef>
          </c:tx>
          <c:spPr>
            <a:ln w="28575" cap="rnd">
              <a:solidFill>
                <a:schemeClr val="accent3"/>
              </a:solidFill>
              <a:prstDash val="sysDash"/>
              <a:round/>
            </a:ln>
            <a:effectLst/>
          </c:spPr>
          <c:marker>
            <c:symbol val="none"/>
          </c:marker>
          <c:val>
            <c:numRef>
              <c:f>'03. CUBICA'!$D$2:$D$59</c:f>
              <c:numCache>
                <c:formatCode>_(* #,##0_);_(* \(#,##0\);_(* "-"??_);_(@_)</c:formatCode>
                <c:ptCount val="58"/>
                <c:pt idx="0">
                  <c:v>-10141.8323</c:v>
                </c:pt>
                <c:pt idx="1">
                  <c:v>-3929.0583999999999</c:v>
                </c:pt>
                <c:pt idx="2">
                  <c:v>1777.027900000001</c:v>
                </c:pt>
                <c:pt idx="3">
                  <c:v>6995.1327999999994</c:v>
                </c:pt>
                <c:pt idx="4">
                  <c:v>11743.962500000001</c:v>
                </c:pt>
                <c:pt idx="5">
                  <c:v>16042.223200000008</c:v>
                </c:pt>
                <c:pt idx="6">
                  <c:v>19908.621100000004</c:v>
                </c:pt>
                <c:pt idx="7">
                  <c:v>23361.862399999998</c:v>
                </c:pt>
                <c:pt idx="8">
                  <c:v>26420.653300000005</c:v>
                </c:pt>
                <c:pt idx="9">
                  <c:v>29103.699999999997</c:v>
                </c:pt>
                <c:pt idx="10">
                  <c:v>31429.708700000003</c:v>
                </c:pt>
                <c:pt idx="11">
                  <c:v>33417.385600000009</c:v>
                </c:pt>
                <c:pt idx="12">
                  <c:v>35085.436900000001</c:v>
                </c:pt>
                <c:pt idx="13">
                  <c:v>36452.568800000008</c:v>
                </c:pt>
                <c:pt idx="14">
                  <c:v>37537.487500000003</c:v>
                </c:pt>
                <c:pt idx="15">
                  <c:v>38358.8992</c:v>
                </c:pt>
                <c:pt idx="16">
                  <c:v>38935.510100000014</c:v>
                </c:pt>
                <c:pt idx="17">
                  <c:v>39286.026400000002</c:v>
                </c:pt>
                <c:pt idx="18">
                  <c:v>39429.154299999995</c:v>
                </c:pt>
                <c:pt idx="19">
                  <c:v>39383.600000000006</c:v>
                </c:pt>
                <c:pt idx="20">
                  <c:v>39168.069700000007</c:v>
                </c:pt>
                <c:pt idx="21">
                  <c:v>38801.2696</c:v>
                </c:pt>
                <c:pt idx="22">
                  <c:v>38301.905900000012</c:v>
                </c:pt>
                <c:pt idx="23">
                  <c:v>37688.684800000017</c:v>
                </c:pt>
                <c:pt idx="24">
                  <c:v>36980.3125</c:v>
                </c:pt>
                <c:pt idx="25">
                  <c:v>36195.49519999999</c:v>
                </c:pt>
                <c:pt idx="26">
                  <c:v>35352.939100000018</c:v>
                </c:pt>
                <c:pt idx="27">
                  <c:v>34471.350400000025</c:v>
                </c:pt>
                <c:pt idx="28">
                  <c:v>33569.435300000012</c:v>
                </c:pt>
                <c:pt idx="29">
                  <c:v>32665.900000000023</c:v>
                </c:pt>
                <c:pt idx="30">
                  <c:v>31779.450699999987</c:v>
                </c:pt>
                <c:pt idx="31">
                  <c:v>30928.793600000005</c:v>
                </c:pt>
                <c:pt idx="32">
                  <c:v>30132.634900000005</c:v>
                </c:pt>
                <c:pt idx="33">
                  <c:v>29409.680800000031</c:v>
                </c:pt>
                <c:pt idx="34">
                  <c:v>28778.637500000012</c:v>
                </c:pt>
                <c:pt idx="35">
                  <c:v>28258.21120000002</c:v>
                </c:pt>
                <c:pt idx="36">
                  <c:v>27867.108100000012</c:v>
                </c:pt>
                <c:pt idx="37">
                  <c:v>27624.034399999975</c:v>
                </c:pt>
                <c:pt idx="38">
                  <c:v>27547.69630000004</c:v>
                </c:pt>
                <c:pt idx="39">
                  <c:v>27656.800000000017</c:v>
                </c:pt>
                <c:pt idx="40">
                  <c:v>27970.051700000011</c:v>
                </c:pt>
                <c:pt idx="41">
                  <c:v>28506.157600000006</c:v>
                </c:pt>
                <c:pt idx="42">
                  <c:v>29283.823899999988</c:v>
                </c:pt>
                <c:pt idx="43">
                  <c:v>30321.756799999974</c:v>
                </c:pt>
                <c:pt idx="44">
                  <c:v>31638.662500000035</c:v>
                </c:pt>
                <c:pt idx="45">
                  <c:v>33253.247199999983</c:v>
                </c:pt>
                <c:pt idx="46">
                  <c:v>35184.217099999951</c:v>
                </c:pt>
                <c:pt idx="47">
                  <c:v>37450.27840000001</c:v>
                </c:pt>
                <c:pt idx="48">
                  <c:v>40070.137300000002</c:v>
                </c:pt>
                <c:pt idx="49">
                  <c:v>43062.5</c:v>
                </c:pt>
                <c:pt idx="50">
                  <c:v>46446.072700000019</c:v>
                </c:pt>
                <c:pt idx="51">
                  <c:v>50239.561599999957</c:v>
                </c:pt>
                <c:pt idx="52">
                  <c:v>54461.672900000005</c:v>
                </c:pt>
                <c:pt idx="53">
                  <c:v>59131.112800000003</c:v>
                </c:pt>
                <c:pt idx="54">
                  <c:v>64266.587500000023</c:v>
                </c:pt>
                <c:pt idx="55">
                  <c:v>69886.803200000024</c:v>
                </c:pt>
                <c:pt idx="56">
                  <c:v>76010.46610000002</c:v>
                </c:pt>
                <c:pt idx="57">
                  <c:v>82656.282400000026</c:v>
                </c:pt>
              </c:numCache>
            </c:numRef>
          </c:val>
          <c:smooth val="0"/>
          <c:extLst>
            <c:ext xmlns:c16="http://schemas.microsoft.com/office/drawing/2014/chart" uri="{C3380CC4-5D6E-409C-BE32-E72D297353CC}">
              <c16:uniqueId val="{00000001-F491-4507-A510-FAE6F9BC847B}"/>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_(* \(#,##0\);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'04. 4TO GRADO'!$B$1</c:f>
              <c:strCache>
                <c:ptCount val="1"/>
                <c:pt idx="0">
                  <c:v>Valor Real</c:v>
                </c:pt>
              </c:strCache>
            </c:strRef>
          </c:tx>
          <c:spPr>
            <a:ln w="28575" cap="rnd">
              <a:solidFill>
                <a:schemeClr val="accent2"/>
              </a:solidFill>
              <a:round/>
            </a:ln>
            <a:effectLst/>
          </c:spPr>
          <c:marker>
            <c:symbol val="none"/>
          </c:marker>
          <c:val>
            <c:numRef>
              <c:f>'04. 4TO GRADO'!$B$2:$B$58</c:f>
              <c:numCache>
                <c:formatCode>_(* #,##0_);_(* \(#,##0\);_(*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1-97AE-4A67-A505-7B05F49FCE21}"/>
            </c:ext>
          </c:extLst>
        </c:ser>
        <c:ser>
          <c:idx val="2"/>
          <c:order val="1"/>
          <c:tx>
            <c:strRef>
              <c:f>'04. 4TO GRADO'!$D$1</c:f>
              <c:strCache>
                <c:ptCount val="1"/>
                <c:pt idx="0">
                  <c:v>Forecast</c:v>
                </c:pt>
              </c:strCache>
            </c:strRef>
          </c:tx>
          <c:spPr>
            <a:ln w="28575" cap="rnd">
              <a:solidFill>
                <a:schemeClr val="accent3"/>
              </a:solidFill>
              <a:prstDash val="sysDash"/>
              <a:round/>
            </a:ln>
            <a:effectLst/>
          </c:spPr>
          <c:marker>
            <c:symbol val="none"/>
          </c:marker>
          <c:val>
            <c:numRef>
              <c:f>'04. 4TO GRADO'!$D$2:$D$59</c:f>
              <c:numCache>
                <c:formatCode>_(* #,##0_);_(* \(#,##0\);_(* "-"??_);_(@_)</c:formatCode>
                <c:ptCount val="58"/>
                <c:pt idx="0">
                  <c:v>-5087.8285999999989</c:v>
                </c:pt>
                <c:pt idx="1">
                  <c:v>-680.24799999999959</c:v>
                </c:pt>
                <c:pt idx="2">
                  <c:v>3516.6532000000007</c:v>
                </c:pt>
                <c:pt idx="3">
                  <c:v>7496.0488000000005</c:v>
                </c:pt>
                <c:pt idx="4">
                  <c:v>11252.075000000001</c:v>
                </c:pt>
                <c:pt idx="5">
                  <c:v>14779.830399999999</c:v>
                </c:pt>
                <c:pt idx="6">
                  <c:v>18075.376</c:v>
                </c:pt>
                <c:pt idx="7">
                  <c:v>21135.735199999999</c:v>
                </c:pt>
                <c:pt idx="8">
                  <c:v>23958.893800000002</c:v>
                </c:pt>
                <c:pt idx="9">
                  <c:v>26543.800000000007</c:v>
                </c:pt>
                <c:pt idx="10">
                  <c:v>28890.364399999995</c:v>
                </c:pt>
                <c:pt idx="11">
                  <c:v>30999.459999999995</c:v>
                </c:pt>
                <c:pt idx="12">
                  <c:v>32872.922200000001</c:v>
                </c:pt>
                <c:pt idx="13">
                  <c:v>34513.54879999999</c:v>
                </c:pt>
                <c:pt idx="14">
                  <c:v>35925.099999999991</c:v>
                </c:pt>
                <c:pt idx="15">
                  <c:v>37112.2984</c:v>
                </c:pt>
                <c:pt idx="16">
                  <c:v>38080.828999999998</c:v>
                </c:pt>
                <c:pt idx="17">
                  <c:v>38837.339200000002</c:v>
                </c:pt>
                <c:pt idx="18">
                  <c:v>39389.438800000004</c:v>
                </c:pt>
                <c:pt idx="19">
                  <c:v>39745.700000000012</c:v>
                </c:pt>
                <c:pt idx="20">
                  <c:v>39915.657399999996</c:v>
                </c:pt>
                <c:pt idx="21">
                  <c:v>39909.80799999999</c:v>
                </c:pt>
                <c:pt idx="22">
                  <c:v>39739.611199999999</c:v>
                </c:pt>
                <c:pt idx="23">
                  <c:v>39417.488799999992</c:v>
                </c:pt>
                <c:pt idx="24">
                  <c:v>38956.824999999997</c:v>
                </c:pt>
                <c:pt idx="25">
                  <c:v>38371.966400000005</c:v>
                </c:pt>
                <c:pt idx="26">
                  <c:v>37678.221999999994</c:v>
                </c:pt>
                <c:pt idx="27">
                  <c:v>36891.863199999978</c:v>
                </c:pt>
                <c:pt idx="28">
                  <c:v>36030.123800000016</c:v>
                </c:pt>
                <c:pt idx="29">
                  <c:v>35111.199999999983</c:v>
                </c:pt>
                <c:pt idx="30">
                  <c:v>34154.250400000004</c:v>
                </c:pt>
                <c:pt idx="31">
                  <c:v>33179.395999999993</c:v>
                </c:pt>
                <c:pt idx="32">
                  <c:v>32207.7202</c:v>
                </c:pt>
                <c:pt idx="33">
                  <c:v>31261.268799999994</c:v>
                </c:pt>
                <c:pt idx="34">
                  <c:v>30363.049999999977</c:v>
                </c:pt>
                <c:pt idx="35">
                  <c:v>29537.034400000008</c:v>
                </c:pt>
                <c:pt idx="36">
                  <c:v>28808.154999999988</c:v>
                </c:pt>
                <c:pt idx="37">
                  <c:v>28202.307199999999</c:v>
                </c:pt>
                <c:pt idx="38">
                  <c:v>27746.348799999967</c:v>
                </c:pt>
                <c:pt idx="39">
                  <c:v>27468.099999999995</c:v>
                </c:pt>
                <c:pt idx="40">
                  <c:v>27396.343399999972</c:v>
                </c:pt>
                <c:pt idx="41">
                  <c:v>27560.823999999953</c:v>
                </c:pt>
                <c:pt idx="42">
                  <c:v>27992.249200000009</c:v>
                </c:pt>
                <c:pt idx="43">
                  <c:v>28722.288799999969</c:v>
                </c:pt>
                <c:pt idx="44">
                  <c:v>29783.575000000001</c:v>
                </c:pt>
                <c:pt idx="45">
                  <c:v>31209.702399999969</c:v>
                </c:pt>
                <c:pt idx="46">
                  <c:v>33035.228000000017</c:v>
                </c:pt>
                <c:pt idx="47">
                  <c:v>35295.671199999968</c:v>
                </c:pt>
                <c:pt idx="48">
                  <c:v>38027.513800000001</c:v>
                </c:pt>
                <c:pt idx="49">
                  <c:v>41268.199999999968</c:v>
                </c:pt>
                <c:pt idx="50">
                  <c:v>45056.136400000003</c:v>
                </c:pt>
                <c:pt idx="51">
                  <c:v>49430.691999999966</c:v>
                </c:pt>
                <c:pt idx="52">
                  <c:v>54432.198199999941</c:v>
                </c:pt>
                <c:pt idx="53">
                  <c:v>60101.948799999969</c:v>
                </c:pt>
                <c:pt idx="54">
                  <c:v>66482.199999999939</c:v>
                </c:pt>
                <c:pt idx="55">
                  <c:v>73616.17039999993</c:v>
                </c:pt>
                <c:pt idx="56">
                  <c:v>81548.040999999954</c:v>
                </c:pt>
                <c:pt idx="57">
                  <c:v>90322.955200000011</c:v>
                </c:pt>
              </c:numCache>
            </c:numRef>
          </c:val>
          <c:smooth val="0"/>
          <c:extLst>
            <c:ext xmlns:c16="http://schemas.microsoft.com/office/drawing/2014/chart" uri="{C3380CC4-5D6E-409C-BE32-E72D297353CC}">
              <c16:uniqueId val="{00000002-97AE-4A67-A505-7B05F49FCE21}"/>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_(* \(#,##0\);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'04. SUAVIZACIÓN EXPO'!$B$1</c:f>
              <c:strCache>
                <c:ptCount val="1"/>
                <c:pt idx="0">
                  <c:v>Valor Real</c:v>
                </c:pt>
              </c:strCache>
            </c:strRef>
          </c:tx>
          <c:spPr>
            <a:ln w="28575" cap="rnd">
              <a:solidFill>
                <a:schemeClr val="accent2"/>
              </a:solidFill>
              <a:round/>
            </a:ln>
            <a:effectLst/>
          </c:spPr>
          <c:marker>
            <c:symbol val="none"/>
          </c:marker>
          <c:val>
            <c:numRef>
              <c:f>'04. SUAVIZACIÓN EXPO'!$B$3:$B$59</c:f>
              <c:numCache>
                <c:formatCode>_(* #,##0_);_(* \(#,##0\);_(*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1-3751-4D51-82DA-139C6F8B5C73}"/>
            </c:ext>
          </c:extLst>
        </c:ser>
        <c:ser>
          <c:idx val="2"/>
          <c:order val="1"/>
          <c:tx>
            <c:strRef>
              <c:f>'04. SUAVIZACIÓN EXPO'!$D$1</c:f>
              <c:strCache>
                <c:ptCount val="1"/>
                <c:pt idx="0">
                  <c:v>Forecast</c:v>
                </c:pt>
              </c:strCache>
            </c:strRef>
          </c:tx>
          <c:spPr>
            <a:ln w="28575" cap="rnd">
              <a:solidFill>
                <a:schemeClr val="accent3"/>
              </a:solidFill>
              <a:prstDash val="sysDash"/>
              <a:round/>
            </a:ln>
            <a:effectLst/>
          </c:spPr>
          <c:marker>
            <c:symbol val="none"/>
          </c:marker>
          <c:val>
            <c:numRef>
              <c:f>'04. SUAVIZACIÓN EXPO'!$D$3:$D$60</c:f>
              <c:numCache>
                <c:formatCode>_(* #,##0_);_(* \(#,##0\);_(* "-"??_);_(@_)</c:formatCode>
                <c:ptCount val="58"/>
                <c:pt idx="0">
                  <c:v>33346.000197157882</c:v>
                </c:pt>
                <c:pt idx="1">
                  <c:v>7194.8920900000003</c:v>
                </c:pt>
                <c:pt idx="2">
                  <c:v>9346.3574219999991</c:v>
                </c:pt>
                <c:pt idx="3">
                  <c:v>8599.7587889999995</c:v>
                </c:pt>
                <c:pt idx="4">
                  <c:v>6437.3193359999996</c:v>
                </c:pt>
                <c:pt idx="5">
                  <c:v>8672.7822269999997</c:v>
                </c:pt>
                <c:pt idx="6">
                  <c:v>9463.6054690000001</c:v>
                </c:pt>
                <c:pt idx="7">
                  <c:v>9145.9853519999997</c:v>
                </c:pt>
                <c:pt idx="8">
                  <c:v>11322.570313</c:v>
                </c:pt>
                <c:pt idx="9">
                  <c:v>11679.316406</c:v>
                </c:pt>
                <c:pt idx="10">
                  <c:v>10795.254883</c:v>
                </c:pt>
                <c:pt idx="11">
                  <c:v>13780.995117</c:v>
                </c:pt>
                <c:pt idx="12">
                  <c:v>19633.769531000002</c:v>
                </c:pt>
                <c:pt idx="13">
                  <c:v>28994.009765999999</c:v>
                </c:pt>
                <c:pt idx="14">
                  <c:v>33114.578125</c:v>
                </c:pt>
                <c:pt idx="15">
                  <c:v>45159.503905999998</c:v>
                </c:pt>
                <c:pt idx="16">
                  <c:v>58926.5625</c:v>
                </c:pt>
                <c:pt idx="17">
                  <c:v>57714.664062999997</c:v>
                </c:pt>
                <c:pt idx="18">
                  <c:v>37293.792969000002</c:v>
                </c:pt>
                <c:pt idx="19">
                  <c:v>35035.984375</c:v>
                </c:pt>
                <c:pt idx="20">
                  <c:v>41460.84375</c:v>
                </c:pt>
                <c:pt idx="21">
                  <c:v>47099.773437999997</c:v>
                </c:pt>
                <c:pt idx="22">
                  <c:v>43816.742187999997</c:v>
                </c:pt>
                <c:pt idx="23">
                  <c:v>61320.449219000002</c:v>
                </c:pt>
                <c:pt idx="24">
                  <c:v>56907.964844000002</c:v>
                </c:pt>
                <c:pt idx="25">
                  <c:v>46311.746094000002</c:v>
                </c:pt>
                <c:pt idx="26">
                  <c:v>38481.765625</c:v>
                </c:pt>
                <c:pt idx="27">
                  <c:v>43194.503905999998</c:v>
                </c:pt>
                <c:pt idx="28">
                  <c:v>45554.164062999997</c:v>
                </c:pt>
                <c:pt idx="29">
                  <c:v>37713.265625</c:v>
                </c:pt>
                <c:pt idx="30">
                  <c:v>31792.554688</c:v>
                </c:pt>
                <c:pt idx="31">
                  <c:v>19820.470702999999</c:v>
                </c:pt>
                <c:pt idx="32">
                  <c:v>23336.71875</c:v>
                </c:pt>
                <c:pt idx="33">
                  <c:v>20050.498047000001</c:v>
                </c:pt>
                <c:pt idx="34">
                  <c:v>19431.105468999998</c:v>
                </c:pt>
                <c:pt idx="35">
                  <c:v>20494.898438</c:v>
                </c:pt>
                <c:pt idx="36">
                  <c:v>17168.001952999999</c:v>
                </c:pt>
                <c:pt idx="37">
                  <c:v>16547.914063</c:v>
                </c:pt>
                <c:pt idx="38">
                  <c:v>23137.835938</c:v>
                </c:pt>
                <c:pt idx="39">
                  <c:v>23150.929688</c:v>
                </c:pt>
                <c:pt idx="40">
                  <c:v>28473.332031000002</c:v>
                </c:pt>
                <c:pt idx="41">
                  <c:v>29227.103515999999</c:v>
                </c:pt>
                <c:pt idx="42">
                  <c:v>27218.412109000001</c:v>
                </c:pt>
                <c:pt idx="43">
                  <c:v>30471.847656000002</c:v>
                </c:pt>
                <c:pt idx="44">
                  <c:v>29230.873047000001</c:v>
                </c:pt>
                <c:pt idx="45">
                  <c:v>25934.021484000001</c:v>
                </c:pt>
                <c:pt idx="46">
                  <c:v>26967.396484000001</c:v>
                </c:pt>
                <c:pt idx="47">
                  <c:v>34657.273437999997</c:v>
                </c:pt>
                <c:pt idx="48">
                  <c:v>37718.007812999997</c:v>
                </c:pt>
                <c:pt idx="49">
                  <c:v>42280.234375</c:v>
                </c:pt>
                <c:pt idx="50">
                  <c:v>42569.761719000002</c:v>
                </c:pt>
                <c:pt idx="51">
                  <c:v>61168.0625</c:v>
                </c:pt>
                <c:pt idx="52">
                  <c:v>71333.484375</c:v>
                </c:pt>
                <c:pt idx="53">
                  <c:v>60609.496094000002</c:v>
                </c:pt>
                <c:pt idx="54">
                  <c:v>67489.609375</c:v>
                </c:pt>
                <c:pt idx="55">
                  <c:v>62673.605469000002</c:v>
                </c:pt>
                <c:pt idx="56">
                  <c:v>64625.839844000002</c:v>
                </c:pt>
                <c:pt idx="57">
                  <c:v>58969.800780999998</c:v>
                </c:pt>
              </c:numCache>
            </c:numRef>
          </c:val>
          <c:smooth val="0"/>
          <c:extLst>
            <c:ext xmlns:c16="http://schemas.microsoft.com/office/drawing/2014/chart" uri="{C3380CC4-5D6E-409C-BE32-E72D297353CC}">
              <c16:uniqueId val="{00000002-3751-4D51-82DA-139C6F8B5C73}"/>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_(* \(#,##0\);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r>
              <a:rPr lang="es-PA" sz="1800" b="1"/>
              <a:t>Precio de</a:t>
            </a:r>
            <a:r>
              <a:rPr lang="es-PA" sz="1800" b="1" baseline="0"/>
              <a:t> Bitcoin en USD</a:t>
            </a:r>
            <a:br>
              <a:rPr lang="es-PA" sz="1800" b="1"/>
            </a:br>
            <a:r>
              <a:rPr lang="es-PA" sz="1800" b="1"/>
              <a:t>Real vs Forecast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title>
    <c:autoTitleDeleted val="0"/>
    <c:plotArea>
      <c:layout/>
      <c:lineChart>
        <c:grouping val="standard"/>
        <c:varyColors val="0"/>
        <c:ser>
          <c:idx val="1"/>
          <c:order val="0"/>
          <c:tx>
            <c:strRef>
              <c:f>'05. HOLT'!$B$1</c:f>
              <c:strCache>
                <c:ptCount val="1"/>
                <c:pt idx="0">
                  <c:v>Valor Real</c:v>
                </c:pt>
              </c:strCache>
            </c:strRef>
          </c:tx>
          <c:spPr>
            <a:ln w="28575" cap="rnd">
              <a:solidFill>
                <a:schemeClr val="accent2"/>
              </a:solidFill>
              <a:round/>
            </a:ln>
            <a:effectLst/>
          </c:spPr>
          <c:marker>
            <c:symbol val="none"/>
          </c:marker>
          <c:val>
            <c:numRef>
              <c:f>'05. HOLT'!$B$3:$B$59</c:f>
              <c:numCache>
                <c:formatCode>_-* #,##0_-;\-* #,##0_-;_-* "-"??_-;_-@_-</c:formatCode>
                <c:ptCount val="57"/>
                <c:pt idx="0">
                  <c:v>7194.8920900000003</c:v>
                </c:pt>
                <c:pt idx="1">
                  <c:v>9346.3574219999991</c:v>
                </c:pt>
                <c:pt idx="2">
                  <c:v>8599.7587889999995</c:v>
                </c:pt>
                <c:pt idx="3">
                  <c:v>6437.3193359999996</c:v>
                </c:pt>
                <c:pt idx="4">
                  <c:v>8672.7822269999997</c:v>
                </c:pt>
                <c:pt idx="5">
                  <c:v>9463.6054690000001</c:v>
                </c:pt>
                <c:pt idx="6">
                  <c:v>9145.9853519999997</c:v>
                </c:pt>
                <c:pt idx="7">
                  <c:v>11322.570313</c:v>
                </c:pt>
                <c:pt idx="8">
                  <c:v>11679.316406</c:v>
                </c:pt>
                <c:pt idx="9">
                  <c:v>10795.254883</c:v>
                </c:pt>
                <c:pt idx="10">
                  <c:v>13780.995117</c:v>
                </c:pt>
                <c:pt idx="11">
                  <c:v>19633.769531000002</c:v>
                </c:pt>
                <c:pt idx="12">
                  <c:v>28994.009765999999</c:v>
                </c:pt>
                <c:pt idx="13">
                  <c:v>33114.578125</c:v>
                </c:pt>
                <c:pt idx="14">
                  <c:v>45159.503905999998</c:v>
                </c:pt>
                <c:pt idx="15">
                  <c:v>58926.5625</c:v>
                </c:pt>
                <c:pt idx="16">
                  <c:v>57714.664062999997</c:v>
                </c:pt>
                <c:pt idx="17">
                  <c:v>37293.792969000002</c:v>
                </c:pt>
                <c:pt idx="18">
                  <c:v>35035.984375</c:v>
                </c:pt>
                <c:pt idx="19">
                  <c:v>41460.84375</c:v>
                </c:pt>
                <c:pt idx="20">
                  <c:v>47099.773437999997</c:v>
                </c:pt>
                <c:pt idx="21">
                  <c:v>43816.742187999997</c:v>
                </c:pt>
                <c:pt idx="22">
                  <c:v>61320.449219000002</c:v>
                </c:pt>
                <c:pt idx="23">
                  <c:v>56907.964844000002</c:v>
                </c:pt>
                <c:pt idx="24">
                  <c:v>46311.746094000002</c:v>
                </c:pt>
                <c:pt idx="25">
                  <c:v>38481.765625</c:v>
                </c:pt>
                <c:pt idx="26">
                  <c:v>43194.503905999998</c:v>
                </c:pt>
                <c:pt idx="27">
                  <c:v>45554.164062999997</c:v>
                </c:pt>
                <c:pt idx="28">
                  <c:v>37713.265625</c:v>
                </c:pt>
                <c:pt idx="29">
                  <c:v>31792.554688</c:v>
                </c:pt>
                <c:pt idx="30">
                  <c:v>19820.470702999999</c:v>
                </c:pt>
                <c:pt idx="31">
                  <c:v>23336.71875</c:v>
                </c:pt>
                <c:pt idx="32">
                  <c:v>20050.498047000001</c:v>
                </c:pt>
                <c:pt idx="33">
                  <c:v>19431.105468999998</c:v>
                </c:pt>
                <c:pt idx="34">
                  <c:v>20494.898438</c:v>
                </c:pt>
                <c:pt idx="35">
                  <c:v>17168.001952999999</c:v>
                </c:pt>
                <c:pt idx="36">
                  <c:v>16547.914063</c:v>
                </c:pt>
                <c:pt idx="37">
                  <c:v>23137.835938</c:v>
                </c:pt>
                <c:pt idx="38">
                  <c:v>23150.929688</c:v>
                </c:pt>
                <c:pt idx="39">
                  <c:v>28473.332031000002</c:v>
                </c:pt>
                <c:pt idx="40">
                  <c:v>29227.103515999999</c:v>
                </c:pt>
                <c:pt idx="41">
                  <c:v>27218.412109000001</c:v>
                </c:pt>
                <c:pt idx="42">
                  <c:v>30471.847656000002</c:v>
                </c:pt>
                <c:pt idx="43">
                  <c:v>29230.873047000001</c:v>
                </c:pt>
                <c:pt idx="44">
                  <c:v>25934.021484000001</c:v>
                </c:pt>
                <c:pt idx="45">
                  <c:v>26967.396484000001</c:v>
                </c:pt>
                <c:pt idx="46">
                  <c:v>34657.273437999997</c:v>
                </c:pt>
                <c:pt idx="47">
                  <c:v>37718.007812999997</c:v>
                </c:pt>
                <c:pt idx="48">
                  <c:v>42280.234375</c:v>
                </c:pt>
                <c:pt idx="49">
                  <c:v>42569.761719000002</c:v>
                </c:pt>
                <c:pt idx="50">
                  <c:v>61168.0625</c:v>
                </c:pt>
                <c:pt idx="51">
                  <c:v>71333.484375</c:v>
                </c:pt>
                <c:pt idx="52">
                  <c:v>60609.496094000002</c:v>
                </c:pt>
                <c:pt idx="53">
                  <c:v>67489.609375</c:v>
                </c:pt>
                <c:pt idx="54">
                  <c:v>62673.605469000002</c:v>
                </c:pt>
                <c:pt idx="55">
                  <c:v>64625.839844000002</c:v>
                </c:pt>
                <c:pt idx="56">
                  <c:v>58969.800780999998</c:v>
                </c:pt>
              </c:numCache>
            </c:numRef>
          </c:val>
          <c:smooth val="0"/>
          <c:extLst>
            <c:ext xmlns:c16="http://schemas.microsoft.com/office/drawing/2014/chart" uri="{C3380CC4-5D6E-409C-BE32-E72D297353CC}">
              <c16:uniqueId val="{00000001-2003-4C9A-AE85-3733347359D4}"/>
            </c:ext>
          </c:extLst>
        </c:ser>
        <c:ser>
          <c:idx val="2"/>
          <c:order val="1"/>
          <c:tx>
            <c:strRef>
              <c:f>'05. HOLT'!$E$1</c:f>
              <c:strCache>
                <c:ptCount val="1"/>
                <c:pt idx="0">
                  <c:v>Forecast</c:v>
                </c:pt>
              </c:strCache>
            </c:strRef>
          </c:tx>
          <c:spPr>
            <a:ln w="28575" cap="rnd">
              <a:solidFill>
                <a:schemeClr val="accent3"/>
              </a:solidFill>
              <a:prstDash val="sysDash"/>
              <a:round/>
            </a:ln>
            <a:effectLst/>
          </c:spPr>
          <c:marker>
            <c:symbol val="none"/>
          </c:marker>
          <c:val>
            <c:numRef>
              <c:f>'05. HOLT'!$E$3:$E$60</c:f>
              <c:numCache>
                <c:formatCode>_-* #,##0_-;\-* #,##0_-;_-* "-"??_-;_-@_-</c:formatCode>
                <c:ptCount val="58"/>
                <c:pt idx="0">
                  <c:v>16201.416315617047</c:v>
                </c:pt>
                <c:pt idx="1">
                  <c:v>3360.4212117925854</c:v>
                </c:pt>
                <c:pt idx="2">
                  <c:v>7678.2913947469142</c:v>
                </c:pt>
                <c:pt idx="3">
                  <c:v>7911.0492029557754</c:v>
                </c:pt>
                <c:pt idx="4">
                  <c:v>5101.7130920674899</c:v>
                </c:pt>
                <c:pt idx="5">
                  <c:v>8971.2074478339182</c:v>
                </c:pt>
                <c:pt idx="6">
                  <c:v>10317.987397520659</c:v>
                </c:pt>
                <c:pt idx="7">
                  <c:v>9464.8533433323992</c:v>
                </c:pt>
                <c:pt idx="8">
                  <c:v>12455.97208015143</c:v>
                </c:pt>
                <c:pt idx="9">
                  <c:v>12592.007631554985</c:v>
                </c:pt>
                <c:pt idx="10">
                  <c:v>10752.798704384659</c:v>
                </c:pt>
                <c:pt idx="11">
                  <c:v>15076.240058195704</c:v>
                </c:pt>
                <c:pt idx="12">
                  <c:v>23444.483610192678</c:v>
                </c:pt>
                <c:pt idx="13">
                  <c:v>35943.948186229485</c:v>
                </c:pt>
                <c:pt idx="14">
                  <c:v>39153.745759568723</c:v>
                </c:pt>
                <c:pt idx="15">
                  <c:v>53916.016568917454</c:v>
                </c:pt>
                <c:pt idx="16">
                  <c:v>70683.062616008203</c:v>
                </c:pt>
                <c:pt idx="17">
                  <c:v>63507.248641177255</c:v>
                </c:pt>
                <c:pt idx="18">
                  <c:v>29007.943316808662</c:v>
                </c:pt>
                <c:pt idx="19">
                  <c:v>27429.903752275161</c:v>
                </c:pt>
                <c:pt idx="20">
                  <c:v>41310.328069860378</c:v>
                </c:pt>
                <c:pt idx="21">
                  <c:v>51036.861205098205</c:v>
                </c:pt>
                <c:pt idx="22">
                  <c:v>44696.239671143958</c:v>
                </c:pt>
                <c:pt idx="23">
                  <c:v>69775.269160102951</c:v>
                </c:pt>
                <c:pt idx="24">
                  <c:v>60466.204745109739</c:v>
                </c:pt>
                <c:pt idx="25">
                  <c:v>41754.27836474403</c:v>
                </c:pt>
                <c:pt idx="26">
                  <c:v>31068.554819394063</c:v>
                </c:pt>
                <c:pt idx="27">
                  <c:v>41481.528854508506</c:v>
                </c:pt>
                <c:pt idx="28">
                  <c:v>46914.266460095751</c:v>
                </c:pt>
                <c:pt idx="29">
                  <c:v>34887.357737606071</c:v>
                </c:pt>
                <c:pt idx="30">
                  <c:v>26632.594883527607</c:v>
                </c:pt>
                <c:pt idx="31">
                  <c:v>11026.049043304451</c:v>
                </c:pt>
                <c:pt idx="32">
                  <c:v>20023.644760274536</c:v>
                </c:pt>
                <c:pt idx="33">
                  <c:v>17829.16634644787</c:v>
                </c:pt>
                <c:pt idx="34">
                  <c:v>18003.049223201386</c:v>
                </c:pt>
                <c:pt idx="35">
                  <c:v>20437.477994549427</c:v>
                </c:pt>
                <c:pt idx="36">
                  <c:v>15714.648135622565</c:v>
                </c:pt>
                <c:pt idx="37">
                  <c:v>15219.542828798451</c:v>
                </c:pt>
                <c:pt idx="38">
                  <c:v>25791.950254783162</c:v>
                </c:pt>
                <c:pt idx="39">
                  <c:v>25194.784064218311</c:v>
                </c:pt>
                <c:pt idx="40">
                  <c:v>31904.530597672714</c:v>
                </c:pt>
                <c:pt idx="41">
                  <c:v>31623.599382151231</c:v>
                </c:pt>
                <c:pt idx="42">
                  <c:v>27205.383889180848</c:v>
                </c:pt>
                <c:pt idx="43">
                  <c:v>31685.646365624914</c:v>
                </c:pt>
                <c:pt idx="44">
                  <c:v>29518.84091432334</c:v>
                </c:pt>
                <c:pt idx="45">
                  <c:v>24237.009951662279</c:v>
                </c:pt>
                <c:pt idx="46">
                  <c:v>26304.404134303244</c:v>
                </c:pt>
                <c:pt idx="47">
                  <c:v>38357.527738187702</c:v>
                </c:pt>
                <c:pt idx="48">
                  <c:v>41834.271350610536</c:v>
                </c:pt>
                <c:pt idx="49">
                  <c:v>46560.657005102163</c:v>
                </c:pt>
                <c:pt idx="50">
                  <c:v>44918.834591599065</c:v>
                </c:pt>
                <c:pt idx="51">
                  <c:v>71190.216919382277</c:v>
                </c:pt>
                <c:pt idx="52">
                  <c:v>82849.897971949249</c:v>
                </c:pt>
                <c:pt idx="53">
                  <c:v>61157.741088134295</c:v>
                </c:pt>
                <c:pt idx="54">
                  <c:v>69215.693459007613</c:v>
                </c:pt>
                <c:pt idx="55">
                  <c:v>61724.381797252798</c:v>
                </c:pt>
                <c:pt idx="56">
                  <c:v>64536.024837488825</c:v>
                </c:pt>
                <c:pt idx="57">
                  <c:v>56385.966554694911</c:v>
                </c:pt>
              </c:numCache>
            </c:numRef>
          </c:val>
          <c:smooth val="0"/>
          <c:extLst>
            <c:ext xmlns:c16="http://schemas.microsoft.com/office/drawing/2014/chart" uri="{C3380CC4-5D6E-409C-BE32-E72D297353CC}">
              <c16:uniqueId val="{00000002-2003-4C9A-AE85-3733347359D4}"/>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crossAx val="750231856"/>
        <c:crosses val="autoZero"/>
        <c:auto val="1"/>
        <c:lblAlgn val="ctr"/>
        <c:lblOffset val="100"/>
        <c:noMultiLvlLbl val="0"/>
      </c:catAx>
      <c:valAx>
        <c:axId val="750231856"/>
        <c:scaling>
          <c:orientation val="minMax"/>
          <c:min val="0"/>
        </c:scaling>
        <c:delete val="1"/>
        <c:axPos val="l"/>
        <c:numFmt formatCode="_-* #,##0_-;\-* #,##0_-;_-* &quot;-&quot;??_-;_-@_-" sourceLinked="1"/>
        <c:majorTickMark val="none"/>
        <c:minorTickMark val="none"/>
        <c:tickLblPos val="nextTo"/>
        <c:crossAx val="750231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b="0"/>
            </a:pPr>
            <a:r>
              <a:rPr lang="es-PA" sz="1400" b="0"/>
              <a:t>Precio</a:t>
            </a:r>
            <a:r>
              <a:rPr lang="es-PA" sz="1400" b="0" baseline="0"/>
              <a:t> de Bitcoin en USD</a:t>
            </a:r>
            <a:br>
              <a:rPr lang="es-PA" sz="1400" b="0" baseline="0"/>
            </a:br>
            <a:r>
              <a:rPr lang="es-PA" sz="1400" b="0" baseline="0"/>
              <a:t>Real vs Forecast</a:t>
            </a:r>
            <a:endParaRPr lang="es-PA" sz="1400" b="0"/>
          </a:p>
        </c:rich>
      </c:tx>
      <c:overlay val="0"/>
      <c:spPr>
        <a:noFill/>
        <a:ln>
          <a:noFill/>
        </a:ln>
        <a:effectLst/>
      </c:spPr>
    </c:title>
    <c:autoTitleDeleted val="0"/>
    <c:plotArea>
      <c:layout/>
      <c:lineChart>
        <c:grouping val="standard"/>
        <c:varyColors val="0"/>
        <c:ser>
          <c:idx val="1"/>
          <c:order val="0"/>
          <c:tx>
            <c:strRef>
              <c:f>'06. WINTER'!$B$1</c:f>
              <c:strCache>
                <c:ptCount val="1"/>
                <c:pt idx="0">
                  <c:v>Valor Real</c:v>
                </c:pt>
              </c:strCache>
            </c:strRef>
          </c:tx>
          <c:spPr>
            <a:ln w="28575" cap="rnd">
              <a:solidFill>
                <a:schemeClr val="accent2"/>
              </a:solidFill>
              <a:round/>
            </a:ln>
            <a:effectLst/>
          </c:spPr>
          <c:marker>
            <c:symbol val="none"/>
          </c:marker>
          <c:cat>
            <c:numRef>
              <c:f>'06. WINTER'!$A$2:$A$59</c:f>
              <c:numCache>
                <c:formatCode>General</c:formatCode>
                <c:ptCount val="58"/>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Cache>
            </c:numRef>
          </c:cat>
          <c:val>
            <c:numRef>
              <c:f>'06. WINTER'!$B$2:$B$59</c:f>
              <c:numCache>
                <c:formatCode>_(* #,##0_);_(* \(#,##0\);_(* "-"??_);_(@_)</c:formatCode>
                <c:ptCount val="58"/>
                <c:pt idx="1">
                  <c:v>7194.8920900000003</c:v>
                </c:pt>
                <c:pt idx="2">
                  <c:v>9346.3574219999991</c:v>
                </c:pt>
                <c:pt idx="3">
                  <c:v>8599.7587889999995</c:v>
                </c:pt>
                <c:pt idx="4">
                  <c:v>6437.3193359999996</c:v>
                </c:pt>
                <c:pt idx="5">
                  <c:v>8672.7822269999997</c:v>
                </c:pt>
                <c:pt idx="6">
                  <c:v>9463.6054690000001</c:v>
                </c:pt>
                <c:pt idx="7">
                  <c:v>9145.9853519999997</c:v>
                </c:pt>
                <c:pt idx="8">
                  <c:v>11322.570313</c:v>
                </c:pt>
                <c:pt idx="9">
                  <c:v>11679.316406</c:v>
                </c:pt>
                <c:pt idx="10">
                  <c:v>10795.254883</c:v>
                </c:pt>
                <c:pt idx="11">
                  <c:v>13780.995117</c:v>
                </c:pt>
                <c:pt idx="12">
                  <c:v>19633.769531000002</c:v>
                </c:pt>
                <c:pt idx="13">
                  <c:v>28994.009765999999</c:v>
                </c:pt>
                <c:pt idx="14">
                  <c:v>33114.578125</c:v>
                </c:pt>
                <c:pt idx="15">
                  <c:v>45159.503905999998</c:v>
                </c:pt>
                <c:pt idx="16">
                  <c:v>58926.5625</c:v>
                </c:pt>
                <c:pt idx="17">
                  <c:v>57714.664062999997</c:v>
                </c:pt>
                <c:pt idx="18">
                  <c:v>37293.792969000002</c:v>
                </c:pt>
                <c:pt idx="19">
                  <c:v>35035.984375</c:v>
                </c:pt>
                <c:pt idx="20">
                  <c:v>41460.84375</c:v>
                </c:pt>
                <c:pt idx="21">
                  <c:v>47099.773437999997</c:v>
                </c:pt>
                <c:pt idx="22">
                  <c:v>43816.742187999997</c:v>
                </c:pt>
                <c:pt idx="23">
                  <c:v>61320.449219000002</c:v>
                </c:pt>
                <c:pt idx="24">
                  <c:v>56907.964844000002</c:v>
                </c:pt>
                <c:pt idx="25">
                  <c:v>46311.746094000002</c:v>
                </c:pt>
                <c:pt idx="26">
                  <c:v>38481.765625</c:v>
                </c:pt>
                <c:pt idx="27">
                  <c:v>43194.503905999998</c:v>
                </c:pt>
                <c:pt idx="28">
                  <c:v>45554.164062999997</c:v>
                </c:pt>
                <c:pt idx="29">
                  <c:v>37713.265625</c:v>
                </c:pt>
                <c:pt idx="30">
                  <c:v>31792.554688</c:v>
                </c:pt>
                <c:pt idx="31">
                  <c:v>19820.470702999999</c:v>
                </c:pt>
                <c:pt idx="32">
                  <c:v>23336.71875</c:v>
                </c:pt>
                <c:pt idx="33">
                  <c:v>20050.498047000001</c:v>
                </c:pt>
                <c:pt idx="34">
                  <c:v>19431.105468999998</c:v>
                </c:pt>
                <c:pt idx="35">
                  <c:v>20494.898438</c:v>
                </c:pt>
                <c:pt idx="36">
                  <c:v>17168.001952999999</c:v>
                </c:pt>
                <c:pt idx="37">
                  <c:v>16547.914063</c:v>
                </c:pt>
                <c:pt idx="38">
                  <c:v>23137.835938</c:v>
                </c:pt>
                <c:pt idx="39">
                  <c:v>23150.929688</c:v>
                </c:pt>
                <c:pt idx="40">
                  <c:v>28473.332031000002</c:v>
                </c:pt>
                <c:pt idx="41">
                  <c:v>29227.103515999999</c:v>
                </c:pt>
                <c:pt idx="42">
                  <c:v>27218.412109000001</c:v>
                </c:pt>
                <c:pt idx="43">
                  <c:v>30471.847656000002</c:v>
                </c:pt>
                <c:pt idx="44">
                  <c:v>29230.873047000001</c:v>
                </c:pt>
                <c:pt idx="45">
                  <c:v>25934.021484000001</c:v>
                </c:pt>
                <c:pt idx="46">
                  <c:v>26967.396484000001</c:v>
                </c:pt>
                <c:pt idx="47">
                  <c:v>34657.273437999997</c:v>
                </c:pt>
                <c:pt idx="48">
                  <c:v>37718.007812999997</c:v>
                </c:pt>
                <c:pt idx="49">
                  <c:v>42280.234375</c:v>
                </c:pt>
                <c:pt idx="50">
                  <c:v>42569.761719000002</c:v>
                </c:pt>
                <c:pt idx="51">
                  <c:v>61168.0625</c:v>
                </c:pt>
                <c:pt idx="52">
                  <c:v>71333.484375</c:v>
                </c:pt>
                <c:pt idx="53">
                  <c:v>60609.496094000002</c:v>
                </c:pt>
                <c:pt idx="54">
                  <c:v>67489.609375</c:v>
                </c:pt>
                <c:pt idx="55">
                  <c:v>62673.605469000002</c:v>
                </c:pt>
                <c:pt idx="56">
                  <c:v>64625.839844000002</c:v>
                </c:pt>
                <c:pt idx="57">
                  <c:v>58969.800780999998</c:v>
                </c:pt>
              </c:numCache>
            </c:numRef>
          </c:val>
          <c:smooth val="0"/>
          <c:extLst>
            <c:ext xmlns:c16="http://schemas.microsoft.com/office/drawing/2014/chart" uri="{C3380CC4-5D6E-409C-BE32-E72D297353CC}">
              <c16:uniqueId val="{00000001-8410-4DF0-A498-D2D4D86F4024}"/>
            </c:ext>
          </c:extLst>
        </c:ser>
        <c:ser>
          <c:idx val="2"/>
          <c:order val="1"/>
          <c:tx>
            <c:strRef>
              <c:f>'06. WINTER'!$F$1</c:f>
              <c:strCache>
                <c:ptCount val="1"/>
                <c:pt idx="0">
                  <c:v>Forecast</c:v>
                </c:pt>
              </c:strCache>
            </c:strRef>
          </c:tx>
          <c:spPr>
            <a:ln w="28575" cap="rnd">
              <a:solidFill>
                <a:schemeClr val="accent3"/>
              </a:solidFill>
              <a:prstDash val="sysDash"/>
              <a:round/>
            </a:ln>
            <a:effectLst/>
          </c:spPr>
          <c:marker>
            <c:symbol val="none"/>
          </c:marker>
          <c:cat>
            <c:numRef>
              <c:f>'06. WINTER'!$A$2:$A$59</c:f>
              <c:numCache>
                <c:formatCode>General</c:formatCode>
                <c:ptCount val="58"/>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Cache>
            </c:numRef>
          </c:cat>
          <c:val>
            <c:numRef>
              <c:f>'06. WINTER'!$F$2:$F$59</c:f>
              <c:numCache>
                <c:formatCode>_(* #,##0_);_(* \(#,##0\);_(* "-"??_);_(@_)</c:formatCode>
                <c:ptCount val="58"/>
                <c:pt idx="1">
                  <c:v>17956.609888360006</c:v>
                </c:pt>
                <c:pt idx="2">
                  <c:v>6811.0441458661953</c:v>
                </c:pt>
                <c:pt idx="3">
                  <c:v>5912.0014053679051</c:v>
                </c:pt>
                <c:pt idx="4">
                  <c:v>6290.3906262488563</c:v>
                </c:pt>
                <c:pt idx="5">
                  <c:v>3155.9839404875779</c:v>
                </c:pt>
                <c:pt idx="6">
                  <c:v>10628.145886521184</c:v>
                </c:pt>
                <c:pt idx="7">
                  <c:v>10129.496015899109</c:v>
                </c:pt>
                <c:pt idx="8">
                  <c:v>9327.0203307888096</c:v>
                </c:pt>
                <c:pt idx="9">
                  <c:v>9111.1814831151605</c:v>
                </c:pt>
                <c:pt idx="10">
                  <c:v>15026.434545029566</c:v>
                </c:pt>
                <c:pt idx="11">
                  <c:v>12155.106861646551</c:v>
                </c:pt>
                <c:pt idx="12">
                  <c:v>14832.611641513538</c:v>
                </c:pt>
                <c:pt idx="13">
                  <c:v>16825.921059501419</c:v>
                </c:pt>
                <c:pt idx="14">
                  <c:v>36152.863707084354</c:v>
                </c:pt>
                <c:pt idx="15">
                  <c:v>43296.498107973312</c:v>
                </c:pt>
                <c:pt idx="16">
                  <c:v>55364.38689802646</c:v>
                </c:pt>
                <c:pt idx="17">
                  <c:v>55062.942496482428</c:v>
                </c:pt>
                <c:pt idx="18">
                  <c:v>67520.137279249975</c:v>
                </c:pt>
                <c:pt idx="19">
                  <c:v>46542.032791148085</c:v>
                </c:pt>
                <c:pt idx="20">
                  <c:v>33291.270184299778</c:v>
                </c:pt>
                <c:pt idx="21">
                  <c:v>29102.351081028868</c:v>
                </c:pt>
                <c:pt idx="22">
                  <c:v>42875.678759417708</c:v>
                </c:pt>
                <c:pt idx="23">
                  <c:v>54762.501640432027</c:v>
                </c:pt>
                <c:pt idx="24">
                  <c:v>75552.004064841662</c:v>
                </c:pt>
                <c:pt idx="25">
                  <c:v>51810.736372748113</c:v>
                </c:pt>
                <c:pt idx="26">
                  <c:v>40559.210236973013</c:v>
                </c:pt>
                <c:pt idx="27">
                  <c:v>43498.192584953511</c:v>
                </c:pt>
                <c:pt idx="28">
                  <c:v>43887.043411260995</c:v>
                </c:pt>
                <c:pt idx="29">
                  <c:v>37004.002628337694</c:v>
                </c:pt>
                <c:pt idx="30">
                  <c:v>31852.208782870181</c:v>
                </c:pt>
                <c:pt idx="31">
                  <c:v>35943.733204410797</c:v>
                </c:pt>
                <c:pt idx="32">
                  <c:v>17208.027912017813</c:v>
                </c:pt>
                <c:pt idx="33">
                  <c:v>13549.339786546461</c:v>
                </c:pt>
                <c:pt idx="34">
                  <c:v>13772.799126696797</c:v>
                </c:pt>
                <c:pt idx="35">
                  <c:v>18840.881555672149</c:v>
                </c:pt>
                <c:pt idx="36">
                  <c:v>24835.277308543693</c:v>
                </c:pt>
                <c:pt idx="37">
                  <c:v>13888.168880830315</c:v>
                </c:pt>
                <c:pt idx="38">
                  <c:v>12646.659269286329</c:v>
                </c:pt>
                <c:pt idx="39">
                  <c:v>24161.977735582459</c:v>
                </c:pt>
                <c:pt idx="40">
                  <c:v>29619.565442414103</c:v>
                </c:pt>
                <c:pt idx="41">
                  <c:v>28925.53208018556</c:v>
                </c:pt>
                <c:pt idx="42">
                  <c:v>28765.560839473088</c:v>
                </c:pt>
                <c:pt idx="43">
                  <c:v>28166.469730801044</c:v>
                </c:pt>
                <c:pt idx="44">
                  <c:v>37314.201211677151</c:v>
                </c:pt>
                <c:pt idx="45">
                  <c:v>29028.712716312704</c:v>
                </c:pt>
                <c:pt idx="46">
                  <c:v>22981.082668936066</c:v>
                </c:pt>
                <c:pt idx="47">
                  <c:v>25906.896484768957</c:v>
                </c:pt>
                <c:pt idx="48">
                  <c:v>39825.577631262204</c:v>
                </c:pt>
                <c:pt idx="49">
                  <c:v>39596.21214978092</c:v>
                </c:pt>
                <c:pt idx="50">
                  <c:v>42988.794001680486</c:v>
                </c:pt>
                <c:pt idx="51">
                  <c:v>46370.482823331127</c:v>
                </c:pt>
                <c:pt idx="52">
                  <c:v>70772.404322253758</c:v>
                </c:pt>
                <c:pt idx="53">
                  <c:v>79227.322451029686</c:v>
                </c:pt>
                <c:pt idx="54">
                  <c:v>63425.929786532448</c:v>
                </c:pt>
                <c:pt idx="55">
                  <c:v>73672.131611324221</c:v>
                </c:pt>
                <c:pt idx="56">
                  <c:v>67417.04029604957</c:v>
                </c:pt>
                <c:pt idx="57">
                  <c:v>60833.538749773419</c:v>
                </c:pt>
              </c:numCache>
            </c:numRef>
          </c:val>
          <c:smooth val="0"/>
          <c:extLst>
            <c:ext xmlns:c16="http://schemas.microsoft.com/office/drawing/2014/chart" uri="{C3380CC4-5D6E-409C-BE32-E72D297353CC}">
              <c16:uniqueId val="{00000003-8410-4DF0-A498-D2D4D86F4024}"/>
            </c:ext>
          </c:extLst>
        </c:ser>
        <c:dLbls>
          <c:showLegendKey val="0"/>
          <c:showVal val="0"/>
          <c:showCatName val="0"/>
          <c:showSerName val="0"/>
          <c:showPercent val="0"/>
          <c:showBubbleSize val="0"/>
        </c:dLbls>
        <c:smooth val="0"/>
        <c:axId val="750231496"/>
        <c:axId val="750231856"/>
      </c:lineChart>
      <c:catAx>
        <c:axId val="75023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PA"/>
          </a:p>
        </c:txPr>
        <c:crossAx val="750231856"/>
        <c:crosses val="autoZero"/>
        <c:auto val="1"/>
        <c:lblAlgn val="ctr"/>
        <c:lblOffset val="100"/>
        <c:noMultiLvlLbl val="0"/>
      </c:catAx>
      <c:valAx>
        <c:axId val="750231856"/>
        <c:scaling>
          <c:orientation val="minMax"/>
        </c:scaling>
        <c:delete val="1"/>
        <c:axPos val="l"/>
        <c:numFmt formatCode="_(* #,##0_);_(* \(#,##0\);_(* &quot;-&quot;??_);_(@_)" sourceLinked="1"/>
        <c:majorTickMark val="none"/>
        <c:minorTickMark val="none"/>
        <c:tickLblPos val="nextTo"/>
        <c:crossAx val="750231496"/>
        <c:crosses val="autoZero"/>
        <c:crossBetween val="between"/>
      </c:valAx>
    </c:plotArea>
    <c:legend>
      <c:legendPos val="b"/>
      <c:overlay val="0"/>
      <c:spPr>
        <a:noFill/>
        <a:ln>
          <a:noFill/>
        </a:ln>
        <a:effectLst/>
      </c:spPr>
      <c:txPr>
        <a:bodyPr rot="0" vert="horz"/>
        <a:lstStyle/>
        <a:p>
          <a:pPr>
            <a:defRPr/>
          </a:pPr>
          <a:endParaRPr lang="es-PA"/>
        </a:p>
      </c:txPr>
    </c:legend>
    <c:plotVisOnly val="1"/>
    <c:dispBlanksAs val="gap"/>
    <c:showDLblsOverMax val="0"/>
    <c:extLst/>
  </c:chart>
  <c:spPr>
    <a:noFill/>
    <a:ln w="9525" cap="flat" cmpd="sng" algn="ctr">
      <a:noFill/>
      <a:round/>
    </a:ln>
    <a:effectLst/>
  </c:spPr>
  <c:txPr>
    <a:bodyPr/>
    <a:lstStyle/>
    <a:p>
      <a:pPr>
        <a:defRPr>
          <a:latin typeface="Calibri Light" panose="020F0302020204030204" pitchFamily="34" charset="0"/>
          <a:cs typeface="Calibri Light" panose="020F0302020204030204" pitchFamily="34" charset="0"/>
        </a:defRPr>
      </a:pPr>
      <a:endParaRPr lang="es-PA"/>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hidden="1" uniqueId="{26954F47-43C5-4275-93E1-D5D76488159F}" formatIdx="0">
          <cx:tx>
            <cx:txData>
              <cx:f>_xlchart.v1.0</cx:f>
              <cx:v/>
            </cx:txData>
          </cx:tx>
          <cx:dataLabels>
            <cx:visibility seriesName="0" categoryName="0" value="1"/>
          </cx:dataLabels>
          <cx:dataId val="0"/>
          <cx:layoutPr>
            <cx:binning intervalClosed="r">
              <cx:binCount val="4"/>
            </cx:binn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251460</xdr:colOff>
      <xdr:row>10</xdr:row>
      <xdr:rowOff>38100</xdr:rowOff>
    </xdr:from>
    <xdr:to>
      <xdr:col>7</xdr:col>
      <xdr:colOff>1569720</xdr:colOff>
      <xdr:row>26</xdr:row>
      <xdr:rowOff>60960</xdr:rowOff>
    </xdr:to>
    <xdr:graphicFrame macro="">
      <xdr:nvGraphicFramePr>
        <xdr:cNvPr id="2" name="Gráfico 1">
          <a:extLst>
            <a:ext uri="{FF2B5EF4-FFF2-40B4-BE49-F238E27FC236}">
              <a16:creationId xmlns:a16="http://schemas.microsoft.com/office/drawing/2014/main" id="{13DA74A7-8639-4AC0-A970-17EBC697D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716280</xdr:colOff>
      <xdr:row>86</xdr:row>
      <xdr:rowOff>64770</xdr:rowOff>
    </xdr:from>
    <xdr:to>
      <xdr:col>10</xdr:col>
      <xdr:colOff>358140</xdr:colOff>
      <xdr:row>101</xdr:row>
      <xdr:rowOff>64770</xdr:rowOff>
    </xdr:to>
    <xdr:graphicFrame macro="">
      <xdr:nvGraphicFramePr>
        <xdr:cNvPr id="3" name="Gráfico 2">
          <a:extLst>
            <a:ext uri="{FF2B5EF4-FFF2-40B4-BE49-F238E27FC236}">
              <a16:creationId xmlns:a16="http://schemas.microsoft.com/office/drawing/2014/main" id="{E61C9468-792B-1B73-68C2-757BA5BAA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489857</xdr:colOff>
      <xdr:row>10</xdr:row>
      <xdr:rowOff>168728</xdr:rowOff>
    </xdr:from>
    <xdr:to>
      <xdr:col>19</xdr:col>
      <xdr:colOff>54429</xdr:colOff>
      <xdr:row>36</xdr:row>
      <xdr:rowOff>21770</xdr:rowOff>
    </xdr:to>
    <xdr:graphicFrame macro="">
      <xdr:nvGraphicFramePr>
        <xdr:cNvPr id="2" name="Gráfico 1">
          <a:extLst>
            <a:ext uri="{FF2B5EF4-FFF2-40B4-BE49-F238E27FC236}">
              <a16:creationId xmlns:a16="http://schemas.microsoft.com/office/drawing/2014/main" id="{77018E14-6EA4-4838-8EF5-0024DAF62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489857</xdr:colOff>
      <xdr:row>10</xdr:row>
      <xdr:rowOff>168728</xdr:rowOff>
    </xdr:from>
    <xdr:to>
      <xdr:col>19</xdr:col>
      <xdr:colOff>54429</xdr:colOff>
      <xdr:row>36</xdr:row>
      <xdr:rowOff>21770</xdr:rowOff>
    </xdr:to>
    <xdr:graphicFrame macro="">
      <xdr:nvGraphicFramePr>
        <xdr:cNvPr id="2" name="Gráfico 1">
          <a:extLst>
            <a:ext uri="{FF2B5EF4-FFF2-40B4-BE49-F238E27FC236}">
              <a16:creationId xmlns:a16="http://schemas.microsoft.com/office/drawing/2014/main" id="{048FFC1D-0B4F-42BF-9BC7-2BD6501F1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489857</xdr:colOff>
      <xdr:row>10</xdr:row>
      <xdr:rowOff>168728</xdr:rowOff>
    </xdr:from>
    <xdr:to>
      <xdr:col>19</xdr:col>
      <xdr:colOff>54429</xdr:colOff>
      <xdr:row>36</xdr:row>
      <xdr:rowOff>21770</xdr:rowOff>
    </xdr:to>
    <xdr:graphicFrame macro="">
      <xdr:nvGraphicFramePr>
        <xdr:cNvPr id="2" name="Gráfico 1">
          <a:extLst>
            <a:ext uri="{FF2B5EF4-FFF2-40B4-BE49-F238E27FC236}">
              <a16:creationId xmlns:a16="http://schemas.microsoft.com/office/drawing/2014/main" id="{EEF6C79A-F045-40DF-9A23-DBCF4B2A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489857</xdr:colOff>
      <xdr:row>10</xdr:row>
      <xdr:rowOff>168728</xdr:rowOff>
    </xdr:from>
    <xdr:to>
      <xdr:col>19</xdr:col>
      <xdr:colOff>54429</xdr:colOff>
      <xdr:row>36</xdr:row>
      <xdr:rowOff>21770</xdr:rowOff>
    </xdr:to>
    <xdr:graphicFrame macro="">
      <xdr:nvGraphicFramePr>
        <xdr:cNvPr id="2" name="Gráfico 1">
          <a:extLst>
            <a:ext uri="{FF2B5EF4-FFF2-40B4-BE49-F238E27FC236}">
              <a16:creationId xmlns:a16="http://schemas.microsoft.com/office/drawing/2014/main" id="{801D6CDF-9A1C-49FE-B87C-5F43650A5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251461</xdr:colOff>
      <xdr:row>1</xdr:row>
      <xdr:rowOff>175260</xdr:rowOff>
    </xdr:from>
    <xdr:to>
      <xdr:col>22</xdr:col>
      <xdr:colOff>251460</xdr:colOff>
      <xdr:row>11</xdr:row>
      <xdr:rowOff>175260</xdr:rowOff>
    </xdr:to>
    <xdr:graphicFrame macro="">
      <xdr:nvGraphicFramePr>
        <xdr:cNvPr id="2" name="Gráfico 1">
          <a:extLst>
            <a:ext uri="{FF2B5EF4-FFF2-40B4-BE49-F238E27FC236}">
              <a16:creationId xmlns:a16="http://schemas.microsoft.com/office/drawing/2014/main" id="{6372A577-0A8B-328F-D054-A07CBA956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342898</xdr:colOff>
      <xdr:row>2</xdr:row>
      <xdr:rowOff>53340</xdr:rowOff>
    </xdr:from>
    <xdr:to>
      <xdr:col>25</xdr:col>
      <xdr:colOff>373379</xdr:colOff>
      <xdr:row>19</xdr:row>
      <xdr:rowOff>160020</xdr:rowOff>
    </xdr:to>
    <xdr:graphicFrame macro="">
      <xdr:nvGraphicFramePr>
        <xdr:cNvPr id="3" name="Gráfico 2">
          <a:extLst>
            <a:ext uri="{FF2B5EF4-FFF2-40B4-BE49-F238E27FC236}">
              <a16:creationId xmlns:a16="http://schemas.microsoft.com/office/drawing/2014/main" id="{61CE9315-2839-B5A3-023D-7B226862B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480060</xdr:colOff>
      <xdr:row>16</xdr:row>
      <xdr:rowOff>91440</xdr:rowOff>
    </xdr:from>
    <xdr:to>
      <xdr:col>22</xdr:col>
      <xdr:colOff>480060</xdr:colOff>
      <xdr:row>26</xdr:row>
      <xdr:rowOff>99060</xdr:rowOff>
    </xdr:to>
    <xdr:graphicFrame macro="">
      <xdr:nvGraphicFramePr>
        <xdr:cNvPr id="4" name="Gráfico 3">
          <a:extLst>
            <a:ext uri="{FF2B5EF4-FFF2-40B4-BE49-F238E27FC236}">
              <a16:creationId xmlns:a16="http://schemas.microsoft.com/office/drawing/2014/main" id="{992E4B95-9F49-4902-F38C-7B2BD79D8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45720</xdr:colOff>
      <xdr:row>37</xdr:row>
      <xdr:rowOff>80010</xdr:rowOff>
    </xdr:from>
    <xdr:to>
      <xdr:col>11</xdr:col>
      <xdr:colOff>655320</xdr:colOff>
      <xdr:row>52</xdr:row>
      <xdr:rowOff>80010</xdr:rowOff>
    </xdr:to>
    <xdr:graphicFrame macro="">
      <xdr:nvGraphicFramePr>
        <xdr:cNvPr id="2" name="Gráfico 1">
          <a:extLst>
            <a:ext uri="{FF2B5EF4-FFF2-40B4-BE49-F238E27FC236}">
              <a16:creationId xmlns:a16="http://schemas.microsoft.com/office/drawing/2014/main" id="{F18E5C5C-37FE-96CF-F71A-7F1BAB04A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662940</xdr:colOff>
      <xdr:row>3</xdr:row>
      <xdr:rowOff>60960</xdr:rowOff>
    </xdr:from>
    <xdr:to>
      <xdr:col>11</xdr:col>
      <xdr:colOff>304800</xdr:colOff>
      <xdr:row>20</xdr:row>
      <xdr:rowOff>133350</xdr:rowOff>
    </xdr:to>
    <xdr:graphicFrame macro="">
      <xdr:nvGraphicFramePr>
        <xdr:cNvPr id="2" name="Gráfico 1">
          <a:extLst>
            <a:ext uri="{FF2B5EF4-FFF2-40B4-BE49-F238E27FC236}">
              <a16:creationId xmlns:a16="http://schemas.microsoft.com/office/drawing/2014/main" id="{8DD81416-BBE6-7A72-735C-801F6A6DC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773430</xdr:colOff>
      <xdr:row>37</xdr:row>
      <xdr:rowOff>80010</xdr:rowOff>
    </xdr:from>
    <xdr:to>
      <xdr:col>9</xdr:col>
      <xdr:colOff>590550</xdr:colOff>
      <xdr:row>52</xdr:row>
      <xdr:rowOff>80010</xdr:rowOff>
    </xdr:to>
    <xdr:graphicFrame macro="">
      <xdr:nvGraphicFramePr>
        <xdr:cNvPr id="3" name="Gráfico 2">
          <a:extLst>
            <a:ext uri="{FF2B5EF4-FFF2-40B4-BE49-F238E27FC236}">
              <a16:creationId xmlns:a16="http://schemas.microsoft.com/office/drawing/2014/main" id="{3FD04F11-7BF7-6C05-13BD-CE2E6B7AD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579120</xdr:colOff>
      <xdr:row>32</xdr:row>
      <xdr:rowOff>179070</xdr:rowOff>
    </xdr:from>
    <xdr:to>
      <xdr:col>28</xdr:col>
      <xdr:colOff>396240</xdr:colOff>
      <xdr:row>47</xdr:row>
      <xdr:rowOff>179070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22709348-1DDD-FB86-D9C7-26F9B0730B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756880" y="6031230"/>
              <a:ext cx="4572000" cy="2743200"/>
            </a:xfrm>
            <a:prstGeom prst="rect">
              <a:avLst/>
            </a:prstGeom>
            <a:solidFill>
              <a:prstClr val="white"/>
            </a:solidFill>
            <a:ln w="1">
              <a:solidFill>
                <a:prstClr val="green"/>
              </a:solidFill>
            </a:ln>
          </xdr:spPr>
          <xdr:txBody>
            <a:bodyPr vertOverflow="clip" horzOverflow="clip"/>
            <a:lstStyle/>
            <a:p>
              <a:r>
                <a:rPr lang="es-PA"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598714</xdr:colOff>
      <xdr:row>6</xdr:row>
      <xdr:rowOff>114300</xdr:rowOff>
    </xdr:from>
    <xdr:to>
      <xdr:col>19</xdr:col>
      <xdr:colOff>163286</xdr:colOff>
      <xdr:row>31</xdr:row>
      <xdr:rowOff>152400</xdr:rowOff>
    </xdr:to>
    <xdr:graphicFrame macro="">
      <xdr:nvGraphicFramePr>
        <xdr:cNvPr id="2" name="Gráfico 1">
          <a:extLst>
            <a:ext uri="{FF2B5EF4-FFF2-40B4-BE49-F238E27FC236}">
              <a16:creationId xmlns:a16="http://schemas.microsoft.com/office/drawing/2014/main" id="{FA519044-B83D-4715-96A2-5D29F0A57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489857</xdr:colOff>
      <xdr:row>10</xdr:row>
      <xdr:rowOff>168728</xdr:rowOff>
    </xdr:from>
    <xdr:to>
      <xdr:col>19</xdr:col>
      <xdr:colOff>54429</xdr:colOff>
      <xdr:row>36</xdr:row>
      <xdr:rowOff>21770</xdr:rowOff>
    </xdr:to>
    <xdr:graphicFrame macro="">
      <xdr:nvGraphicFramePr>
        <xdr:cNvPr id="2" name="Gráfico 1">
          <a:extLst>
            <a:ext uri="{FF2B5EF4-FFF2-40B4-BE49-F238E27FC236}">
              <a16:creationId xmlns:a16="http://schemas.microsoft.com/office/drawing/2014/main" id="{DBCE6AF4-200E-4E11-B707-9610E9B4A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370114</xdr:colOff>
      <xdr:row>7</xdr:row>
      <xdr:rowOff>103413</xdr:rowOff>
    </xdr:from>
    <xdr:to>
      <xdr:col>18</xdr:col>
      <xdr:colOff>555171</xdr:colOff>
      <xdr:row>32</xdr:row>
      <xdr:rowOff>141512</xdr:rowOff>
    </xdr:to>
    <xdr:graphicFrame macro="">
      <xdr:nvGraphicFramePr>
        <xdr:cNvPr id="2" name="Gráfico 1">
          <a:extLst>
            <a:ext uri="{FF2B5EF4-FFF2-40B4-BE49-F238E27FC236}">
              <a16:creationId xmlns:a16="http://schemas.microsoft.com/office/drawing/2014/main" id="{88917888-7F8D-4E86-966F-7C0C39274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489857</xdr:colOff>
      <xdr:row>10</xdr:row>
      <xdr:rowOff>168728</xdr:rowOff>
    </xdr:from>
    <xdr:to>
      <xdr:col>19</xdr:col>
      <xdr:colOff>54429</xdr:colOff>
      <xdr:row>36</xdr:row>
      <xdr:rowOff>21770</xdr:rowOff>
    </xdr:to>
    <xdr:graphicFrame macro="">
      <xdr:nvGraphicFramePr>
        <xdr:cNvPr id="2" name="Gráfico 1">
          <a:extLst>
            <a:ext uri="{FF2B5EF4-FFF2-40B4-BE49-F238E27FC236}">
              <a16:creationId xmlns:a16="http://schemas.microsoft.com/office/drawing/2014/main" id="{69CD7442-9119-4010-8EAD-47A0824EA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489857</xdr:colOff>
      <xdr:row>11</xdr:row>
      <xdr:rowOff>168728</xdr:rowOff>
    </xdr:from>
    <xdr:to>
      <xdr:col>19</xdr:col>
      <xdr:colOff>54429</xdr:colOff>
      <xdr:row>37</xdr:row>
      <xdr:rowOff>21770</xdr:rowOff>
    </xdr:to>
    <xdr:graphicFrame macro="">
      <xdr:nvGraphicFramePr>
        <xdr:cNvPr id="2" name="Gráfico 1">
          <a:extLst>
            <a:ext uri="{FF2B5EF4-FFF2-40B4-BE49-F238E27FC236}">
              <a16:creationId xmlns:a16="http://schemas.microsoft.com/office/drawing/2014/main" id="{A1A3CC27-D612-4B86-8535-B73F957DA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43543</xdr:colOff>
      <xdr:row>10</xdr:row>
      <xdr:rowOff>38100</xdr:rowOff>
    </xdr:from>
    <xdr:to>
      <xdr:col>20</xdr:col>
      <xdr:colOff>228601</xdr:colOff>
      <xdr:row>35</xdr:row>
      <xdr:rowOff>76198</xdr:rowOff>
    </xdr:to>
    <xdr:graphicFrame macro="">
      <xdr:nvGraphicFramePr>
        <xdr:cNvPr id="2" name="Gráfico 1">
          <a:extLst>
            <a:ext uri="{FF2B5EF4-FFF2-40B4-BE49-F238E27FC236}">
              <a16:creationId xmlns:a16="http://schemas.microsoft.com/office/drawing/2014/main" id="{DDE5AE56-9406-4EAB-AAEF-08E803BFC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365476</xdr:colOff>
      <xdr:row>20</xdr:row>
      <xdr:rowOff>18098</xdr:rowOff>
    </xdr:from>
    <xdr:to>
      <xdr:col>30</xdr:col>
      <xdr:colOff>141514</xdr:colOff>
      <xdr:row>41</xdr:row>
      <xdr:rowOff>130629</xdr:rowOff>
    </xdr:to>
    <xdr:graphicFrame macro="">
      <xdr:nvGraphicFramePr>
        <xdr:cNvPr id="2" name="Gráfico 1">
          <a:extLst>
            <a:ext uri="{FF2B5EF4-FFF2-40B4-BE49-F238E27FC236}">
              <a16:creationId xmlns:a16="http://schemas.microsoft.com/office/drawing/2014/main" id="{2B154AA6-BEFE-41E5-BCFC-398FCBA4D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2BC9E-5646-4CA6-A510-09A57AF5953F}">
  <dimension ref="A1:G58"/>
  <sheetViews>
    <sheetView showGridLines="0" workbookViewId="0">
      <pane ySplit="1" topLeftCell="A33" activePane="bottomLeft" state="frozen"/>
      <selection pane="bottomLeft" activeCell="E47" sqref="E47"/>
    </sheetView>
  </sheetViews>
  <sheetFormatPr baseColWidth="10" defaultRowHeight="14.4" x14ac:dyDescent="0.3"/>
  <cols>
    <col min="2" max="6" width="11.6640625" style="2" bestFit="1" customWidth="1"/>
    <col min="7" max="7" width="20.21875" style="2" bestFit="1" customWidth="1"/>
  </cols>
  <sheetData>
    <row r="1" spans="1:7" x14ac:dyDescent="0.3">
      <c r="A1" s="53" t="s">
        <v>0</v>
      </c>
      <c r="B1" s="54" t="s">
        <v>1</v>
      </c>
      <c r="C1" s="54" t="s">
        <v>2</v>
      </c>
      <c r="D1" s="54" t="s">
        <v>3</v>
      </c>
      <c r="E1" s="54" t="s">
        <v>4</v>
      </c>
      <c r="F1" s="54" t="s">
        <v>5</v>
      </c>
      <c r="G1" s="54" t="s">
        <v>6</v>
      </c>
    </row>
    <row r="2" spans="1:7" x14ac:dyDescent="0.3">
      <c r="A2" s="1">
        <v>43831</v>
      </c>
      <c r="B2" s="2">
        <v>7194.8920900000003</v>
      </c>
      <c r="C2" s="2">
        <v>9553.1259769999997</v>
      </c>
      <c r="D2" s="2">
        <v>6914.9960940000001</v>
      </c>
      <c r="E2" s="2">
        <v>9350.5292969999991</v>
      </c>
      <c r="F2" s="2">
        <v>9350.5292969999991</v>
      </c>
      <c r="G2" s="2">
        <v>852872174496</v>
      </c>
    </row>
    <row r="3" spans="1:7" x14ac:dyDescent="0.3">
      <c r="A3" s="55">
        <v>43862</v>
      </c>
      <c r="B3" s="56">
        <v>9346.3574219999991</v>
      </c>
      <c r="C3" s="56">
        <v>10457.626953000001</v>
      </c>
      <c r="D3" s="56">
        <v>8492.9326170000004</v>
      </c>
      <c r="E3" s="56">
        <v>8599.5087889999995</v>
      </c>
      <c r="F3" s="56">
        <v>8599.5087889999995</v>
      </c>
      <c r="G3" s="56">
        <v>1163376492768</v>
      </c>
    </row>
    <row r="4" spans="1:7" x14ac:dyDescent="0.3">
      <c r="A4" s="1">
        <v>43891</v>
      </c>
      <c r="B4" s="2">
        <v>8599.7587889999995</v>
      </c>
      <c r="C4" s="2">
        <v>9167.6953130000002</v>
      </c>
      <c r="D4" s="2">
        <v>4106.9809569999998</v>
      </c>
      <c r="E4" s="2">
        <v>6438.6445309999999</v>
      </c>
      <c r="F4" s="2">
        <v>6438.6445309999999</v>
      </c>
      <c r="G4" s="2">
        <v>1290442059648</v>
      </c>
    </row>
    <row r="5" spans="1:7" x14ac:dyDescent="0.3">
      <c r="A5" s="55">
        <v>43922</v>
      </c>
      <c r="B5" s="56">
        <v>6437.3193359999996</v>
      </c>
      <c r="C5" s="56">
        <v>9440.6503909999992</v>
      </c>
      <c r="D5" s="56">
        <v>6202.3735349999997</v>
      </c>
      <c r="E5" s="56">
        <v>8658.5537110000005</v>
      </c>
      <c r="F5" s="56">
        <v>8658.5537110000005</v>
      </c>
      <c r="G5" s="56">
        <v>1156127164831</v>
      </c>
    </row>
    <row r="6" spans="1:7" x14ac:dyDescent="0.3">
      <c r="A6" s="1">
        <v>43952</v>
      </c>
      <c r="B6" s="2">
        <v>8672.7822269999997</v>
      </c>
      <c r="C6" s="2">
        <v>9996.7431639999995</v>
      </c>
      <c r="D6" s="2">
        <v>8374.3232420000004</v>
      </c>
      <c r="E6" s="2">
        <v>9461.0585940000001</v>
      </c>
      <c r="F6" s="2">
        <v>9461.0585940000001</v>
      </c>
      <c r="G6" s="2">
        <v>1286368141507</v>
      </c>
    </row>
    <row r="7" spans="1:7" x14ac:dyDescent="0.3">
      <c r="A7" s="55">
        <v>43983</v>
      </c>
      <c r="B7" s="56">
        <v>9463.6054690000001</v>
      </c>
      <c r="C7" s="56">
        <v>10199.565430000001</v>
      </c>
      <c r="D7" s="56">
        <v>8975.5253909999992</v>
      </c>
      <c r="E7" s="56">
        <v>9137.9931639999995</v>
      </c>
      <c r="F7" s="56">
        <v>9137.9931639999995</v>
      </c>
      <c r="G7" s="56">
        <v>650913318680</v>
      </c>
    </row>
    <row r="8" spans="1:7" x14ac:dyDescent="0.3">
      <c r="A8" s="1">
        <v>44013</v>
      </c>
      <c r="B8" s="2">
        <v>9145.9853519999997</v>
      </c>
      <c r="C8" s="2">
        <v>11415.864258</v>
      </c>
      <c r="D8" s="2">
        <v>8977.015625</v>
      </c>
      <c r="E8" s="2">
        <v>11323.466796999999</v>
      </c>
      <c r="F8" s="2">
        <v>11323.466796999999</v>
      </c>
      <c r="G8" s="2">
        <v>545813339109</v>
      </c>
    </row>
    <row r="9" spans="1:7" x14ac:dyDescent="0.3">
      <c r="A9" s="55">
        <v>44044</v>
      </c>
      <c r="B9" s="56">
        <v>11322.570313</v>
      </c>
      <c r="C9" s="56">
        <v>12359.056640999999</v>
      </c>
      <c r="D9" s="56">
        <v>11012.415039</v>
      </c>
      <c r="E9" s="56">
        <v>11680.820313</v>
      </c>
      <c r="F9" s="56">
        <v>11680.820313</v>
      </c>
      <c r="G9" s="56">
        <v>708377092130</v>
      </c>
    </row>
    <row r="10" spans="1:7" x14ac:dyDescent="0.3">
      <c r="A10" s="1">
        <v>44075</v>
      </c>
      <c r="B10" s="2">
        <v>11679.316406</v>
      </c>
      <c r="C10" s="2">
        <v>12067.081055000001</v>
      </c>
      <c r="D10" s="2">
        <v>9916.4931639999995</v>
      </c>
      <c r="E10" s="2">
        <v>10784.491211</v>
      </c>
      <c r="F10" s="2">
        <v>10784.491211</v>
      </c>
      <c r="G10" s="2">
        <v>1075949438431</v>
      </c>
    </row>
    <row r="11" spans="1:7" x14ac:dyDescent="0.3">
      <c r="A11" s="55">
        <v>44105</v>
      </c>
      <c r="B11" s="56">
        <v>10795.254883</v>
      </c>
      <c r="C11" s="56">
        <v>14028.213867</v>
      </c>
      <c r="D11" s="56">
        <v>10416.689453000001</v>
      </c>
      <c r="E11" s="56">
        <v>13780.995117</v>
      </c>
      <c r="F11" s="56">
        <v>13780.995117</v>
      </c>
      <c r="G11" s="56">
        <v>1050874546086</v>
      </c>
    </row>
    <row r="12" spans="1:7" x14ac:dyDescent="0.3">
      <c r="A12" s="1">
        <v>44136</v>
      </c>
      <c r="B12" s="2">
        <v>13780.995117</v>
      </c>
      <c r="C12" s="2">
        <v>19749.263672000001</v>
      </c>
      <c r="D12" s="2">
        <v>13243.160156</v>
      </c>
      <c r="E12" s="2">
        <v>19625.835938</v>
      </c>
      <c r="F12" s="2">
        <v>19625.835938</v>
      </c>
      <c r="G12" s="2">
        <v>1093144913227</v>
      </c>
    </row>
    <row r="13" spans="1:7" x14ac:dyDescent="0.3">
      <c r="A13" s="55">
        <v>44166</v>
      </c>
      <c r="B13" s="56">
        <v>19633.769531000002</v>
      </c>
      <c r="C13" s="56">
        <v>29244.876952999999</v>
      </c>
      <c r="D13" s="56">
        <v>17619.533202999999</v>
      </c>
      <c r="E13" s="56">
        <v>29001.720702999999</v>
      </c>
      <c r="F13" s="56">
        <v>29001.720702999999</v>
      </c>
      <c r="G13" s="56">
        <v>1212259707946</v>
      </c>
    </row>
    <row r="14" spans="1:7" x14ac:dyDescent="0.3">
      <c r="A14" s="1">
        <v>44197</v>
      </c>
      <c r="B14" s="2">
        <v>28994.009765999999</v>
      </c>
      <c r="C14" s="2">
        <v>41946.738280999998</v>
      </c>
      <c r="D14" s="2">
        <v>28722.755859000001</v>
      </c>
      <c r="E14" s="2">
        <v>33114.359375</v>
      </c>
      <c r="F14" s="2">
        <v>33114.359375</v>
      </c>
      <c r="G14" s="2">
        <v>2153473433571</v>
      </c>
    </row>
    <row r="15" spans="1:7" x14ac:dyDescent="0.3">
      <c r="A15" s="55">
        <v>44228</v>
      </c>
      <c r="B15" s="56">
        <v>33114.578125</v>
      </c>
      <c r="C15" s="56">
        <v>58330.570312999997</v>
      </c>
      <c r="D15" s="56">
        <v>32384.228515999999</v>
      </c>
      <c r="E15" s="56">
        <v>45137.769530999998</v>
      </c>
      <c r="F15" s="56">
        <v>45137.769530999998</v>
      </c>
      <c r="G15" s="56">
        <v>2267152936675</v>
      </c>
    </row>
    <row r="16" spans="1:7" x14ac:dyDescent="0.3">
      <c r="A16" s="1">
        <v>44256</v>
      </c>
      <c r="B16" s="2">
        <v>45159.503905999998</v>
      </c>
      <c r="C16" s="2">
        <v>61683.863280999998</v>
      </c>
      <c r="D16" s="2">
        <v>45115.09375</v>
      </c>
      <c r="E16" s="2">
        <v>58918.832030999998</v>
      </c>
      <c r="F16" s="2">
        <v>58918.832030999998</v>
      </c>
      <c r="G16" s="2">
        <v>1681184264687</v>
      </c>
    </row>
    <row r="17" spans="1:7" x14ac:dyDescent="0.3">
      <c r="A17" s="55">
        <v>44287</v>
      </c>
      <c r="B17" s="56">
        <v>58926.5625</v>
      </c>
      <c r="C17" s="56">
        <v>64863.097655999998</v>
      </c>
      <c r="D17" s="56">
        <v>47159.484375</v>
      </c>
      <c r="E17" s="56">
        <v>57750.175780999998</v>
      </c>
      <c r="F17" s="56">
        <v>57750.175780999998</v>
      </c>
      <c r="G17" s="56">
        <v>1844481772417</v>
      </c>
    </row>
    <row r="18" spans="1:7" x14ac:dyDescent="0.3">
      <c r="A18" s="1">
        <v>44317</v>
      </c>
      <c r="B18" s="2">
        <v>57714.664062999997</v>
      </c>
      <c r="C18" s="2">
        <v>59519.355469000002</v>
      </c>
      <c r="D18" s="2">
        <v>30681.496093999998</v>
      </c>
      <c r="E18" s="2">
        <v>37332.855469000002</v>
      </c>
      <c r="F18" s="2">
        <v>37332.855469000002</v>
      </c>
      <c r="G18" s="2">
        <v>1976593438572</v>
      </c>
    </row>
    <row r="19" spans="1:7" x14ac:dyDescent="0.3">
      <c r="A19" s="55">
        <v>44348</v>
      </c>
      <c r="B19" s="56">
        <v>37293.792969000002</v>
      </c>
      <c r="C19" s="56">
        <v>41295.269530999998</v>
      </c>
      <c r="D19" s="56">
        <v>28893.621093999998</v>
      </c>
      <c r="E19" s="56">
        <v>35040.835937999997</v>
      </c>
      <c r="F19" s="56">
        <v>35040.835937999997</v>
      </c>
      <c r="G19" s="56">
        <v>1189647451707</v>
      </c>
    </row>
    <row r="20" spans="1:7" x14ac:dyDescent="0.3">
      <c r="A20" s="1">
        <v>44378</v>
      </c>
      <c r="B20" s="2">
        <v>35035.984375</v>
      </c>
      <c r="C20" s="2">
        <v>42235.546875</v>
      </c>
      <c r="D20" s="2">
        <v>29360.955077999999</v>
      </c>
      <c r="E20" s="2">
        <v>41626.195312999997</v>
      </c>
      <c r="F20" s="2">
        <v>41626.195312999997</v>
      </c>
      <c r="G20" s="2">
        <v>819103381204</v>
      </c>
    </row>
    <row r="21" spans="1:7" x14ac:dyDescent="0.3">
      <c r="A21" s="55">
        <v>44409</v>
      </c>
      <c r="B21" s="56">
        <v>41460.84375</v>
      </c>
      <c r="C21" s="56">
        <v>50482.078125</v>
      </c>
      <c r="D21" s="56">
        <v>37458.003905999998</v>
      </c>
      <c r="E21" s="56">
        <v>47166.6875</v>
      </c>
      <c r="F21" s="56">
        <v>47166.6875</v>
      </c>
      <c r="G21" s="56">
        <v>1014674184428</v>
      </c>
    </row>
    <row r="22" spans="1:7" x14ac:dyDescent="0.3">
      <c r="A22" s="1">
        <v>44440</v>
      </c>
      <c r="B22" s="2">
        <v>47099.773437999997</v>
      </c>
      <c r="C22" s="2">
        <v>52853.765625</v>
      </c>
      <c r="D22" s="2">
        <v>39787.609375</v>
      </c>
      <c r="E22" s="2">
        <v>43790.894530999998</v>
      </c>
      <c r="F22" s="2">
        <v>43790.894530999998</v>
      </c>
      <c r="G22" s="2">
        <v>1102139678824</v>
      </c>
    </row>
    <row r="23" spans="1:7" x14ac:dyDescent="0.3">
      <c r="A23" s="55">
        <v>44470</v>
      </c>
      <c r="B23" s="56">
        <v>43816.742187999997</v>
      </c>
      <c r="C23" s="56">
        <v>66930.390625</v>
      </c>
      <c r="D23" s="56">
        <v>43320.023437999997</v>
      </c>
      <c r="E23" s="56">
        <v>61318.957030999998</v>
      </c>
      <c r="F23" s="56">
        <v>61318.957030999998</v>
      </c>
      <c r="G23" s="56">
        <v>1153077903534</v>
      </c>
    </row>
    <row r="24" spans="1:7" x14ac:dyDescent="0.3">
      <c r="A24" s="1">
        <v>44501</v>
      </c>
      <c r="B24" s="2">
        <v>61320.449219000002</v>
      </c>
      <c r="C24" s="2">
        <v>68789.625</v>
      </c>
      <c r="D24" s="2">
        <v>53569.765625</v>
      </c>
      <c r="E24" s="2">
        <v>57005.425780999998</v>
      </c>
      <c r="F24" s="2">
        <v>57005.425780999998</v>
      </c>
      <c r="G24" s="2">
        <v>1053270271383</v>
      </c>
    </row>
    <row r="25" spans="1:7" x14ac:dyDescent="0.3">
      <c r="A25" s="55">
        <v>44531</v>
      </c>
      <c r="B25" s="56">
        <v>56907.964844000002</v>
      </c>
      <c r="C25" s="56">
        <v>59041.683594000002</v>
      </c>
      <c r="D25" s="56">
        <v>42874.617187999997</v>
      </c>
      <c r="E25" s="56">
        <v>46306.445312999997</v>
      </c>
      <c r="F25" s="56">
        <v>46306.445312999997</v>
      </c>
      <c r="G25" s="56">
        <v>957047184722</v>
      </c>
    </row>
    <row r="26" spans="1:7" x14ac:dyDescent="0.3">
      <c r="A26" s="1">
        <v>44562</v>
      </c>
      <c r="B26" s="2">
        <v>46311.746094000002</v>
      </c>
      <c r="C26" s="2">
        <v>47881.40625</v>
      </c>
      <c r="D26" s="2">
        <v>33184.058594000002</v>
      </c>
      <c r="E26" s="2">
        <v>38483.125</v>
      </c>
      <c r="F26" s="2">
        <v>38483.125</v>
      </c>
      <c r="G26" s="2">
        <v>923979037681</v>
      </c>
    </row>
    <row r="27" spans="1:7" x14ac:dyDescent="0.3">
      <c r="A27" s="55">
        <v>44593</v>
      </c>
      <c r="B27" s="56">
        <v>38481.765625</v>
      </c>
      <c r="C27" s="56">
        <v>45661.171875</v>
      </c>
      <c r="D27" s="56">
        <v>34459.21875</v>
      </c>
      <c r="E27" s="56">
        <v>43193.234375</v>
      </c>
      <c r="F27" s="56">
        <v>43193.234375</v>
      </c>
      <c r="G27" s="56">
        <v>671335993325</v>
      </c>
    </row>
    <row r="28" spans="1:7" x14ac:dyDescent="0.3">
      <c r="A28" s="1">
        <v>44621</v>
      </c>
      <c r="B28" s="2">
        <v>43194.503905999998</v>
      </c>
      <c r="C28" s="2">
        <v>48086.835937999997</v>
      </c>
      <c r="D28" s="2">
        <v>37260.203125</v>
      </c>
      <c r="E28" s="2">
        <v>45538.675780999998</v>
      </c>
      <c r="F28" s="2">
        <v>45538.675780999998</v>
      </c>
      <c r="G28" s="2">
        <v>830943838435</v>
      </c>
    </row>
    <row r="29" spans="1:7" x14ac:dyDescent="0.3">
      <c r="A29" s="55">
        <v>44652</v>
      </c>
      <c r="B29" s="56">
        <v>45554.164062999997</v>
      </c>
      <c r="C29" s="56">
        <v>47313.476562999997</v>
      </c>
      <c r="D29" s="56">
        <v>37697.941405999998</v>
      </c>
      <c r="E29" s="56">
        <v>37714.875</v>
      </c>
      <c r="F29" s="56">
        <v>37714.875</v>
      </c>
      <c r="G29" s="56">
        <v>830115888649</v>
      </c>
    </row>
    <row r="30" spans="1:7" x14ac:dyDescent="0.3">
      <c r="A30" s="1">
        <v>44682</v>
      </c>
      <c r="B30" s="2">
        <v>37713.265625</v>
      </c>
      <c r="C30" s="2">
        <v>39902.949219000002</v>
      </c>
      <c r="D30" s="2">
        <v>26350.490234000001</v>
      </c>
      <c r="E30" s="2">
        <v>31792.310547000001</v>
      </c>
      <c r="F30" s="2">
        <v>31792.310547000001</v>
      </c>
      <c r="G30" s="2">
        <v>1105689315990</v>
      </c>
    </row>
    <row r="31" spans="1:7" x14ac:dyDescent="0.3">
      <c r="A31" s="55">
        <v>44713</v>
      </c>
      <c r="B31" s="56">
        <v>31792.554688</v>
      </c>
      <c r="C31" s="56">
        <v>31957.285156000002</v>
      </c>
      <c r="D31" s="56">
        <v>17708.623047000001</v>
      </c>
      <c r="E31" s="56">
        <v>19784.726563</v>
      </c>
      <c r="F31" s="56">
        <v>19784.726563</v>
      </c>
      <c r="G31" s="56">
        <v>923939211678</v>
      </c>
    </row>
    <row r="32" spans="1:7" x14ac:dyDescent="0.3">
      <c r="A32" s="1">
        <v>44743</v>
      </c>
      <c r="B32" s="2">
        <v>19820.470702999999</v>
      </c>
      <c r="C32" s="2">
        <v>24572.580077999999</v>
      </c>
      <c r="D32" s="2">
        <v>18966.951172000001</v>
      </c>
      <c r="E32" s="2">
        <v>23336.896484000001</v>
      </c>
      <c r="F32" s="2">
        <v>23336.896484000001</v>
      </c>
      <c r="G32" s="2">
        <v>927582363389</v>
      </c>
    </row>
    <row r="33" spans="1:7" x14ac:dyDescent="0.3">
      <c r="A33" s="55">
        <v>44774</v>
      </c>
      <c r="B33" s="56">
        <v>23336.71875</v>
      </c>
      <c r="C33" s="56">
        <v>25135.589843999998</v>
      </c>
      <c r="D33" s="56">
        <v>19600.785156000002</v>
      </c>
      <c r="E33" s="56">
        <v>20049.763672000001</v>
      </c>
      <c r="F33" s="56">
        <v>20049.763672000001</v>
      </c>
      <c r="G33" s="56">
        <v>894192654543</v>
      </c>
    </row>
    <row r="34" spans="1:7" x14ac:dyDescent="0.3">
      <c r="A34" s="1">
        <v>44805</v>
      </c>
      <c r="B34" s="2">
        <v>20050.498047000001</v>
      </c>
      <c r="C34" s="2">
        <v>22673.820313</v>
      </c>
      <c r="D34" s="2">
        <v>18290.314452999999</v>
      </c>
      <c r="E34" s="2">
        <v>19431.789063</v>
      </c>
      <c r="F34" s="2">
        <v>19431.789063</v>
      </c>
      <c r="G34" s="2">
        <v>1123272250385</v>
      </c>
    </row>
    <row r="35" spans="1:7" x14ac:dyDescent="0.3">
      <c r="A35" s="55">
        <v>44835</v>
      </c>
      <c r="B35" s="56">
        <v>19431.105468999998</v>
      </c>
      <c r="C35" s="56">
        <v>20988.394531000002</v>
      </c>
      <c r="D35" s="56">
        <v>18319.822265999999</v>
      </c>
      <c r="E35" s="56">
        <v>20495.773438</v>
      </c>
      <c r="F35" s="56">
        <v>20495.773438</v>
      </c>
      <c r="G35" s="56">
        <v>957903424925</v>
      </c>
    </row>
    <row r="36" spans="1:7" x14ac:dyDescent="0.3">
      <c r="A36" s="1">
        <v>44866</v>
      </c>
      <c r="B36" s="2">
        <v>20494.898438</v>
      </c>
      <c r="C36" s="2">
        <v>21446.886718999998</v>
      </c>
      <c r="D36" s="2">
        <v>15599.046875</v>
      </c>
      <c r="E36" s="2">
        <v>17168.566406000002</v>
      </c>
      <c r="F36" s="2">
        <v>17168.566406000002</v>
      </c>
      <c r="G36" s="2">
        <v>1224531549126</v>
      </c>
    </row>
    <row r="37" spans="1:7" x14ac:dyDescent="0.3">
      <c r="A37" s="55">
        <v>44896</v>
      </c>
      <c r="B37" s="56">
        <v>17168.001952999999</v>
      </c>
      <c r="C37" s="56">
        <v>18318.53125</v>
      </c>
      <c r="D37" s="56">
        <v>16398.136718999998</v>
      </c>
      <c r="E37" s="56">
        <v>16547.496093999998</v>
      </c>
      <c r="F37" s="56">
        <v>16547.496093999998</v>
      </c>
      <c r="G37" s="56">
        <v>541356716034</v>
      </c>
    </row>
    <row r="38" spans="1:7" x14ac:dyDescent="0.3">
      <c r="A38" s="1">
        <v>44927</v>
      </c>
      <c r="B38" s="2">
        <v>16547.914063</v>
      </c>
      <c r="C38" s="2">
        <v>23919.890625</v>
      </c>
      <c r="D38" s="2">
        <v>16521.234375</v>
      </c>
      <c r="E38" s="2">
        <v>23139.283202999999</v>
      </c>
      <c r="F38" s="2">
        <v>23139.283202999999</v>
      </c>
      <c r="G38" s="2">
        <v>690994018045</v>
      </c>
    </row>
    <row r="39" spans="1:7" x14ac:dyDescent="0.3">
      <c r="A39" s="55">
        <v>44958</v>
      </c>
      <c r="B39" s="56">
        <v>23137.835938</v>
      </c>
      <c r="C39" s="56">
        <v>25134.117188</v>
      </c>
      <c r="D39" s="56">
        <v>21460.087890999999</v>
      </c>
      <c r="E39" s="56">
        <v>23147.353515999999</v>
      </c>
      <c r="F39" s="56">
        <v>23147.353515999999</v>
      </c>
      <c r="G39" s="56">
        <v>723968574897</v>
      </c>
    </row>
    <row r="40" spans="1:7" x14ac:dyDescent="0.3">
      <c r="A40" s="1">
        <v>44986</v>
      </c>
      <c r="B40" s="2">
        <v>23150.929688</v>
      </c>
      <c r="C40" s="2">
        <v>29159.902343999998</v>
      </c>
      <c r="D40" s="2">
        <v>19628.253906000002</v>
      </c>
      <c r="E40" s="2">
        <v>28478.484375</v>
      </c>
      <c r="F40" s="2">
        <v>28478.484375</v>
      </c>
      <c r="G40" s="2">
        <v>883299703608</v>
      </c>
    </row>
    <row r="41" spans="1:7" x14ac:dyDescent="0.3">
      <c r="A41" s="55">
        <v>45017</v>
      </c>
      <c r="B41" s="56">
        <v>28473.332031000002</v>
      </c>
      <c r="C41" s="56">
        <v>31005.607422000001</v>
      </c>
      <c r="D41" s="56">
        <v>27070.849609000001</v>
      </c>
      <c r="E41" s="56">
        <v>29268.806640999999</v>
      </c>
      <c r="F41" s="56">
        <v>29268.806640999999</v>
      </c>
      <c r="G41" s="56">
        <v>511540319004</v>
      </c>
    </row>
    <row r="42" spans="1:7" x14ac:dyDescent="0.3">
      <c r="A42" s="1">
        <v>45047</v>
      </c>
      <c r="B42" s="2">
        <v>29227.103515999999</v>
      </c>
      <c r="C42" s="2">
        <v>29820.126952999999</v>
      </c>
      <c r="D42" s="2">
        <v>25878.429688</v>
      </c>
      <c r="E42" s="2">
        <v>27219.658202999999</v>
      </c>
      <c r="F42" s="2">
        <v>27219.658202999999</v>
      </c>
      <c r="G42" s="2">
        <v>443473015479</v>
      </c>
    </row>
    <row r="43" spans="1:7" x14ac:dyDescent="0.3">
      <c r="A43" s="55">
        <v>45078</v>
      </c>
      <c r="B43" s="56">
        <v>27218.412109000001</v>
      </c>
      <c r="C43" s="56">
        <v>31389.539063</v>
      </c>
      <c r="D43" s="56">
        <v>24797.167968999998</v>
      </c>
      <c r="E43" s="56">
        <v>30477.251952999999</v>
      </c>
      <c r="F43" s="56">
        <v>30477.251952999999</v>
      </c>
      <c r="G43" s="56">
        <v>481734214225</v>
      </c>
    </row>
    <row r="44" spans="1:7" x14ac:dyDescent="0.3">
      <c r="A44" s="1">
        <v>45108</v>
      </c>
      <c r="B44" s="2">
        <v>30471.847656000002</v>
      </c>
      <c r="C44" s="2">
        <v>31814.515625</v>
      </c>
      <c r="D44" s="2">
        <v>28934.294922000001</v>
      </c>
      <c r="E44" s="2">
        <v>29230.111327999999</v>
      </c>
      <c r="F44" s="2">
        <v>29230.111327999999</v>
      </c>
      <c r="G44" s="2">
        <v>382224489090</v>
      </c>
    </row>
    <row r="45" spans="1:7" x14ac:dyDescent="0.3">
      <c r="A45" s="55">
        <v>45139</v>
      </c>
      <c r="B45" s="56">
        <v>29230.873047000001</v>
      </c>
      <c r="C45" s="56">
        <v>30176.796875</v>
      </c>
      <c r="D45" s="56">
        <v>25409.111327999999</v>
      </c>
      <c r="E45" s="56">
        <v>25931.472656000002</v>
      </c>
      <c r="F45" s="56">
        <v>25931.472656000002</v>
      </c>
      <c r="G45" s="56">
        <v>437724169499</v>
      </c>
    </row>
    <row r="46" spans="1:7" x14ac:dyDescent="0.3">
      <c r="A46" s="1">
        <v>45170</v>
      </c>
      <c r="B46" s="2">
        <v>25934.021484000001</v>
      </c>
      <c r="C46" s="2">
        <v>27488.763672000001</v>
      </c>
      <c r="D46" s="2">
        <v>24930.296875</v>
      </c>
      <c r="E46" s="2">
        <v>26967.916015999999</v>
      </c>
      <c r="F46" s="2">
        <v>26967.916015999999</v>
      </c>
      <c r="G46" s="2">
        <v>337637313742</v>
      </c>
    </row>
    <row r="47" spans="1:7" x14ac:dyDescent="0.3">
      <c r="A47" s="55">
        <v>45200</v>
      </c>
      <c r="B47" s="56">
        <v>26967.396484000001</v>
      </c>
      <c r="C47" s="56">
        <v>35150.433594000002</v>
      </c>
      <c r="D47" s="56">
        <v>26558.320313</v>
      </c>
      <c r="E47" s="56">
        <v>34667.78125</v>
      </c>
      <c r="F47" s="56">
        <v>34667.78125</v>
      </c>
      <c r="G47" s="56">
        <v>476425634860</v>
      </c>
    </row>
    <row r="48" spans="1:7" x14ac:dyDescent="0.3">
      <c r="A48" s="1">
        <v>45231</v>
      </c>
      <c r="B48" s="2">
        <v>34657.273437999997</v>
      </c>
      <c r="C48" s="2">
        <v>38415.339844000002</v>
      </c>
      <c r="D48" s="2">
        <v>34133.441405999998</v>
      </c>
      <c r="E48" s="2">
        <v>37712.746094000002</v>
      </c>
      <c r="F48" s="2">
        <v>37712.746094000002</v>
      </c>
      <c r="G48" s="2">
        <v>570863267380</v>
      </c>
    </row>
    <row r="49" spans="1:7" x14ac:dyDescent="0.3">
      <c r="A49" s="55">
        <v>45261</v>
      </c>
      <c r="B49" s="56">
        <v>37718.007812999997</v>
      </c>
      <c r="C49" s="56">
        <v>44705.515625</v>
      </c>
      <c r="D49" s="56">
        <v>37629.359375</v>
      </c>
      <c r="E49" s="56">
        <v>42265.1875</v>
      </c>
      <c r="F49" s="56">
        <v>42265.1875</v>
      </c>
      <c r="G49" s="56">
        <v>721704910480</v>
      </c>
    </row>
    <row r="50" spans="1:7" x14ac:dyDescent="0.3">
      <c r="A50" s="1">
        <v>45292</v>
      </c>
      <c r="B50" s="2">
        <v>42280.234375</v>
      </c>
      <c r="C50" s="2">
        <v>48969.371094000002</v>
      </c>
      <c r="D50" s="2">
        <v>38521.894530999998</v>
      </c>
      <c r="E50" s="2">
        <v>42582.605469000002</v>
      </c>
      <c r="F50" s="2">
        <v>42582.605469000002</v>
      </c>
      <c r="G50" s="2">
        <v>825918941347</v>
      </c>
    </row>
    <row r="51" spans="1:7" x14ac:dyDescent="0.3">
      <c r="A51" s="55">
        <v>45323</v>
      </c>
      <c r="B51" s="56">
        <v>42569.761719000002</v>
      </c>
      <c r="C51" s="56">
        <v>63913.132812999997</v>
      </c>
      <c r="D51" s="56">
        <v>41879.191405999998</v>
      </c>
      <c r="E51" s="56">
        <v>61198.382812999997</v>
      </c>
      <c r="F51" s="56">
        <v>61198.382812999997</v>
      </c>
      <c r="G51" s="56">
        <v>830721862621</v>
      </c>
    </row>
    <row r="52" spans="1:7" x14ac:dyDescent="0.3">
      <c r="A52" s="1">
        <v>45352</v>
      </c>
      <c r="B52" s="2">
        <v>61168.0625</v>
      </c>
      <c r="C52" s="2">
        <v>73750.070313000004</v>
      </c>
      <c r="D52" s="2">
        <v>59323.910155999998</v>
      </c>
      <c r="E52" s="2">
        <v>71333.648438000004</v>
      </c>
      <c r="F52" s="2">
        <v>71333.648438000004</v>
      </c>
      <c r="G52" s="2">
        <v>1446417844950</v>
      </c>
    </row>
    <row r="53" spans="1:7" x14ac:dyDescent="0.3">
      <c r="A53" s="55">
        <v>45383</v>
      </c>
      <c r="B53" s="56">
        <v>71333.484375</v>
      </c>
      <c r="C53" s="56">
        <v>72715.359375</v>
      </c>
      <c r="D53" s="56">
        <v>59120.066405999998</v>
      </c>
      <c r="E53" s="56">
        <v>60636.855469000002</v>
      </c>
      <c r="F53" s="56">
        <v>60636.855469000002</v>
      </c>
      <c r="G53" s="56">
        <v>1016068331704</v>
      </c>
    </row>
    <row r="54" spans="1:7" x14ac:dyDescent="0.3">
      <c r="A54" s="1">
        <v>45413</v>
      </c>
      <c r="B54" s="2">
        <v>60609.496094000002</v>
      </c>
      <c r="C54" s="2">
        <v>71946.460938000004</v>
      </c>
      <c r="D54" s="2">
        <v>56555.292969000002</v>
      </c>
      <c r="E54" s="2">
        <v>67491.414063000004</v>
      </c>
      <c r="F54" s="2">
        <v>67491.414063000004</v>
      </c>
      <c r="G54" s="2">
        <v>874291509757</v>
      </c>
    </row>
    <row r="55" spans="1:7" x14ac:dyDescent="0.3">
      <c r="A55" s="55">
        <v>45444</v>
      </c>
      <c r="B55" s="56">
        <v>67489.609375</v>
      </c>
      <c r="C55" s="56">
        <v>71907.851563000004</v>
      </c>
      <c r="D55" s="56">
        <v>58601.699219000002</v>
      </c>
      <c r="E55" s="56">
        <v>62678.292969000002</v>
      </c>
      <c r="F55" s="56">
        <v>62678.292969000002</v>
      </c>
      <c r="G55" s="56">
        <v>726773965644</v>
      </c>
    </row>
    <row r="56" spans="1:7" x14ac:dyDescent="0.3">
      <c r="A56" s="1">
        <v>45474</v>
      </c>
      <c r="B56" s="2">
        <v>62673.605469000002</v>
      </c>
      <c r="C56" s="2">
        <v>69987.539063000004</v>
      </c>
      <c r="D56" s="2">
        <v>53717.375</v>
      </c>
      <c r="E56" s="2">
        <v>64619.25</v>
      </c>
      <c r="F56" s="2">
        <v>64619.25</v>
      </c>
      <c r="G56" s="2">
        <v>953395573307</v>
      </c>
    </row>
    <row r="57" spans="1:7" x14ac:dyDescent="0.3">
      <c r="A57" s="55">
        <v>45505</v>
      </c>
      <c r="B57" s="56">
        <v>64625.839844000002</v>
      </c>
      <c r="C57" s="56">
        <v>65593.242188000004</v>
      </c>
      <c r="D57" s="56">
        <v>49121.238280999998</v>
      </c>
      <c r="E57" s="56">
        <v>58969.898437999997</v>
      </c>
      <c r="F57" s="56">
        <v>58969.898437999997</v>
      </c>
      <c r="G57" s="56">
        <v>1043105485208</v>
      </c>
    </row>
    <row r="58" spans="1:7" x14ac:dyDescent="0.3">
      <c r="A58" s="1">
        <v>45536</v>
      </c>
      <c r="B58" s="2">
        <v>58969.800780999998</v>
      </c>
      <c r="C58" s="2">
        <v>59403.070312999997</v>
      </c>
      <c r="D58" s="2">
        <v>57136.027344000002</v>
      </c>
      <c r="E58" s="2">
        <v>59112.480469000002</v>
      </c>
      <c r="F58" s="2">
        <v>59112.480469000002</v>
      </c>
      <c r="G58" s="2">
        <v>51628904521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5460-DDC4-48DF-B7C7-A6ED20D7853A}">
  <sheetPr>
    <tabColor theme="9" tint="-0.499984740745262"/>
  </sheetPr>
  <dimension ref="A1:O66"/>
  <sheetViews>
    <sheetView zoomScale="70" zoomScaleNormal="70" workbookViewId="0">
      <pane ySplit="1" topLeftCell="A2" activePane="bottomLeft" state="frozen"/>
      <selection pane="bottomLeft" activeCell="A3" sqref="A3"/>
    </sheetView>
  </sheetViews>
  <sheetFormatPr baseColWidth="10" defaultColWidth="9.109375" defaultRowHeight="14.4" x14ac:dyDescent="0.3"/>
  <cols>
    <col min="1" max="1" width="9.109375" style="4"/>
    <col min="2" max="2" width="16" style="4" bestFit="1" customWidth="1"/>
    <col min="3" max="3" width="15.88671875" style="4" customWidth="1"/>
    <col min="4" max="5" width="16.5546875" style="4" bestFit="1" customWidth="1"/>
    <col min="6" max="6" width="14.88671875" style="4" bestFit="1" customWidth="1"/>
    <col min="7" max="7" width="25.44140625" style="4" customWidth="1"/>
    <col min="8" max="8" width="16.109375" style="4" bestFit="1" customWidth="1"/>
    <col min="9" max="9" width="9.44140625" style="4" bestFit="1" customWidth="1"/>
    <col min="10" max="10" width="9.21875" style="4" bestFit="1" customWidth="1"/>
    <col min="11" max="11" width="11.44140625" style="4" customWidth="1"/>
    <col min="12" max="13" width="9.109375" style="4"/>
    <col min="14" max="14" width="14.88671875" style="4" bestFit="1" customWidth="1"/>
    <col min="15" max="15" width="16.21875" style="4" customWidth="1"/>
    <col min="16" max="16" width="14.88671875" style="4" bestFit="1" customWidth="1"/>
    <col min="17" max="17" width="17.5546875" style="4" bestFit="1" customWidth="1"/>
    <col min="18" max="18" width="29.44140625" style="4" bestFit="1" customWidth="1"/>
    <col min="19" max="21" width="9.109375" style="4"/>
    <col min="22" max="22" width="14.88671875" style="4" bestFit="1" customWidth="1"/>
    <col min="23" max="16384" width="9.109375" style="4"/>
  </cols>
  <sheetData>
    <row r="1" spans="1:15" x14ac:dyDescent="0.3">
      <c r="A1" s="3" t="s">
        <v>7</v>
      </c>
      <c r="B1" s="3" t="s">
        <v>8</v>
      </c>
      <c r="C1" s="3" t="s">
        <v>9</v>
      </c>
      <c r="D1" s="3" t="s">
        <v>10</v>
      </c>
      <c r="E1" s="3" t="s">
        <v>11</v>
      </c>
      <c r="F1" s="3" t="s">
        <v>12</v>
      </c>
      <c r="G1" s="3" t="s">
        <v>13</v>
      </c>
      <c r="H1" s="3" t="s">
        <v>14</v>
      </c>
      <c r="I1" s="3" t="s">
        <v>15</v>
      </c>
      <c r="J1" s="3" t="s">
        <v>16</v>
      </c>
      <c r="K1" s="3" t="s">
        <v>17</v>
      </c>
    </row>
    <row r="2" spans="1:15" x14ac:dyDescent="0.3">
      <c r="A2" s="21">
        <v>0</v>
      </c>
      <c r="B2" s="25"/>
      <c r="C2" s="27">
        <f>+AVERAGE(B3:B59)</f>
        <v>33346.000197157882</v>
      </c>
      <c r="D2" s="25"/>
      <c r="E2" s="25"/>
      <c r="F2" s="25"/>
      <c r="G2" s="25"/>
      <c r="H2" s="25"/>
      <c r="I2" s="25"/>
      <c r="J2" s="25"/>
      <c r="K2" s="25"/>
    </row>
    <row r="3" spans="1:15" x14ac:dyDescent="0.3">
      <c r="A3" s="5">
        <v>1</v>
      </c>
      <c r="B3" s="6">
        <f>+data!B2</f>
        <v>7194.8920900000003</v>
      </c>
      <c r="C3" s="22">
        <f>+($C$63*B3)+((1-$C$63)*C2)</f>
        <v>7194.8920900000003</v>
      </c>
      <c r="D3" s="22">
        <f>+C2</f>
        <v>33346.000197157882</v>
      </c>
      <c r="E3" s="23">
        <f t="shared" ref="E3:E59" si="0">+D3-B3</f>
        <v>26151.108107157881</v>
      </c>
      <c r="F3" s="22">
        <f>+ABS(E3)</f>
        <v>26151.108107157881</v>
      </c>
      <c r="G3" s="22">
        <f>+SUMSQ($E3:E$3)/(A3)</f>
        <v>683880455.23225868</v>
      </c>
      <c r="H3" s="22">
        <f>+SUM($F3:F$3)/(A3)</f>
        <v>26151.108107157881</v>
      </c>
      <c r="I3" s="10">
        <f>+(F3/B3)*100</f>
        <v>363.46769041198894</v>
      </c>
      <c r="J3" s="10">
        <f>+AVERAGE($I3:I$3)</f>
        <v>363.46769041198894</v>
      </c>
      <c r="K3" s="11">
        <f>+SUM($E3:E$3)/H3</f>
        <v>1</v>
      </c>
    </row>
    <row r="4" spans="1:15" x14ac:dyDescent="0.3">
      <c r="A4" s="8">
        <f>+A3+1</f>
        <v>2</v>
      </c>
      <c r="B4" s="9">
        <f>+data!B3</f>
        <v>9346.3574219999991</v>
      </c>
      <c r="C4" s="9">
        <f t="shared" ref="C4:C58" si="1">+($C$63*B4)+((1-$C$63)*C3)</f>
        <v>9346.3574219999991</v>
      </c>
      <c r="D4" s="9">
        <f t="shared" ref="D4:D60" si="2">+C3</f>
        <v>7194.8920900000003</v>
      </c>
      <c r="E4" s="11">
        <f t="shared" si="0"/>
        <v>-2151.4653319999989</v>
      </c>
      <c r="F4" s="9">
        <f t="shared" ref="F4:F59" si="3">+ABS(E4)</f>
        <v>2151.4653319999989</v>
      </c>
      <c r="G4" s="9">
        <f>+SUMSQ($E$3:E4)/(A4)</f>
        <v>344254629.15352827</v>
      </c>
      <c r="H4" s="9">
        <f>+SUM($F$3:F4)/(A4)</f>
        <v>14151.28671957894</v>
      </c>
      <c r="I4" s="10">
        <f t="shared" ref="I4:I59" si="4">+(F4/B4)*100</f>
        <v>23.019292274611228</v>
      </c>
      <c r="J4" s="10">
        <f>+AVERAGE($I$3:I4)</f>
        <v>193.24349134330009</v>
      </c>
      <c r="K4" s="11">
        <f>+SUM($E$3:E4)/H4</f>
        <v>1.695933610189192</v>
      </c>
    </row>
    <row r="5" spans="1:15" x14ac:dyDescent="0.3">
      <c r="A5" s="5">
        <f t="shared" ref="A5:A59" si="5">+A4+1</f>
        <v>3</v>
      </c>
      <c r="B5" s="6">
        <f>+data!B4</f>
        <v>8599.7587889999995</v>
      </c>
      <c r="C5" s="22">
        <f t="shared" si="1"/>
        <v>8599.7587889999995</v>
      </c>
      <c r="D5" s="22">
        <f t="shared" si="2"/>
        <v>9346.3574219999991</v>
      </c>
      <c r="E5" s="23">
        <f t="shared" si="0"/>
        <v>746.59863299999961</v>
      </c>
      <c r="F5" s="22">
        <f t="shared" si="3"/>
        <v>746.59863299999961</v>
      </c>
      <c r="G5" s="22">
        <f>+SUMSQ($E$3:E5)/(A5)</f>
        <v>229688889.27528468</v>
      </c>
      <c r="H5" s="22">
        <f>+SUM($F$3:F5)/(A5)</f>
        <v>9683.0573573859601</v>
      </c>
      <c r="I5" s="10">
        <f t="shared" si="4"/>
        <v>8.6816229538318925</v>
      </c>
      <c r="J5" s="10">
        <f>+AVERAGE($I$3:I5)</f>
        <v>131.7228685468107</v>
      </c>
      <c r="K5" s="11">
        <f>+SUM($E$3:E5)/H5</f>
        <v>2.5556227227428487</v>
      </c>
      <c r="N5" s="4" t="s">
        <v>28</v>
      </c>
      <c r="O5" s="4">
        <v>3.1177000000000001</v>
      </c>
    </row>
    <row r="6" spans="1:15" x14ac:dyDescent="0.3">
      <c r="A6" s="8">
        <f t="shared" si="5"/>
        <v>4</v>
      </c>
      <c r="B6" s="9">
        <f>+data!B5</f>
        <v>6437.3193359999996</v>
      </c>
      <c r="C6" s="9">
        <f t="shared" si="1"/>
        <v>6437.3193359999996</v>
      </c>
      <c r="D6" s="9">
        <f t="shared" si="2"/>
        <v>8599.7587889999995</v>
      </c>
      <c r="E6" s="11">
        <f t="shared" si="0"/>
        <v>2162.439453</v>
      </c>
      <c r="F6" s="9">
        <f t="shared" si="3"/>
        <v>2162.439453</v>
      </c>
      <c r="G6" s="9">
        <f>+SUMSQ($E$3:E6)/(A6)</f>
        <v>173435703.05343625</v>
      </c>
      <c r="H6" s="9">
        <f>+SUM($F$3:F6)/(A6)</f>
        <v>7802.9028812894703</v>
      </c>
      <c r="I6" s="10">
        <f t="shared" si="4"/>
        <v>33.592235216711956</v>
      </c>
      <c r="J6" s="10">
        <f>+AVERAGE($I$3:I6)</f>
        <v>107.19021021428601</v>
      </c>
      <c r="K6" s="11">
        <f>+SUM($E$3:E6)/H6</f>
        <v>3.4485474534973428</v>
      </c>
      <c r="N6" s="4" t="s">
        <v>29</v>
      </c>
      <c r="O6" s="4">
        <v>-272.05</v>
      </c>
    </row>
    <row r="7" spans="1:15" x14ac:dyDescent="0.3">
      <c r="A7" s="5">
        <f t="shared" si="5"/>
        <v>5</v>
      </c>
      <c r="B7" s="6">
        <f>+data!B6</f>
        <v>8672.7822269999997</v>
      </c>
      <c r="C7" s="22">
        <f t="shared" si="1"/>
        <v>8672.7822269999997</v>
      </c>
      <c r="D7" s="22">
        <f t="shared" si="2"/>
        <v>6437.3193359999996</v>
      </c>
      <c r="E7" s="23">
        <f t="shared" si="0"/>
        <v>-2235.4628910000001</v>
      </c>
      <c r="F7" s="22">
        <f t="shared" si="3"/>
        <v>2235.4628910000001</v>
      </c>
      <c r="G7" s="22">
        <f>+SUMSQ($E$3:E7)/(A7)</f>
        <v>139748021.31015661</v>
      </c>
      <c r="H7" s="22">
        <f>+SUM($F$3:F7)/(A7)</f>
        <v>6689.4148832315768</v>
      </c>
      <c r="I7" s="10">
        <f t="shared" si="4"/>
        <v>25.77561424338068</v>
      </c>
      <c r="J7" s="10">
        <f>+AVERAGE($I$3:I7)</f>
        <v>90.90729102010495</v>
      </c>
      <c r="K7" s="11">
        <f>+SUM($E$3:E7)/H7</f>
        <v>3.688397027370284</v>
      </c>
      <c r="N7" s="4" t="s">
        <v>30</v>
      </c>
      <c r="O7" s="4">
        <v>7007.1</v>
      </c>
    </row>
    <row r="8" spans="1:15" x14ac:dyDescent="0.3">
      <c r="A8" s="8">
        <f t="shared" si="5"/>
        <v>6</v>
      </c>
      <c r="B8" s="9">
        <f>+data!B7</f>
        <v>9463.6054690000001</v>
      </c>
      <c r="C8" s="9">
        <f t="shared" si="1"/>
        <v>9463.6054690000001</v>
      </c>
      <c r="D8" s="9">
        <f t="shared" si="2"/>
        <v>8672.7822269999997</v>
      </c>
      <c r="E8" s="11">
        <f t="shared" si="0"/>
        <v>-790.82324200000039</v>
      </c>
      <c r="F8" s="9">
        <f t="shared" si="3"/>
        <v>790.82324200000039</v>
      </c>
      <c r="G8" s="9">
        <f>+SUMSQ($E$3:E8)/(A8)</f>
        <v>116560917.99181174</v>
      </c>
      <c r="H8" s="9">
        <f>+SUM($F$3:F8)/(A8)</f>
        <v>5706.3162763596474</v>
      </c>
      <c r="I8" s="10">
        <f t="shared" si="4"/>
        <v>8.3564688383355143</v>
      </c>
      <c r="J8" s="10">
        <f>+AVERAGE($I$3:I8)</f>
        <v>77.148820656476701</v>
      </c>
      <c r="K8" s="11">
        <f>+SUM($E$3:E8)/H8</f>
        <v>4.1852560516315593</v>
      </c>
      <c r="N8" s="4" t="s">
        <v>31</v>
      </c>
      <c r="O8" s="4">
        <v>-16880</v>
      </c>
    </row>
    <row r="9" spans="1:15" x14ac:dyDescent="0.3">
      <c r="A9" s="5">
        <f t="shared" si="5"/>
        <v>7</v>
      </c>
      <c r="B9" s="6">
        <f>+data!B8</f>
        <v>9145.9853519999997</v>
      </c>
      <c r="C9" s="22">
        <f t="shared" si="1"/>
        <v>9145.9853519999997</v>
      </c>
      <c r="D9" s="22">
        <f t="shared" si="2"/>
        <v>9463.6054690000001</v>
      </c>
      <c r="E9" s="23">
        <f t="shared" si="0"/>
        <v>317.62011700000039</v>
      </c>
      <c r="F9" s="22">
        <f t="shared" si="3"/>
        <v>317.62011700000039</v>
      </c>
      <c r="G9" s="22">
        <f>+SUMSQ($E$3:E9)/(A9)</f>
        <v>99923770.069941923</v>
      </c>
      <c r="H9" s="22">
        <f>+SUM($F$3:F9)/(A9)</f>
        <v>4936.5025393082688</v>
      </c>
      <c r="I9" s="10">
        <f t="shared" si="4"/>
        <v>3.4727818247658222</v>
      </c>
      <c r="J9" s="10">
        <f>+AVERAGE($I$3:I9)</f>
        <v>66.623672251946587</v>
      </c>
      <c r="K9" s="11">
        <f>+SUM($E$3:E9)/H9</f>
        <v>4.9022591708316883</v>
      </c>
    </row>
    <row r="10" spans="1:15" x14ac:dyDescent="0.3">
      <c r="A10" s="8">
        <f t="shared" si="5"/>
        <v>8</v>
      </c>
      <c r="B10" s="9">
        <f>+data!B9</f>
        <v>11322.570313</v>
      </c>
      <c r="C10" s="9">
        <f t="shared" si="1"/>
        <v>11322.570313</v>
      </c>
      <c r="D10" s="9">
        <f t="shared" si="2"/>
        <v>9145.9853519999997</v>
      </c>
      <c r="E10" s="11">
        <f t="shared" si="0"/>
        <v>-2176.5849610000005</v>
      </c>
      <c r="F10" s="9">
        <f t="shared" si="3"/>
        <v>2176.5849610000005</v>
      </c>
      <c r="G10" s="9">
        <f>+SUMSQ($E$3:E10)/(A10)</f>
        <v>88025489.072755605</v>
      </c>
      <c r="H10" s="9">
        <f>+SUM($F$3:F10)/(A10)</f>
        <v>4591.5128420197352</v>
      </c>
      <c r="I10" s="10">
        <f t="shared" si="4"/>
        <v>19.22341748234459</v>
      </c>
      <c r="J10" s="10">
        <f>+AVERAGE($I$3:I10)</f>
        <v>60.698640405746332</v>
      </c>
      <c r="K10" s="11">
        <f>+SUM($E$3:E10)/H10</f>
        <v>4.7965519518116198</v>
      </c>
    </row>
    <row r="11" spans="1:15" x14ac:dyDescent="0.3">
      <c r="A11" s="5">
        <f t="shared" si="5"/>
        <v>9</v>
      </c>
      <c r="B11" s="6">
        <f>+data!B10</f>
        <v>11679.316406</v>
      </c>
      <c r="C11" s="22">
        <f t="shared" si="1"/>
        <v>11679.316406</v>
      </c>
      <c r="D11" s="22">
        <f t="shared" si="2"/>
        <v>11322.570313</v>
      </c>
      <c r="E11" s="23">
        <f t="shared" si="0"/>
        <v>-356.74609299999975</v>
      </c>
      <c r="F11" s="22">
        <f t="shared" si="3"/>
        <v>356.74609299999975</v>
      </c>
      <c r="G11" s="22">
        <f>+SUMSQ($E$3:E11)/(A11)</f>
        <v>78259020.039657295</v>
      </c>
      <c r="H11" s="22">
        <f>+SUM($F$3:F11)/(A11)</f>
        <v>4120.9832032397644</v>
      </c>
      <c r="I11" s="10">
        <f t="shared" si="4"/>
        <v>3.0545117590677568</v>
      </c>
      <c r="J11" s="10">
        <f>+AVERAGE($I$3:I11)</f>
        <v>54.293737222782042</v>
      </c>
      <c r="K11" s="11">
        <f>+SUM($E$3:E11)/H11</f>
        <v>5.2576491391967659</v>
      </c>
    </row>
    <row r="12" spans="1:15" x14ac:dyDescent="0.3">
      <c r="A12" s="8">
        <f t="shared" si="5"/>
        <v>10</v>
      </c>
      <c r="B12" s="9">
        <f>+data!B11</f>
        <v>10795.254883</v>
      </c>
      <c r="C12" s="9">
        <f t="shared" si="1"/>
        <v>10795.254883</v>
      </c>
      <c r="D12" s="9">
        <f t="shared" si="2"/>
        <v>11679.316406</v>
      </c>
      <c r="E12" s="11">
        <f t="shared" si="0"/>
        <v>884.06152300000031</v>
      </c>
      <c r="F12" s="9">
        <f t="shared" si="3"/>
        <v>884.06152300000031</v>
      </c>
      <c r="G12" s="9">
        <f>+SUMSQ($E$3:E12)/(A12)</f>
        <v>70511274.513336465</v>
      </c>
      <c r="H12" s="9">
        <f>+SUM($F$3:F12)/(A12)</f>
        <v>3797.2910352157878</v>
      </c>
      <c r="I12" s="10">
        <f t="shared" si="4"/>
        <v>8.1893529386896677</v>
      </c>
      <c r="J12" s="10">
        <f>+AVERAGE($I$3:I12)</f>
        <v>49.68329879437281</v>
      </c>
      <c r="K12" s="11">
        <f>+SUM($E$3:E12)/H12</f>
        <v>5.9386402319506146</v>
      </c>
    </row>
    <row r="13" spans="1:15" x14ac:dyDescent="0.3">
      <c r="A13" s="5">
        <f t="shared" si="5"/>
        <v>11</v>
      </c>
      <c r="B13" s="6">
        <f>+data!B12</f>
        <v>13780.995117</v>
      </c>
      <c r="C13" s="22">
        <f t="shared" si="1"/>
        <v>13780.995117</v>
      </c>
      <c r="D13" s="22">
        <f t="shared" si="2"/>
        <v>10795.254883</v>
      </c>
      <c r="E13" s="23">
        <f t="shared" si="0"/>
        <v>-2985.7402340000008</v>
      </c>
      <c r="F13" s="22">
        <f t="shared" si="3"/>
        <v>2985.7402340000008</v>
      </c>
      <c r="G13" s="22">
        <f>+SUMSQ($E$3:E13)/(A13)</f>
        <v>64911580.898026459</v>
      </c>
      <c r="H13" s="22">
        <f>+SUM($F$3:F13)/(A13)</f>
        <v>3723.5136896507161</v>
      </c>
      <c r="I13" s="10">
        <f t="shared" si="4"/>
        <v>21.665635962071001</v>
      </c>
      <c r="J13" s="10">
        <f>+AVERAGE($I$3:I13)</f>
        <v>47.136238536890822</v>
      </c>
      <c r="K13" s="11">
        <f>+SUM($E$3:E13)/H13</f>
        <v>5.2544469312782818</v>
      </c>
    </row>
    <row r="14" spans="1:15" x14ac:dyDescent="0.3">
      <c r="A14" s="8">
        <f t="shared" si="5"/>
        <v>12</v>
      </c>
      <c r="B14" s="9">
        <f>+data!B13</f>
        <v>19633.769531000002</v>
      </c>
      <c r="C14" s="9">
        <f t="shared" si="1"/>
        <v>19633.769531000002</v>
      </c>
      <c r="D14" s="9">
        <f t="shared" si="2"/>
        <v>13780.995117</v>
      </c>
      <c r="E14" s="11">
        <f t="shared" si="0"/>
        <v>-5852.7744140000013</v>
      </c>
      <c r="F14" s="9">
        <f t="shared" si="3"/>
        <v>5852.7744140000013</v>
      </c>
      <c r="G14" s="9">
        <f>+SUMSQ($E$3:E14)/(A14)</f>
        <v>62356863.184955336</v>
      </c>
      <c r="H14" s="9">
        <f>+SUM($F$3:F14)/(A14)</f>
        <v>3900.9520833464899</v>
      </c>
      <c r="I14" s="10">
        <f t="shared" si="4"/>
        <v>29.809733707829171</v>
      </c>
      <c r="J14" s="10">
        <f>+AVERAGE($I$3:I14)</f>
        <v>45.692363134469019</v>
      </c>
      <c r="K14" s="11">
        <f>+SUM($E$3:E14)/H14</f>
        <v>3.5150984613978222</v>
      </c>
    </row>
    <row r="15" spans="1:15" x14ac:dyDescent="0.3">
      <c r="A15" s="5">
        <f t="shared" si="5"/>
        <v>13</v>
      </c>
      <c r="B15" s="6">
        <f>+data!B14</f>
        <v>28994.009765999999</v>
      </c>
      <c r="C15" s="22">
        <f t="shared" si="1"/>
        <v>28994.009765999999</v>
      </c>
      <c r="D15" s="22">
        <f t="shared" si="2"/>
        <v>19633.769531000002</v>
      </c>
      <c r="E15" s="23">
        <f t="shared" si="0"/>
        <v>-9360.2402349999975</v>
      </c>
      <c r="F15" s="22">
        <f t="shared" si="3"/>
        <v>9360.2402349999975</v>
      </c>
      <c r="G15" s="22">
        <f>+SUMSQ($E$3:E15)/(A15)</f>
        <v>64299727.344336681</v>
      </c>
      <c r="H15" s="22">
        <f>+SUM($F$3:F15)/(A15)</f>
        <v>4320.897325781375</v>
      </c>
      <c r="I15" s="10">
        <f t="shared" si="4"/>
        <v>32.283358909454257</v>
      </c>
      <c r="J15" s="10">
        <f>+AVERAGE($I$3:I15)</f>
        <v>44.660901271006345</v>
      </c>
      <c r="K15" s="11">
        <f>+SUM($E$3:E15)/H15</f>
        <v>1.0071959833877515</v>
      </c>
    </row>
    <row r="16" spans="1:15" x14ac:dyDescent="0.3">
      <c r="A16" s="8">
        <f t="shared" si="5"/>
        <v>14</v>
      </c>
      <c r="B16" s="9">
        <f>+data!B15</f>
        <v>33114.578125</v>
      </c>
      <c r="C16" s="9">
        <f t="shared" si="1"/>
        <v>33114.578125</v>
      </c>
      <c r="D16" s="9">
        <f t="shared" si="2"/>
        <v>28994.009765999999</v>
      </c>
      <c r="E16" s="11">
        <f t="shared" si="0"/>
        <v>-4120.5683590000008</v>
      </c>
      <c r="F16" s="9">
        <f t="shared" si="3"/>
        <v>4120.5683590000008</v>
      </c>
      <c r="G16" s="9">
        <f>+SUMSQ($E$3:E16)/(A16)</f>
        <v>60919681.36268349</v>
      </c>
      <c r="H16" s="9">
        <f>+SUM($F$3:F16)/(A16)</f>
        <v>4306.5881138684199</v>
      </c>
      <c r="I16" s="10">
        <f t="shared" si="4"/>
        <v>12.443366614684907</v>
      </c>
      <c r="J16" s="10">
        <f>+AVERAGE($I$3:I16)</f>
        <v>42.359648795554811</v>
      </c>
      <c r="K16" s="11">
        <f>+SUM($E$3:E16)/H16</f>
        <v>5.3736755417271707E-2</v>
      </c>
    </row>
    <row r="17" spans="1:11" x14ac:dyDescent="0.3">
      <c r="A17" s="5">
        <f t="shared" si="5"/>
        <v>15</v>
      </c>
      <c r="B17" s="6">
        <f>+data!B16</f>
        <v>45159.503905999998</v>
      </c>
      <c r="C17" s="22">
        <f t="shared" si="1"/>
        <v>45159.503905999998</v>
      </c>
      <c r="D17" s="22">
        <f t="shared" si="2"/>
        <v>33114.578125</v>
      </c>
      <c r="E17" s="23">
        <f t="shared" si="0"/>
        <v>-12044.925780999998</v>
      </c>
      <c r="F17" s="22">
        <f t="shared" si="3"/>
        <v>12044.925780999998</v>
      </c>
      <c r="G17" s="22">
        <f>+SUMSQ($E$3:E17)/(A17)</f>
        <v>66530385.076491147</v>
      </c>
      <c r="H17" s="22">
        <f>+SUM($F$3:F17)/(A17)</f>
        <v>4822.4772916771917</v>
      </c>
      <c r="I17" s="10">
        <f t="shared" si="4"/>
        <v>26.671962132426529</v>
      </c>
      <c r="J17" s="10">
        <f>+AVERAGE($I$3:I17)</f>
        <v>41.313803018012926</v>
      </c>
      <c r="K17" s="11">
        <f>+SUM($E$3:E17)/H17</f>
        <v>-2.4496753420135953</v>
      </c>
    </row>
    <row r="18" spans="1:11" x14ac:dyDescent="0.3">
      <c r="A18" s="8">
        <f t="shared" si="5"/>
        <v>16</v>
      </c>
      <c r="B18" s="9">
        <f>+data!B17</f>
        <v>58926.5625</v>
      </c>
      <c r="C18" s="9">
        <f t="shared" si="1"/>
        <v>58926.5625</v>
      </c>
      <c r="D18" s="9">
        <f t="shared" si="2"/>
        <v>45159.503905999998</v>
      </c>
      <c r="E18" s="11">
        <f t="shared" si="0"/>
        <v>-13767.058594000002</v>
      </c>
      <c r="F18" s="9">
        <f t="shared" si="3"/>
        <v>13767.058594000002</v>
      </c>
      <c r="G18" s="9">
        <f>+SUMSQ($E$3:E18)/(A18)</f>
        <v>74217979.904874787</v>
      </c>
      <c r="H18" s="9">
        <f>+SUM($F$3:F18)/(A18)</f>
        <v>5381.5136230723674</v>
      </c>
      <c r="I18" s="10">
        <f t="shared" si="4"/>
        <v>23.363077718982847</v>
      </c>
      <c r="J18" s="10">
        <f>+AVERAGE($I$3:I18)</f>
        <v>40.191882686823547</v>
      </c>
      <c r="K18" s="11">
        <f>+SUM($E$3:E18)/H18</f>
        <v>-4.7534140196486003</v>
      </c>
    </row>
    <row r="19" spans="1:11" x14ac:dyDescent="0.3">
      <c r="A19" s="5">
        <f t="shared" si="5"/>
        <v>17</v>
      </c>
      <c r="B19" s="6">
        <f>+data!B18</f>
        <v>57714.664062999997</v>
      </c>
      <c r="C19" s="22">
        <f t="shared" si="1"/>
        <v>57714.664062999997</v>
      </c>
      <c r="D19" s="22">
        <f t="shared" si="2"/>
        <v>58926.5625</v>
      </c>
      <c r="E19" s="23">
        <f t="shared" si="0"/>
        <v>1211.8984370000035</v>
      </c>
      <c r="F19" s="22">
        <f t="shared" si="3"/>
        <v>1211.8984370000035</v>
      </c>
      <c r="G19" s="22">
        <f>+SUMSQ($E$3:E19)/(A19)</f>
        <v>69938610.370564684</v>
      </c>
      <c r="H19" s="22">
        <f>+SUM($F$3:F19)/(A19)</f>
        <v>5136.2421415386989</v>
      </c>
      <c r="I19" s="10">
        <f t="shared" si="4"/>
        <v>2.0998102591000496</v>
      </c>
      <c r="J19" s="10">
        <f>+AVERAGE($I$3:I19)</f>
        <v>37.951172544016288</v>
      </c>
      <c r="K19" s="11">
        <f>+SUM($E$3:E19)/H19</f>
        <v>-4.7444538622436978</v>
      </c>
    </row>
    <row r="20" spans="1:11" x14ac:dyDescent="0.3">
      <c r="A20" s="8">
        <f t="shared" si="5"/>
        <v>18</v>
      </c>
      <c r="B20" s="9">
        <f>+data!B19</f>
        <v>37293.792969000002</v>
      </c>
      <c r="C20" s="9">
        <f t="shared" si="1"/>
        <v>37293.792969000002</v>
      </c>
      <c r="D20" s="9">
        <f t="shared" si="2"/>
        <v>57714.664062999997</v>
      </c>
      <c r="E20" s="11">
        <f t="shared" si="0"/>
        <v>20420.871093999995</v>
      </c>
      <c r="F20" s="9">
        <f t="shared" si="3"/>
        <v>20420.871093999995</v>
      </c>
      <c r="G20" s="9">
        <f>+SUMSQ($E$3:E20)/(A20)</f>
        <v>89220464.029853567</v>
      </c>
      <c r="H20" s="9">
        <f>+SUM($F$3:F20)/(A20)</f>
        <v>5985.388194453215</v>
      </c>
      <c r="I20" s="10">
        <f t="shared" si="4"/>
        <v>54.756755664339607</v>
      </c>
      <c r="J20" s="10">
        <f>+AVERAGE($I$3:I20)</f>
        <v>38.884816050700913</v>
      </c>
      <c r="K20" s="11">
        <f>+SUM($E$3:E20)/H20</f>
        <v>-0.65957171758727851</v>
      </c>
    </row>
    <row r="21" spans="1:11" x14ac:dyDescent="0.3">
      <c r="A21" s="5">
        <f t="shared" si="5"/>
        <v>19</v>
      </c>
      <c r="B21" s="6">
        <f>+data!B20</f>
        <v>35035.984375</v>
      </c>
      <c r="C21" s="22">
        <f t="shared" si="1"/>
        <v>35035.984375</v>
      </c>
      <c r="D21" s="22">
        <f t="shared" si="2"/>
        <v>37293.792969000002</v>
      </c>
      <c r="E21" s="23">
        <f t="shared" si="0"/>
        <v>2257.8085940000019</v>
      </c>
      <c r="F21" s="22">
        <f t="shared" si="3"/>
        <v>2257.8085940000019</v>
      </c>
      <c r="G21" s="22">
        <f>+SUMSQ($E$3:E21)/(A21)</f>
        <v>84792950.114973918</v>
      </c>
      <c r="H21" s="22">
        <f>+SUM($F$3:F21)/(A21)</f>
        <v>5789.1997944293616</v>
      </c>
      <c r="I21" s="10">
        <f t="shared" si="4"/>
        <v>6.4442561962411018</v>
      </c>
      <c r="J21" s="10">
        <f>+AVERAGE($I$3:I21)</f>
        <v>37.177418163624083</v>
      </c>
      <c r="K21" s="11">
        <f>+SUM($E$3:E21)/H21</f>
        <v>-0.29192016821881095</v>
      </c>
    </row>
    <row r="22" spans="1:11" x14ac:dyDescent="0.3">
      <c r="A22" s="8">
        <f t="shared" si="5"/>
        <v>20</v>
      </c>
      <c r="B22" s="9">
        <f>+data!B21</f>
        <v>41460.84375</v>
      </c>
      <c r="C22" s="9">
        <f t="shared" si="1"/>
        <v>41460.84375</v>
      </c>
      <c r="D22" s="9">
        <f t="shared" si="2"/>
        <v>35035.984375</v>
      </c>
      <c r="E22" s="11">
        <f t="shared" si="0"/>
        <v>-6424.859375</v>
      </c>
      <c r="F22" s="9">
        <f t="shared" si="3"/>
        <v>6424.859375</v>
      </c>
      <c r="G22" s="9">
        <f>+SUMSQ($E$3:E22)/(A22)</f>
        <v>82617243.508651495</v>
      </c>
      <c r="H22" s="9">
        <f>+SUM($F$3:F22)/(A22)</f>
        <v>5820.9827734578939</v>
      </c>
      <c r="I22" s="10">
        <f t="shared" si="4"/>
        <v>15.496209902867692</v>
      </c>
      <c r="J22" s="10">
        <f>+AVERAGE($I$3:I22)</f>
        <v>36.093357750586264</v>
      </c>
      <c r="K22" s="11">
        <f>+SUM($E$3:E22)/H22</f>
        <v>-1.394067611717323</v>
      </c>
    </row>
    <row r="23" spans="1:11" x14ac:dyDescent="0.3">
      <c r="A23" s="5">
        <f t="shared" si="5"/>
        <v>21</v>
      </c>
      <c r="B23" s="6">
        <f>+data!B22</f>
        <v>47099.773437999997</v>
      </c>
      <c r="C23" s="22">
        <f t="shared" si="1"/>
        <v>47099.773437999997</v>
      </c>
      <c r="D23" s="22">
        <f t="shared" si="2"/>
        <v>41460.84375</v>
      </c>
      <c r="E23" s="23">
        <f t="shared" si="0"/>
        <v>-5638.9296879999965</v>
      </c>
      <c r="F23" s="22">
        <f t="shared" si="3"/>
        <v>5638.9296879999965</v>
      </c>
      <c r="G23" s="22">
        <f>+SUMSQ($E$3:E23)/(A23)</f>
        <v>80197257.057106555</v>
      </c>
      <c r="H23" s="22">
        <f>+SUM($F$3:F23)/(A23)</f>
        <v>5812.3135789122798</v>
      </c>
      <c r="I23" s="10">
        <f t="shared" si="4"/>
        <v>11.972307457960127</v>
      </c>
      <c r="J23" s="10">
        <f>+AVERAGE($I$3:I23)</f>
        <v>34.944736308080259</v>
      </c>
      <c r="K23" s="11">
        <f>+SUM($E$3:E23)/H23</f>
        <v>-2.3663164511189385</v>
      </c>
    </row>
    <row r="24" spans="1:11" x14ac:dyDescent="0.3">
      <c r="A24" s="8">
        <f t="shared" si="5"/>
        <v>22</v>
      </c>
      <c r="B24" s="9">
        <f>+data!B23</f>
        <v>43816.742187999997</v>
      </c>
      <c r="C24" s="9">
        <f t="shared" si="1"/>
        <v>43816.742187999997</v>
      </c>
      <c r="D24" s="9">
        <f t="shared" si="2"/>
        <v>47099.773437999997</v>
      </c>
      <c r="E24" s="11">
        <f t="shared" si="0"/>
        <v>3283.03125</v>
      </c>
      <c r="F24" s="9">
        <f t="shared" si="3"/>
        <v>3283.03125</v>
      </c>
      <c r="G24" s="9">
        <f>+SUMSQ($E$3:E24)/(A24)</f>
        <v>77041849.653987005</v>
      </c>
      <c r="H24" s="9">
        <f>+SUM($F$3:F24)/(A24)</f>
        <v>5697.346200325358</v>
      </c>
      <c r="I24" s="10">
        <f t="shared" si="4"/>
        <v>7.4926411368372277</v>
      </c>
      <c r="J24" s="10">
        <f>+AVERAGE($I$3:I24)</f>
        <v>33.696913800296485</v>
      </c>
      <c r="K24" s="11">
        <f>+SUM($E$3:E24)/H24</f>
        <v>-1.8378279329846885</v>
      </c>
    </row>
    <row r="25" spans="1:11" x14ac:dyDescent="0.3">
      <c r="A25" s="5">
        <f t="shared" si="5"/>
        <v>23</v>
      </c>
      <c r="B25" s="6">
        <f>+data!B24</f>
        <v>61320.449219000002</v>
      </c>
      <c r="C25" s="22">
        <f t="shared" si="1"/>
        <v>61320.449219000002</v>
      </c>
      <c r="D25" s="22">
        <f t="shared" si="2"/>
        <v>43816.742187999997</v>
      </c>
      <c r="E25" s="23">
        <f t="shared" si="0"/>
        <v>-17503.707031000005</v>
      </c>
      <c r="F25" s="22">
        <f t="shared" si="3"/>
        <v>17503.707031000005</v>
      </c>
      <c r="G25" s="22">
        <f>+SUMSQ($E$3:E25)/(A25)</f>
        <v>87013063.139773622</v>
      </c>
      <c r="H25" s="22">
        <f>+SUM($F$3:F25)/(A25)</f>
        <v>6210.666236441647</v>
      </c>
      <c r="I25" s="10">
        <f t="shared" si="4"/>
        <v>28.544649059055686</v>
      </c>
      <c r="J25" s="10">
        <f>+AVERAGE($I$3:I25)</f>
        <v>33.472902289807756</v>
      </c>
      <c r="K25" s="11">
        <f>+SUM($E$3:E25)/H25</f>
        <v>-4.5042589565833548</v>
      </c>
    </row>
    <row r="26" spans="1:11" x14ac:dyDescent="0.3">
      <c r="A26" s="8">
        <f t="shared" si="5"/>
        <v>24</v>
      </c>
      <c r="B26" s="9">
        <f>+data!B25</f>
        <v>56907.964844000002</v>
      </c>
      <c r="C26" s="9">
        <f t="shared" si="1"/>
        <v>56907.964844000002</v>
      </c>
      <c r="D26" s="9">
        <f t="shared" si="2"/>
        <v>61320.449219000002</v>
      </c>
      <c r="E26" s="11">
        <f t="shared" si="0"/>
        <v>4412.484375</v>
      </c>
      <c r="F26" s="9">
        <f t="shared" si="3"/>
        <v>4412.484375</v>
      </c>
      <c r="G26" s="9">
        <f>+SUMSQ($E$3:E26)/(A26)</f>
        <v>84198769.607267186</v>
      </c>
      <c r="H26" s="9">
        <f>+SUM($F$3:F26)/(A26)</f>
        <v>6135.741992214912</v>
      </c>
      <c r="I26" s="10">
        <f t="shared" si="4"/>
        <v>7.7537202166617689</v>
      </c>
      <c r="J26" s="10">
        <f>+AVERAGE($I$3:I26)</f>
        <v>32.401269703426671</v>
      </c>
      <c r="K26" s="11">
        <f>+SUM($E$3:E26)/H26</f>
        <v>-3.8401165949835852</v>
      </c>
    </row>
    <row r="27" spans="1:11" x14ac:dyDescent="0.3">
      <c r="A27" s="5">
        <f t="shared" si="5"/>
        <v>25</v>
      </c>
      <c r="B27" s="6">
        <f>+data!B26</f>
        <v>46311.746094000002</v>
      </c>
      <c r="C27" s="22">
        <f t="shared" si="1"/>
        <v>46311.746094000002</v>
      </c>
      <c r="D27" s="22">
        <f t="shared" si="2"/>
        <v>56907.964844000002</v>
      </c>
      <c r="E27" s="23">
        <f t="shared" si="0"/>
        <v>10596.21875</v>
      </c>
      <c r="F27" s="22">
        <f t="shared" si="3"/>
        <v>10596.21875</v>
      </c>
      <c r="G27" s="22">
        <f>+SUMSQ($E$3:E27)/(A27)</f>
        <v>85322012.894890562</v>
      </c>
      <c r="H27" s="22">
        <f>+SUM($F$3:F27)/(A27)</f>
        <v>6314.1610625263156</v>
      </c>
      <c r="I27" s="10">
        <f t="shared" si="4"/>
        <v>22.880197020627584</v>
      </c>
      <c r="J27" s="10">
        <f>+AVERAGE($I$3:I27)</f>
        <v>32.020426796114712</v>
      </c>
      <c r="K27" s="11">
        <f>+SUM($E$3:E27)/H27</f>
        <v>-2.0534392088589661</v>
      </c>
    </row>
    <row r="28" spans="1:11" x14ac:dyDescent="0.3">
      <c r="A28" s="8">
        <f t="shared" si="5"/>
        <v>26</v>
      </c>
      <c r="B28" s="9">
        <f>+data!B27</f>
        <v>38481.765625</v>
      </c>
      <c r="C28" s="9">
        <f t="shared" si="1"/>
        <v>38481.765625</v>
      </c>
      <c r="D28" s="9">
        <f t="shared" si="2"/>
        <v>46311.746094000002</v>
      </c>
      <c r="E28" s="11">
        <f t="shared" si="0"/>
        <v>7829.9804690000019</v>
      </c>
      <c r="F28" s="9">
        <f t="shared" si="3"/>
        <v>7829.9804690000019</v>
      </c>
      <c r="G28" s="9">
        <f>+SUMSQ($E$3:E28)/(A28)</f>
        <v>84398419.866045579</v>
      </c>
      <c r="H28" s="9">
        <f>+SUM($F$3:F28)/(A28)</f>
        <v>6372.4618089291489</v>
      </c>
      <c r="I28" s="10">
        <f t="shared" si="4"/>
        <v>20.347248474257089</v>
      </c>
      <c r="J28" s="10">
        <f>+AVERAGE($I$3:I28)</f>
        <v>31.571458399120186</v>
      </c>
      <c r="K28" s="11">
        <f>+SUM($E$3:E28)/H28</f>
        <v>-0.80593114275645339</v>
      </c>
    </row>
    <row r="29" spans="1:11" x14ac:dyDescent="0.3">
      <c r="A29" s="5">
        <f t="shared" si="5"/>
        <v>27</v>
      </c>
      <c r="B29" s="6">
        <f>+data!B28</f>
        <v>43194.503905999998</v>
      </c>
      <c r="C29" s="22">
        <f t="shared" si="1"/>
        <v>43194.503905999998</v>
      </c>
      <c r="D29" s="22">
        <f t="shared" si="2"/>
        <v>38481.765625</v>
      </c>
      <c r="E29" s="23">
        <f t="shared" si="0"/>
        <v>-4712.7382809999981</v>
      </c>
      <c r="F29" s="22">
        <f t="shared" si="3"/>
        <v>4712.7382809999981</v>
      </c>
      <c r="G29" s="22">
        <f>+SUMSQ($E$3:E29)/(A29)</f>
        <v>82095141.430458814</v>
      </c>
      <c r="H29" s="22">
        <f>+SUM($F$3:F29)/(A29)</f>
        <v>6310.9905671539955</v>
      </c>
      <c r="I29" s="10">
        <f t="shared" si="4"/>
        <v>10.910504473568842</v>
      </c>
      <c r="J29" s="10">
        <f>+AVERAGE($I$3:I29)</f>
        <v>30.806237883359024</v>
      </c>
      <c r="K29" s="11">
        <f>+SUM($E$3:E29)/H29</f>
        <v>-1.5605321548251663</v>
      </c>
    </row>
    <row r="30" spans="1:11" x14ac:dyDescent="0.3">
      <c r="A30" s="8">
        <f t="shared" si="5"/>
        <v>28</v>
      </c>
      <c r="B30" s="9">
        <f>+data!B29</f>
        <v>45554.164062999997</v>
      </c>
      <c r="C30" s="9">
        <f t="shared" si="1"/>
        <v>45554.164062999997</v>
      </c>
      <c r="D30" s="9">
        <f t="shared" si="2"/>
        <v>43194.503905999998</v>
      </c>
      <c r="E30" s="11">
        <f t="shared" si="0"/>
        <v>-2359.6601569999984</v>
      </c>
      <c r="F30" s="9">
        <f t="shared" si="3"/>
        <v>2359.6601569999984</v>
      </c>
      <c r="G30" s="9">
        <f>+SUMSQ($E$3:E30)/(A30)</f>
        <v>79362029.095675752</v>
      </c>
      <c r="H30" s="9">
        <f>+SUM($F$3:F30)/(A30)</f>
        <v>6169.8716239342102</v>
      </c>
      <c r="I30" s="10">
        <f t="shared" si="4"/>
        <v>5.1799000278803531</v>
      </c>
      <c r="J30" s="10">
        <f>+AVERAGE($I$3:I30)</f>
        <v>29.891011531377643</v>
      </c>
      <c r="K30" s="11">
        <f>+SUM($E$3:E30)/H30</f>
        <v>-1.9786738865820359</v>
      </c>
    </row>
    <row r="31" spans="1:11" x14ac:dyDescent="0.3">
      <c r="A31" s="5">
        <f t="shared" si="5"/>
        <v>29</v>
      </c>
      <c r="B31" s="6">
        <f>+data!B30</f>
        <v>37713.265625</v>
      </c>
      <c r="C31" s="22">
        <f t="shared" si="1"/>
        <v>37713.265625</v>
      </c>
      <c r="D31" s="22">
        <f t="shared" si="2"/>
        <v>45554.164062999997</v>
      </c>
      <c r="E31" s="23">
        <f t="shared" si="0"/>
        <v>7840.8984379999965</v>
      </c>
      <c r="F31" s="22">
        <f t="shared" si="3"/>
        <v>7840.8984379999965</v>
      </c>
      <c r="G31" s="22">
        <f>+SUMSQ($E$3:E31)/(A31)</f>
        <v>78745396.654963851</v>
      </c>
      <c r="H31" s="22">
        <f>+SUM($F$3:F31)/(A31)</f>
        <v>6227.4932382123407</v>
      </c>
      <c r="I31" s="10">
        <f t="shared" si="4"/>
        <v>20.790823356337221</v>
      </c>
      <c r="J31" s="10">
        <f>+AVERAGE($I$3:I31)</f>
        <v>29.57721193913487</v>
      </c>
      <c r="K31" s="11">
        <f>+SUM($E$3:E31)/H31</f>
        <v>-0.70128786347679584</v>
      </c>
    </row>
    <row r="32" spans="1:11" x14ac:dyDescent="0.3">
      <c r="A32" s="8">
        <f t="shared" si="5"/>
        <v>30</v>
      </c>
      <c r="B32" s="9">
        <f>+data!B31</f>
        <v>31792.554688</v>
      </c>
      <c r="C32" s="9">
        <f t="shared" si="1"/>
        <v>31792.554688</v>
      </c>
      <c r="D32" s="9">
        <f t="shared" si="2"/>
        <v>37713.265625</v>
      </c>
      <c r="E32" s="11">
        <f t="shared" si="0"/>
        <v>5920.7109369999998</v>
      </c>
      <c r="F32" s="9">
        <f t="shared" si="3"/>
        <v>5920.7109369999998</v>
      </c>
      <c r="G32" s="9">
        <f>+SUMSQ($E$3:E32)/(A32)</f>
        <v>77289044.033115432</v>
      </c>
      <c r="H32" s="9">
        <f>+SUM($F$3:F32)/(A32)</f>
        <v>6217.2671615052632</v>
      </c>
      <c r="I32" s="10">
        <f t="shared" si="4"/>
        <v>18.622948030139753</v>
      </c>
      <c r="J32" s="10">
        <f>+AVERAGE($I$3:I32)</f>
        <v>29.212069808835032</v>
      </c>
      <c r="K32" s="11">
        <f>+SUM($E$3:E32)/H32</f>
        <v>0.24985986106181254</v>
      </c>
    </row>
    <row r="33" spans="1:11" x14ac:dyDescent="0.3">
      <c r="A33" s="5">
        <f t="shared" si="5"/>
        <v>31</v>
      </c>
      <c r="B33" s="6">
        <f>+data!B32</f>
        <v>19820.470702999999</v>
      </c>
      <c r="C33" s="22">
        <f t="shared" si="1"/>
        <v>19820.470702999999</v>
      </c>
      <c r="D33" s="22">
        <f t="shared" si="2"/>
        <v>31792.554688</v>
      </c>
      <c r="E33" s="23">
        <f t="shared" si="0"/>
        <v>11972.083985000001</v>
      </c>
      <c r="F33" s="22">
        <f t="shared" si="3"/>
        <v>11972.083985000001</v>
      </c>
      <c r="G33" s="22">
        <f>+SUMSQ($E$3:E33)/(A33)</f>
        <v>79419423.094753429</v>
      </c>
      <c r="H33" s="22">
        <f>+SUM($F$3:F33)/(A33)</f>
        <v>6402.9064138760614</v>
      </c>
      <c r="I33" s="10">
        <f t="shared" si="4"/>
        <v>60.402621937671356</v>
      </c>
      <c r="J33" s="10">
        <f>+AVERAGE($I$3:I33)</f>
        <v>30.218216651700718</v>
      </c>
      <c r="K33" s="11">
        <f>+SUM($E$3:E33)/H33</f>
        <v>2.112404683105475</v>
      </c>
    </row>
    <row r="34" spans="1:11" x14ac:dyDescent="0.3">
      <c r="A34" s="8">
        <f t="shared" si="5"/>
        <v>32</v>
      </c>
      <c r="B34" s="9">
        <f>+data!B33</f>
        <v>23336.71875</v>
      </c>
      <c r="C34" s="9">
        <f t="shared" si="1"/>
        <v>23336.71875</v>
      </c>
      <c r="D34" s="9">
        <f t="shared" si="2"/>
        <v>19820.470702999999</v>
      </c>
      <c r="E34" s="11">
        <f t="shared" si="0"/>
        <v>-3516.248047000001</v>
      </c>
      <c r="F34" s="9">
        <f t="shared" si="3"/>
        <v>3516.248047000001</v>
      </c>
      <c r="G34" s="9">
        <f>+SUMSQ($E$3:E34)/(A34)</f>
        <v>77323941.133293375</v>
      </c>
      <c r="H34" s="9">
        <f>+SUM($F$3:F34)/(A34)</f>
        <v>6312.6983399111841</v>
      </c>
      <c r="I34" s="10">
        <f t="shared" si="4"/>
        <v>15.067448361822509</v>
      </c>
      <c r="J34" s="10">
        <f>+AVERAGE($I$3:I34)</f>
        <v>29.744755142642024</v>
      </c>
      <c r="K34" s="11">
        <f>+SUM($E$3:E34)/H34</f>
        <v>1.5855789249227297</v>
      </c>
    </row>
    <row r="35" spans="1:11" x14ac:dyDescent="0.3">
      <c r="A35" s="5">
        <f t="shared" si="5"/>
        <v>33</v>
      </c>
      <c r="B35" s="6">
        <f>+data!B34</f>
        <v>20050.498047000001</v>
      </c>
      <c r="C35" s="22">
        <f t="shared" si="1"/>
        <v>20050.498047000001</v>
      </c>
      <c r="D35" s="22">
        <f t="shared" si="2"/>
        <v>23336.71875</v>
      </c>
      <c r="E35" s="23">
        <f t="shared" si="0"/>
        <v>3286.220702999999</v>
      </c>
      <c r="F35" s="22">
        <f t="shared" si="3"/>
        <v>3286.220702999999</v>
      </c>
      <c r="G35" s="22">
        <f>+SUMSQ($E$3:E35)/(A35)</f>
        <v>75308041.296188295</v>
      </c>
      <c r="H35" s="22">
        <f>+SUM($F$3:F35)/(A35)</f>
        <v>6220.9868963684212</v>
      </c>
      <c r="I35" s="10">
        <f t="shared" si="4"/>
        <v>16.389721069755126</v>
      </c>
      <c r="J35" s="10">
        <f>+AVERAGE($I$3:I35)</f>
        <v>29.340057140433331</v>
      </c>
      <c r="K35" s="11">
        <f>+SUM($E$3:E35)/H35</f>
        <v>2.1372014395206795</v>
      </c>
    </row>
    <row r="36" spans="1:11" x14ac:dyDescent="0.3">
      <c r="A36" s="8">
        <f t="shared" si="5"/>
        <v>34</v>
      </c>
      <c r="B36" s="9">
        <f>+data!B35</f>
        <v>19431.105468999998</v>
      </c>
      <c r="C36" s="9">
        <f t="shared" si="1"/>
        <v>19431.105468999998</v>
      </c>
      <c r="D36" s="9">
        <f t="shared" si="2"/>
        <v>20050.498047000001</v>
      </c>
      <c r="E36" s="11">
        <f t="shared" si="0"/>
        <v>619.39257800000269</v>
      </c>
      <c r="F36" s="9">
        <f t="shared" si="3"/>
        <v>619.39257800000269</v>
      </c>
      <c r="G36" s="9">
        <f>+SUMSQ($E$3:E36)/(A36)</f>
        <v>73104382.64529103</v>
      </c>
      <c r="H36" s="9">
        <f>+SUM($F$3:F36)/(A36)</f>
        <v>6056.2341222987616</v>
      </c>
      <c r="I36" s="10">
        <f t="shared" si="4"/>
        <v>3.1876342753023978</v>
      </c>
      <c r="J36" s="10">
        <f>+AVERAGE($I$3:I36)</f>
        <v>28.570868232635362</v>
      </c>
      <c r="K36" s="11">
        <f>+SUM($E$3:E36)/H36</f>
        <v>2.2976150603101533</v>
      </c>
    </row>
    <row r="37" spans="1:11" x14ac:dyDescent="0.3">
      <c r="A37" s="5">
        <f t="shared" si="5"/>
        <v>35</v>
      </c>
      <c r="B37" s="6">
        <f>+data!B36</f>
        <v>20494.898438</v>
      </c>
      <c r="C37" s="22">
        <f t="shared" si="1"/>
        <v>20494.898438</v>
      </c>
      <c r="D37" s="22">
        <f t="shared" si="2"/>
        <v>19431.105468999998</v>
      </c>
      <c r="E37" s="23">
        <f t="shared" si="0"/>
        <v>-1063.7929690000019</v>
      </c>
      <c r="F37" s="22">
        <f t="shared" si="3"/>
        <v>1063.7929690000019</v>
      </c>
      <c r="G37" s="22">
        <f>+SUMSQ($E$3:E37)/(A37)</f>
        <v>71048019.01202254</v>
      </c>
      <c r="H37" s="22">
        <f>+SUM($F$3:F37)/(A37)</f>
        <v>5913.5929464902256</v>
      </c>
      <c r="I37" s="10">
        <f t="shared" si="4"/>
        <v>5.1905256921283494</v>
      </c>
      <c r="J37" s="10">
        <f>+AVERAGE($I$3:I37)</f>
        <v>27.902858445763734</v>
      </c>
      <c r="K37" s="11">
        <f>+SUM($E$3:E37)/H37</f>
        <v>2.1731461525070181</v>
      </c>
    </row>
    <row r="38" spans="1:11" x14ac:dyDescent="0.3">
      <c r="A38" s="8">
        <f t="shared" si="5"/>
        <v>36</v>
      </c>
      <c r="B38" s="9">
        <f>+data!B37</f>
        <v>17168.001952999999</v>
      </c>
      <c r="C38" s="9">
        <f t="shared" si="1"/>
        <v>17168.001952999999</v>
      </c>
      <c r="D38" s="9">
        <f t="shared" si="2"/>
        <v>20494.898438</v>
      </c>
      <c r="E38" s="11">
        <f t="shared" si="0"/>
        <v>3326.8964850000011</v>
      </c>
      <c r="F38" s="9">
        <f t="shared" si="3"/>
        <v>3326.8964850000011</v>
      </c>
      <c r="G38" s="9">
        <f>+SUMSQ($E$3:E38)/(A38)</f>
        <v>69381914.045630395</v>
      </c>
      <c r="H38" s="9">
        <f>+SUM($F$3:F38)/(A38)</f>
        <v>5841.7402670043857</v>
      </c>
      <c r="I38" s="10">
        <f t="shared" si="4"/>
        <v>19.378472195587367</v>
      </c>
      <c r="J38" s="10">
        <f>+AVERAGE($I$3:I38)</f>
        <v>27.666069938814392</v>
      </c>
      <c r="K38" s="11">
        <f>+SUM($E$3:E38)/H38</f>
        <v>2.7693799287063938</v>
      </c>
    </row>
    <row r="39" spans="1:11" x14ac:dyDescent="0.3">
      <c r="A39" s="5">
        <f t="shared" si="5"/>
        <v>37</v>
      </c>
      <c r="B39" s="6">
        <f>+data!B38</f>
        <v>16547.914063</v>
      </c>
      <c r="C39" s="22">
        <f t="shared" si="1"/>
        <v>16547.914063</v>
      </c>
      <c r="D39" s="22">
        <f t="shared" si="2"/>
        <v>17168.001952999999</v>
      </c>
      <c r="E39" s="23">
        <f t="shared" si="0"/>
        <v>620.08788999999888</v>
      </c>
      <c r="F39" s="22">
        <f t="shared" si="3"/>
        <v>620.08788999999888</v>
      </c>
      <c r="G39" s="22">
        <f>+SUMSQ($E$3:E39)/(A39)</f>
        <v>67517119.314432934</v>
      </c>
      <c r="H39" s="22">
        <f>+SUM($F$3:F39)/(A39)</f>
        <v>5700.6145270853485</v>
      </c>
      <c r="I39" s="10">
        <f t="shared" si="4"/>
        <v>3.7472269171766657</v>
      </c>
      <c r="J39" s="10">
        <f>+AVERAGE($I$3:I39)</f>
        <v>27.019614722013372</v>
      </c>
      <c r="K39" s="11">
        <f>+SUM($E$3:E39)/H39</f>
        <v>2.9467149645612896</v>
      </c>
    </row>
    <row r="40" spans="1:11" x14ac:dyDescent="0.3">
      <c r="A40" s="8">
        <f t="shared" si="5"/>
        <v>38</v>
      </c>
      <c r="B40" s="9">
        <f>+data!B39</f>
        <v>23137.835938</v>
      </c>
      <c r="C40" s="9">
        <f t="shared" si="1"/>
        <v>23137.835938</v>
      </c>
      <c r="D40" s="9">
        <f t="shared" si="2"/>
        <v>16547.914063</v>
      </c>
      <c r="E40" s="11">
        <f t="shared" si="0"/>
        <v>-6589.921875</v>
      </c>
      <c r="F40" s="9">
        <f t="shared" si="3"/>
        <v>6589.921875</v>
      </c>
      <c r="G40" s="9">
        <f>+SUMSQ($E$3:E40)/(A40)</f>
        <v>66883170.656647943</v>
      </c>
      <c r="H40" s="9">
        <f>+SUM($F$3:F40)/(A40)</f>
        <v>5724.0173520304706</v>
      </c>
      <c r="I40" s="10">
        <f t="shared" si="4"/>
        <v>28.481150495916356</v>
      </c>
      <c r="J40" s="10">
        <f>+AVERAGE($I$3:I40)</f>
        <v>27.058076189747663</v>
      </c>
      <c r="K40" s="11">
        <f>+SUM($E$3:E40)/H40</f>
        <v>1.7833915642370914</v>
      </c>
    </row>
    <row r="41" spans="1:11" x14ac:dyDescent="0.3">
      <c r="A41" s="5">
        <f t="shared" si="5"/>
        <v>39</v>
      </c>
      <c r="B41" s="6">
        <f>+data!B40</f>
        <v>23150.929688</v>
      </c>
      <c r="C41" s="22">
        <f t="shared" si="1"/>
        <v>23150.929688</v>
      </c>
      <c r="D41" s="22">
        <f t="shared" si="2"/>
        <v>23137.835938</v>
      </c>
      <c r="E41" s="23">
        <f t="shared" si="0"/>
        <v>-13.09375</v>
      </c>
      <c r="F41" s="22">
        <f t="shared" si="3"/>
        <v>13.09375</v>
      </c>
      <c r="G41" s="22">
        <f>+SUMSQ($E$3:E41)/(A41)</f>
        <v>65168221.958946437</v>
      </c>
      <c r="H41" s="22">
        <f>+SUM($F$3:F41)/(A41)</f>
        <v>5577.5834135168689</v>
      </c>
      <c r="I41" s="10">
        <f t="shared" si="4"/>
        <v>5.6558203823611382E-2</v>
      </c>
      <c r="J41" s="10">
        <f>+AVERAGE($I$3:I41)</f>
        <v>26.365729574723971</v>
      </c>
      <c r="K41" s="11">
        <f>+SUM($E$3:E41)/H41</f>
        <v>1.8278651798287517</v>
      </c>
    </row>
    <row r="42" spans="1:11" x14ac:dyDescent="0.3">
      <c r="A42" s="8">
        <f t="shared" si="5"/>
        <v>40</v>
      </c>
      <c r="B42" s="9">
        <f>+data!B41</f>
        <v>28473.332031000002</v>
      </c>
      <c r="C42" s="9">
        <f t="shared" si="1"/>
        <v>28473.332031000002</v>
      </c>
      <c r="D42" s="9">
        <f t="shared" si="2"/>
        <v>23150.929688</v>
      </c>
      <c r="E42" s="11">
        <f t="shared" si="0"/>
        <v>-5322.4023430000016</v>
      </c>
      <c r="F42" s="9">
        <f t="shared" si="3"/>
        <v>5322.4023430000016</v>
      </c>
      <c r="G42" s="9">
        <f>+SUMSQ($E$3:E42)/(A42)</f>
        <v>64247215.577492073</v>
      </c>
      <c r="H42" s="9">
        <f>+SUM($F$3:F42)/(A42)</f>
        <v>5571.2038867539468</v>
      </c>
      <c r="I42" s="10">
        <f t="shared" si="4"/>
        <v>18.692586934347197</v>
      </c>
      <c r="J42" s="10">
        <f>+AVERAGE($I$3:I42)</f>
        <v>26.173901008714552</v>
      </c>
      <c r="K42" s="11">
        <f>+SUM($E$3:E42)/H42</f>
        <v>0.87461673728062495</v>
      </c>
    </row>
    <row r="43" spans="1:11" x14ac:dyDescent="0.3">
      <c r="A43" s="5">
        <f t="shared" si="5"/>
        <v>41</v>
      </c>
      <c r="B43" s="6">
        <f>+data!B42</f>
        <v>29227.103515999999</v>
      </c>
      <c r="C43" s="22">
        <f t="shared" si="1"/>
        <v>29227.103515999999</v>
      </c>
      <c r="D43" s="22">
        <f t="shared" si="2"/>
        <v>28473.332031000002</v>
      </c>
      <c r="E43" s="23">
        <f t="shared" si="0"/>
        <v>-753.77148499999748</v>
      </c>
      <c r="F43" s="22">
        <f t="shared" si="3"/>
        <v>753.77148499999748</v>
      </c>
      <c r="G43" s="22">
        <f>+SUMSQ($E$3:E43)/(A43)</f>
        <v>62694068.159787364</v>
      </c>
      <c r="H43" s="22">
        <f>+SUM($F$3:F43)/(A43)</f>
        <v>5453.7055354916556</v>
      </c>
      <c r="I43" s="10">
        <f t="shared" si="4"/>
        <v>2.5790153464483918</v>
      </c>
      <c r="J43" s="10">
        <f>+AVERAGE($I$3:I43)</f>
        <v>25.598415992561719</v>
      </c>
      <c r="K43" s="11">
        <f>+SUM($E$3:E43)/H43</f>
        <v>0.75524735509698804</v>
      </c>
    </row>
    <row r="44" spans="1:11" x14ac:dyDescent="0.3">
      <c r="A44" s="8">
        <f t="shared" si="5"/>
        <v>42</v>
      </c>
      <c r="B44" s="9">
        <f>+data!B43</f>
        <v>27218.412109000001</v>
      </c>
      <c r="C44" s="9">
        <f t="shared" si="1"/>
        <v>27218.412109000001</v>
      </c>
      <c r="D44" s="9">
        <f t="shared" si="2"/>
        <v>29227.103515999999</v>
      </c>
      <c r="E44" s="11">
        <f t="shared" si="0"/>
        <v>2008.6914069999984</v>
      </c>
      <c r="F44" s="9">
        <f t="shared" si="3"/>
        <v>2008.6914069999984</v>
      </c>
      <c r="G44" s="9">
        <f>+SUMSQ($E$3:E44)/(A44)</f>
        <v>61297419.898091376</v>
      </c>
      <c r="H44" s="9">
        <f>+SUM($F$3:F44)/(A44)</f>
        <v>5371.6813895751884</v>
      </c>
      <c r="I44" s="10">
        <f t="shared" si="4"/>
        <v>7.379899308438377</v>
      </c>
      <c r="J44" s="10">
        <f>+AVERAGE($I$3:I44)</f>
        <v>25.164641785796874</v>
      </c>
      <c r="K44" s="11">
        <f>+SUM($E$3:E44)/H44</f>
        <v>1.1407206875764584</v>
      </c>
    </row>
    <row r="45" spans="1:11" x14ac:dyDescent="0.3">
      <c r="A45" s="5">
        <f t="shared" si="5"/>
        <v>43</v>
      </c>
      <c r="B45" s="6">
        <f>+data!B44</f>
        <v>30471.847656000002</v>
      </c>
      <c r="C45" s="22">
        <f t="shared" si="1"/>
        <v>30471.847656000002</v>
      </c>
      <c r="D45" s="22">
        <f t="shared" si="2"/>
        <v>27218.412109000001</v>
      </c>
      <c r="E45" s="23">
        <f t="shared" si="0"/>
        <v>-3253.435547000001</v>
      </c>
      <c r="F45" s="22">
        <f t="shared" si="3"/>
        <v>3253.435547000001</v>
      </c>
      <c r="G45" s="22">
        <f>+SUMSQ($E$3:E45)/(A45)</f>
        <v>60118057.641356304</v>
      </c>
      <c r="H45" s="22">
        <f>+SUM($F$3:F45)/(A45)</f>
        <v>5322.4198583525094</v>
      </c>
      <c r="I45" s="10">
        <f t="shared" si="4"/>
        <v>10.676856827746018</v>
      </c>
      <c r="J45" s="10">
        <f>+AVERAGE($I$3:I45)</f>
        <v>24.827716554214295</v>
      </c>
      <c r="K45" s="11">
        <f>+SUM($E$3:E45)/H45</f>
        <v>0.54000860842412612</v>
      </c>
    </row>
    <row r="46" spans="1:11" x14ac:dyDescent="0.3">
      <c r="A46" s="8">
        <f t="shared" si="5"/>
        <v>44</v>
      </c>
      <c r="B46" s="9">
        <f>+data!B45</f>
        <v>29230.873047000001</v>
      </c>
      <c r="C46" s="9">
        <f t="shared" si="1"/>
        <v>29230.873047000001</v>
      </c>
      <c r="D46" s="9">
        <f t="shared" si="2"/>
        <v>30471.847656000002</v>
      </c>
      <c r="E46" s="11">
        <f t="shared" si="0"/>
        <v>1240.9746090000008</v>
      </c>
      <c r="F46" s="9">
        <f t="shared" si="3"/>
        <v>1240.9746090000008</v>
      </c>
      <c r="G46" s="9">
        <f>+SUMSQ($E$3:E46)/(A46)</f>
        <v>58786738.55814781</v>
      </c>
      <c r="H46" s="9">
        <f>+SUM($F$3:F46)/(A46)</f>
        <v>5229.6597390490433</v>
      </c>
      <c r="I46" s="10">
        <f t="shared" si="4"/>
        <v>4.245424373759386</v>
      </c>
      <c r="J46" s="10">
        <f>+AVERAGE($I$3:I46)</f>
        <v>24.359937186476682</v>
      </c>
      <c r="K46" s="11">
        <f>+SUM($E$3:E46)/H46</f>
        <v>0.78688238919845388</v>
      </c>
    </row>
    <row r="47" spans="1:11" x14ac:dyDescent="0.3">
      <c r="A47" s="5">
        <f t="shared" si="5"/>
        <v>45</v>
      </c>
      <c r="B47" s="6">
        <f>+data!B46</f>
        <v>25934.021484000001</v>
      </c>
      <c r="C47" s="22">
        <f t="shared" si="1"/>
        <v>25934.021484000001</v>
      </c>
      <c r="D47" s="22">
        <f t="shared" si="2"/>
        <v>29230.873047000001</v>
      </c>
      <c r="E47" s="23">
        <f t="shared" si="0"/>
        <v>3296.8515630000002</v>
      </c>
      <c r="F47" s="22">
        <f t="shared" si="3"/>
        <v>3296.8515630000002</v>
      </c>
      <c r="G47" s="22">
        <f>+SUMSQ($E$3:E47)/(A47)</f>
        <v>57721905.039710201</v>
      </c>
      <c r="H47" s="22">
        <f>+SUM($F$3:F47)/(A47)</f>
        <v>5186.7084462479534</v>
      </c>
      <c r="I47" s="10">
        <f t="shared" si="4"/>
        <v>12.712457900268159</v>
      </c>
      <c r="J47" s="10">
        <f>+AVERAGE($I$3:I47)</f>
        <v>24.101104313449827</v>
      </c>
      <c r="K47" s="11">
        <f>+SUM($E$3:E47)/H47</f>
        <v>1.4290332279077058</v>
      </c>
    </row>
    <row r="48" spans="1:11" x14ac:dyDescent="0.3">
      <c r="A48" s="8">
        <f t="shared" si="5"/>
        <v>46</v>
      </c>
      <c r="B48" s="9">
        <f>+data!B47</f>
        <v>26967.396484000001</v>
      </c>
      <c r="C48" s="9">
        <f t="shared" si="1"/>
        <v>26967.396484000001</v>
      </c>
      <c r="D48" s="9">
        <f t="shared" si="2"/>
        <v>25934.021484000001</v>
      </c>
      <c r="E48" s="11">
        <f t="shared" si="0"/>
        <v>-1033.375</v>
      </c>
      <c r="F48" s="9">
        <f t="shared" si="3"/>
        <v>1033.375</v>
      </c>
      <c r="G48" s="9">
        <f>+SUMSQ($E$3:E48)/(A48)</f>
        <v>56490295.449512698</v>
      </c>
      <c r="H48" s="9">
        <f>+SUM($F$3:F48)/(A48)</f>
        <v>5096.4185887208241</v>
      </c>
      <c r="I48" s="10">
        <f t="shared" si="4"/>
        <v>3.8319420290094031</v>
      </c>
      <c r="J48" s="10">
        <f>+AVERAGE($I$3:I48)</f>
        <v>23.660470350744603</v>
      </c>
      <c r="K48" s="11">
        <f>+SUM($E$3:E48)/H48</f>
        <v>1.2515855207173774</v>
      </c>
    </row>
    <row r="49" spans="1:11" x14ac:dyDescent="0.3">
      <c r="A49" s="5">
        <f t="shared" si="5"/>
        <v>47</v>
      </c>
      <c r="B49" s="6">
        <f>+data!B48</f>
        <v>34657.273437999997</v>
      </c>
      <c r="C49" s="22">
        <f t="shared" si="1"/>
        <v>34657.273437999997</v>
      </c>
      <c r="D49" s="22">
        <f t="shared" si="2"/>
        <v>26967.396484000001</v>
      </c>
      <c r="E49" s="23">
        <f t="shared" si="0"/>
        <v>-7689.8769539999957</v>
      </c>
      <c r="F49" s="22">
        <f t="shared" si="3"/>
        <v>7689.8769539999957</v>
      </c>
      <c r="G49" s="22">
        <f>+SUMSQ($E$3:E49)/(A49)</f>
        <v>56546548.898834988</v>
      </c>
      <c r="H49" s="22">
        <f>+SUM($F$3:F49)/(A49)</f>
        <v>5151.5985539395297</v>
      </c>
      <c r="I49" s="10">
        <f t="shared" si="4"/>
        <v>22.188349489629566</v>
      </c>
      <c r="J49" s="10">
        <f>+AVERAGE($I$3:I49)</f>
        <v>23.629148630295347</v>
      </c>
      <c r="K49" s="11">
        <f>+SUM($E$3:E49)/H49</f>
        <v>-0.25453715523686621</v>
      </c>
    </row>
    <row r="50" spans="1:11" x14ac:dyDescent="0.3">
      <c r="A50" s="8">
        <f t="shared" si="5"/>
        <v>48</v>
      </c>
      <c r="B50" s="9">
        <f>+data!B49</f>
        <v>37718.007812999997</v>
      </c>
      <c r="C50" s="9">
        <f t="shared" si="1"/>
        <v>37718.007812999997</v>
      </c>
      <c r="D50" s="9">
        <f t="shared" si="2"/>
        <v>34657.273437999997</v>
      </c>
      <c r="E50" s="11">
        <f t="shared" si="0"/>
        <v>-3060.734375</v>
      </c>
      <c r="F50" s="9">
        <f t="shared" si="3"/>
        <v>3060.734375</v>
      </c>
      <c r="G50" s="9">
        <f>+SUMSQ($E$3:E50)/(A50)</f>
        <v>55563664.44082398</v>
      </c>
      <c r="H50" s="9">
        <f>+SUM($F$3:F50)/(A50)</f>
        <v>5108.0388835449567</v>
      </c>
      <c r="I50" s="10">
        <f t="shared" si="4"/>
        <v>8.1147827058487394</v>
      </c>
      <c r="J50" s="10">
        <f>+AVERAGE($I$3:I50)</f>
        <v>23.305932673536045</v>
      </c>
      <c r="K50" s="11">
        <f>+SUM($E$3:E50)/H50</f>
        <v>-0.85590726999477484</v>
      </c>
    </row>
    <row r="51" spans="1:11" x14ac:dyDescent="0.3">
      <c r="A51" s="5">
        <f t="shared" si="5"/>
        <v>49</v>
      </c>
      <c r="B51" s="6">
        <f>+data!B50</f>
        <v>42280.234375</v>
      </c>
      <c r="C51" s="22">
        <f t="shared" si="1"/>
        <v>42280.234375</v>
      </c>
      <c r="D51" s="22">
        <f t="shared" si="2"/>
        <v>37718.007812999997</v>
      </c>
      <c r="E51" s="23">
        <f t="shared" si="0"/>
        <v>-4562.2265620000035</v>
      </c>
      <c r="F51" s="22">
        <f t="shared" si="3"/>
        <v>4562.2265620000035</v>
      </c>
      <c r="G51" s="22">
        <f>+SUMSQ($E$3:E51)/(A51)</f>
        <v>54854485.803317741</v>
      </c>
      <c r="H51" s="22">
        <f>+SUM($F$3:F51)/(A51)</f>
        <v>5096.8998565746515</v>
      </c>
      <c r="I51" s="10">
        <f t="shared" si="4"/>
        <v>10.790447662933522</v>
      </c>
      <c r="J51" s="10">
        <f>+AVERAGE($I$3:I51)</f>
        <v>23.050514612095174</v>
      </c>
      <c r="K51" s="11">
        <f>+SUM($E$3:E51)/H51</f>
        <v>-1.7528761461376519</v>
      </c>
    </row>
    <row r="52" spans="1:11" x14ac:dyDescent="0.3">
      <c r="A52" s="8">
        <f t="shared" si="5"/>
        <v>50</v>
      </c>
      <c r="B52" s="9">
        <f>+data!B51</f>
        <v>42569.761719000002</v>
      </c>
      <c r="C52" s="9">
        <f t="shared" si="1"/>
        <v>42569.761719000002</v>
      </c>
      <c r="D52" s="9">
        <f t="shared" si="2"/>
        <v>42280.234375</v>
      </c>
      <c r="E52" s="11">
        <f t="shared" si="0"/>
        <v>-289.5273440000019</v>
      </c>
      <c r="F52" s="9">
        <f t="shared" si="3"/>
        <v>289.5273440000019</v>
      </c>
      <c r="G52" s="9">
        <f>+SUMSQ($E$3:E52)/(A52)</f>
        <v>53759072.608909868</v>
      </c>
      <c r="H52" s="9">
        <f>+SUM($F$3:F52)/(A52)</f>
        <v>5000.7524063231576</v>
      </c>
      <c r="I52" s="10">
        <f t="shared" si="4"/>
        <v>0.68012441768208975</v>
      </c>
      <c r="J52" s="10">
        <f>+AVERAGE($I$3:I52)</f>
        <v>22.603106808206913</v>
      </c>
      <c r="K52" s="11">
        <f>+SUM($E$3:E52)/H52</f>
        <v>-1.8444747454761452</v>
      </c>
    </row>
    <row r="53" spans="1:11" x14ac:dyDescent="0.3">
      <c r="A53" s="5">
        <f t="shared" si="5"/>
        <v>51</v>
      </c>
      <c r="B53" s="6">
        <f>+data!B52</f>
        <v>61168.0625</v>
      </c>
      <c r="C53" s="22">
        <f t="shared" si="1"/>
        <v>61168.0625</v>
      </c>
      <c r="D53" s="22">
        <f t="shared" si="2"/>
        <v>42569.761719000002</v>
      </c>
      <c r="E53" s="23">
        <f t="shared" si="0"/>
        <v>-18598.300780999998</v>
      </c>
      <c r="F53" s="22">
        <f t="shared" si="3"/>
        <v>18598.300780999998</v>
      </c>
      <c r="G53" s="22">
        <f>+SUMSQ($E$3:E53)/(A53)</f>
        <v>59487263.184039965</v>
      </c>
      <c r="H53" s="22">
        <f>+SUM($F$3:F53)/(A53)</f>
        <v>5267.3710019050559</v>
      </c>
      <c r="I53" s="10">
        <f t="shared" si="4"/>
        <v>30.405247478616797</v>
      </c>
      <c r="J53" s="10">
        <f>+AVERAGE($I$3:I53)</f>
        <v>22.756089958607106</v>
      </c>
      <c r="K53" s="11">
        <f>+SUM($E$3:E53)/H53</f>
        <v>-5.28196367652472</v>
      </c>
    </row>
    <row r="54" spans="1:11" x14ac:dyDescent="0.3">
      <c r="A54" s="8">
        <f t="shared" si="5"/>
        <v>52</v>
      </c>
      <c r="B54" s="9">
        <f>+data!B53</f>
        <v>71333.484375</v>
      </c>
      <c r="C54" s="9">
        <f t="shared" si="1"/>
        <v>71333.484375</v>
      </c>
      <c r="D54" s="9">
        <f t="shared" si="2"/>
        <v>61168.0625</v>
      </c>
      <c r="E54" s="11">
        <f t="shared" si="0"/>
        <v>-10165.421875</v>
      </c>
      <c r="F54" s="9">
        <f t="shared" si="3"/>
        <v>10165.421875</v>
      </c>
      <c r="G54" s="9">
        <f>+SUMSQ($E$3:E54)/(A54)</f>
        <v>60330504.313130133</v>
      </c>
      <c r="H54" s="9">
        <f>+SUM($F$3:F54)/(A54)</f>
        <v>5361.5642879261131</v>
      </c>
      <c r="I54" s="10">
        <f t="shared" si="4"/>
        <v>14.250561239319806</v>
      </c>
      <c r="J54" s="10">
        <f>+AVERAGE($I$3:I54)</f>
        <v>22.592522098620808</v>
      </c>
      <c r="K54" s="11">
        <f>+SUM($E$3:E54)/H54</f>
        <v>-7.0851494336060501</v>
      </c>
    </row>
    <row r="55" spans="1:11" x14ac:dyDescent="0.3">
      <c r="A55" s="5">
        <f t="shared" si="5"/>
        <v>53</v>
      </c>
      <c r="B55" s="6">
        <f>+data!B54</f>
        <v>60609.496094000002</v>
      </c>
      <c r="C55" s="22">
        <f t="shared" si="1"/>
        <v>60609.496094000002</v>
      </c>
      <c r="D55" s="22">
        <f t="shared" si="2"/>
        <v>71333.484375</v>
      </c>
      <c r="E55" s="23">
        <f t="shared" si="0"/>
        <v>10723.988280999998</v>
      </c>
      <c r="F55" s="22">
        <f t="shared" si="3"/>
        <v>10723.988280999998</v>
      </c>
      <c r="G55" s="22">
        <f>+SUMSQ($E$3:E55)/(A55)</f>
        <v>61362078.281769663</v>
      </c>
      <c r="H55" s="22">
        <f>+SUM($F$3:F55)/(A55)</f>
        <v>5462.7420991161862</v>
      </c>
      <c r="I55" s="10">
        <f t="shared" si="4"/>
        <v>17.693577693449281</v>
      </c>
      <c r="J55" s="10">
        <f>+AVERAGE($I$3:I55)</f>
        <v>22.500089185315684</v>
      </c>
      <c r="K55" s="11">
        <f>+SUM($E$3:E55)/H55</f>
        <v>-4.9908078035119159</v>
      </c>
    </row>
    <row r="56" spans="1:11" x14ac:dyDescent="0.3">
      <c r="A56" s="8">
        <f t="shared" si="5"/>
        <v>54</v>
      </c>
      <c r="B56" s="9">
        <f>+data!B55</f>
        <v>67489.609375</v>
      </c>
      <c r="C56" s="9">
        <f t="shared" si="1"/>
        <v>67489.609375</v>
      </c>
      <c r="D56" s="9">
        <f t="shared" si="2"/>
        <v>60609.496094000002</v>
      </c>
      <c r="E56" s="11">
        <f t="shared" si="0"/>
        <v>-6880.1132809999981</v>
      </c>
      <c r="F56" s="9">
        <f t="shared" si="3"/>
        <v>6880.1132809999981</v>
      </c>
      <c r="G56" s="9">
        <f>+SUMSQ($E$3:E56)/(A56)</f>
        <v>61102335.327651568</v>
      </c>
      <c r="H56" s="9">
        <f>+SUM($F$3:F56)/(A56)</f>
        <v>5488.9897135955162</v>
      </c>
      <c r="I56" s="10">
        <f t="shared" si="4"/>
        <v>10.194329682323781</v>
      </c>
      <c r="J56" s="10">
        <f>+AVERAGE($I$3:I56)</f>
        <v>22.272204750075094</v>
      </c>
      <c r="K56" s="11">
        <f>+SUM($E$3:E56)/H56</f>
        <v>-6.2203813378029897</v>
      </c>
    </row>
    <row r="57" spans="1:11" x14ac:dyDescent="0.3">
      <c r="A57" s="5">
        <f t="shared" si="5"/>
        <v>55</v>
      </c>
      <c r="B57" s="6">
        <f>+data!B56</f>
        <v>62673.605469000002</v>
      </c>
      <c r="C57" s="22">
        <f t="shared" si="1"/>
        <v>62673.605469000002</v>
      </c>
      <c r="D57" s="22">
        <f t="shared" si="2"/>
        <v>67489.609375</v>
      </c>
      <c r="E57" s="23">
        <f t="shared" si="0"/>
        <v>4816.0039059999981</v>
      </c>
      <c r="F57" s="22">
        <f t="shared" si="3"/>
        <v>4816.0039059999981</v>
      </c>
      <c r="G57" s="22">
        <f>+SUMSQ($E$3:E57)/(A57)</f>
        <v>60413090.9330144</v>
      </c>
      <c r="H57" s="22">
        <f>+SUM($F$3:F57)/(A57)</f>
        <v>5476.7536080028704</v>
      </c>
      <c r="I57" s="10">
        <f t="shared" si="4"/>
        <v>7.6842617716992825</v>
      </c>
      <c r="J57" s="10">
        <f>+AVERAGE($I$3:I57)</f>
        <v>22.006969423195535</v>
      </c>
      <c r="K57" s="11">
        <f>+SUM($E$3:E57)/H57</f>
        <v>-5.354925083536231</v>
      </c>
    </row>
    <row r="58" spans="1:11" x14ac:dyDescent="0.3">
      <c r="A58" s="8">
        <f t="shared" si="5"/>
        <v>56</v>
      </c>
      <c r="B58" s="9">
        <f>+data!B57</f>
        <v>64625.839844000002</v>
      </c>
      <c r="C58" s="9">
        <f t="shared" si="1"/>
        <v>64625.839844000002</v>
      </c>
      <c r="D58" s="9">
        <f t="shared" si="2"/>
        <v>62673.605469000002</v>
      </c>
      <c r="E58" s="11">
        <f t="shared" si="0"/>
        <v>-1952.234375</v>
      </c>
      <c r="F58" s="9">
        <f t="shared" si="3"/>
        <v>1952.234375</v>
      </c>
      <c r="G58" s="9">
        <f>+SUMSQ($E$3:E58)/(A58)</f>
        <v>59402343.220905781</v>
      </c>
      <c r="H58" s="9">
        <f>+SUM($F$3:F58)/(A58)</f>
        <v>5413.8157645563906</v>
      </c>
      <c r="I58" s="10">
        <f t="shared" si="4"/>
        <v>3.0208263129925879</v>
      </c>
      <c r="J58" s="10">
        <f>+AVERAGE($I$3:I58)</f>
        <v>21.667931153370482</v>
      </c>
      <c r="K58" s="11">
        <f>+SUM($E$3:E58)/H58</f>
        <v>-5.7777805908408491</v>
      </c>
    </row>
    <row r="59" spans="1:11" x14ac:dyDescent="0.3">
      <c r="A59" s="5">
        <f t="shared" si="5"/>
        <v>57</v>
      </c>
      <c r="B59" s="6">
        <f>+data!B58</f>
        <v>58969.800780999998</v>
      </c>
      <c r="C59" s="22">
        <f>+($C$63*B59)+((1-$C$63)*C58)</f>
        <v>58969.800780999998</v>
      </c>
      <c r="D59" s="22">
        <f t="shared" si="2"/>
        <v>64625.839844000002</v>
      </c>
      <c r="E59" s="23">
        <f t="shared" si="0"/>
        <v>5656.0390630000038</v>
      </c>
      <c r="F59" s="22">
        <f t="shared" si="3"/>
        <v>5656.0390630000038</v>
      </c>
      <c r="G59" s="22">
        <f>+SUMSQ($E$3:E59)/(A59)</f>
        <v>58921438.565840453</v>
      </c>
      <c r="H59" s="51">
        <f>+SUM($F$3:F59)/(A59)</f>
        <v>5418.0652961080332</v>
      </c>
      <c r="I59" s="10">
        <f t="shared" si="4"/>
        <v>9.5914162640725298</v>
      </c>
      <c r="J59" s="10">
        <f>+AVERAGE($I$3:I59)</f>
        <v>21.456062471102094</v>
      </c>
      <c r="K59" s="11">
        <f>+SUM($E$3:E59)/H59</f>
        <v>-4.7293266476962739</v>
      </c>
    </row>
    <row r="60" spans="1:11" x14ac:dyDescent="0.3">
      <c r="A60" s="8">
        <v>58</v>
      </c>
      <c r="B60" s="9"/>
      <c r="C60" s="9"/>
      <c r="D60" s="9">
        <f t="shared" si="2"/>
        <v>58969.800780999998</v>
      </c>
      <c r="E60" s="11"/>
      <c r="F60" s="9"/>
      <c r="G60" s="9"/>
      <c r="H60" s="9"/>
      <c r="I60" s="10"/>
      <c r="J60" s="10"/>
      <c r="K60" s="10"/>
    </row>
    <row r="63" spans="1:11" x14ac:dyDescent="0.3">
      <c r="B63" s="4" t="s">
        <v>25</v>
      </c>
      <c r="C63" s="103">
        <v>1</v>
      </c>
    </row>
    <row r="65" spans="2:3" x14ac:dyDescent="0.3">
      <c r="B65" s="4" t="s">
        <v>98</v>
      </c>
      <c r="C65" s="52">
        <f>+MIN($K$3:$K$59)</f>
        <v>-7.0851494336060501</v>
      </c>
    </row>
    <row r="66" spans="2:3" x14ac:dyDescent="0.3">
      <c r="B66" s="4" t="s">
        <v>99</v>
      </c>
      <c r="C66" s="52">
        <f>+MAX($K$3:$K$59)</f>
        <v>5.9386402319506146</v>
      </c>
    </row>
  </sheetData>
  <conditionalFormatting sqref="K3:K59">
    <cfRule type="dataBar" priority="1">
      <dataBar>
        <cfvo type="min"/>
        <cfvo type="max"/>
        <color rgb="FF008AEF"/>
      </dataBar>
      <extLst>
        <ext xmlns:x14="http://schemas.microsoft.com/office/spreadsheetml/2009/9/main" uri="{B025F937-C7B1-47D3-B67F-A62EFF666E3E}">
          <x14:id>{DBDAB0DA-4317-4957-B749-38AB3DE010EB}</x14:id>
        </ext>
      </extLst>
    </cfRule>
  </conditionalFormatting>
  <conditionalFormatting sqref="K6:K59">
    <cfRule type="dataBar" priority="2">
      <dataBar>
        <cfvo type="min"/>
        <cfvo type="max"/>
        <color rgb="FF008AEF"/>
      </dataBar>
      <extLst>
        <ext xmlns:x14="http://schemas.microsoft.com/office/spreadsheetml/2009/9/main" uri="{B025F937-C7B1-47D3-B67F-A62EFF666E3E}">
          <x14:id>{CBD33B00-AA9B-4551-B1CB-87A4DF3DB939}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BDAB0DA-4317-4957-B749-38AB3DE010EB}">
            <x14:dataBar minLength="0" maxLength="100" border="1" negativeBarBorderColorSameAsPositive="0">
              <x14:cfvo type="autoMin"/>
              <x14:cfvo type="autoMax"/>
              <x14:borderColor rgb="FF008AEF"/>
              <x14:negativeFillColor rgb="FFFF0000"/>
              <x14:negativeBorderColor rgb="FFFF0000"/>
              <x14:axisColor rgb="FF000000"/>
            </x14:dataBar>
          </x14:cfRule>
          <xm:sqref>K3:K59</xm:sqref>
        </x14:conditionalFormatting>
        <x14:conditionalFormatting xmlns:xm="http://schemas.microsoft.com/office/excel/2006/main">
          <x14:cfRule type="dataBar" id="{CBD33B00-AA9B-4551-B1CB-87A4DF3DB939}">
            <x14:dataBar minLength="0" maxLength="100" border="1" negativeBarBorderColorSameAsPositive="0">
              <x14:cfvo type="autoMin"/>
              <x14:cfvo type="autoMax"/>
              <x14:borderColor rgb="FF008AEF"/>
              <x14:negativeFillColor rgb="FFFF0000"/>
              <x14:negativeBorderColor rgb="FFFF0000"/>
              <x14:axisColor rgb="FF000000"/>
            </x14:dataBar>
          </x14:cfRule>
          <xm:sqref>K6:K59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E8CE-7938-49A9-8FD2-6BFBA2EBBB2B}">
  <sheetPr>
    <tabColor theme="9" tint="-0.499984740745262"/>
  </sheetPr>
  <dimension ref="A1:P67"/>
  <sheetViews>
    <sheetView zoomScale="70" zoomScaleNormal="70" workbookViewId="0">
      <pane ySplit="1" topLeftCell="A2" activePane="bottomLeft" state="frozen"/>
      <selection pane="bottomLeft" activeCell="A2" sqref="A2"/>
    </sheetView>
  </sheetViews>
  <sheetFormatPr baseColWidth="10" defaultColWidth="9.109375" defaultRowHeight="14.4" x14ac:dyDescent="0.3"/>
  <cols>
    <col min="1" max="1" width="9.109375" style="4"/>
    <col min="2" max="2" width="16" style="4" bestFit="1" customWidth="1"/>
    <col min="3" max="4" width="15.88671875" style="4" customWidth="1"/>
    <col min="5" max="6" width="16.5546875" style="4" bestFit="1" customWidth="1"/>
    <col min="7" max="7" width="14.88671875" style="4" bestFit="1" customWidth="1"/>
    <col min="8" max="8" width="12.21875" style="4" bestFit="1" customWidth="1"/>
    <col min="9" max="9" width="16.109375" style="4" bestFit="1" customWidth="1"/>
    <col min="10" max="10" width="9.44140625" style="4" bestFit="1" customWidth="1"/>
    <col min="11" max="11" width="9.21875" style="4" bestFit="1" customWidth="1"/>
    <col min="12" max="12" width="11.44140625" style="4" customWidth="1"/>
    <col min="13" max="14" width="9.109375" style="4"/>
    <col min="15" max="15" width="14.88671875" style="4" bestFit="1" customWidth="1"/>
    <col min="16" max="16" width="16.21875" style="4" customWidth="1"/>
    <col min="17" max="17" width="14.88671875" style="4" bestFit="1" customWidth="1"/>
    <col min="18" max="18" width="17.5546875" style="4" bestFit="1" customWidth="1"/>
    <col min="19" max="19" width="29.44140625" style="4" bestFit="1" customWidth="1"/>
    <col min="20" max="22" width="9.109375" style="4"/>
    <col min="23" max="23" width="14.88671875" style="4" bestFit="1" customWidth="1"/>
    <col min="24" max="16384" width="9.109375" style="4"/>
  </cols>
  <sheetData>
    <row r="1" spans="1:16" x14ac:dyDescent="0.3">
      <c r="A1" s="3" t="s">
        <v>7</v>
      </c>
      <c r="B1" s="3" t="s">
        <v>8</v>
      </c>
      <c r="C1" s="3" t="s">
        <v>9</v>
      </c>
      <c r="D1" s="3" t="s">
        <v>33</v>
      </c>
      <c r="E1" s="3" t="s">
        <v>10</v>
      </c>
      <c r="F1" s="3" t="s">
        <v>11</v>
      </c>
      <c r="G1" s="3" t="s">
        <v>12</v>
      </c>
      <c r="H1" s="3" t="s">
        <v>13</v>
      </c>
      <c r="I1" s="3" t="s">
        <v>14</v>
      </c>
      <c r="J1" s="3" t="s">
        <v>15</v>
      </c>
      <c r="K1" s="3" t="s">
        <v>16</v>
      </c>
      <c r="L1" s="3" t="s">
        <v>17</v>
      </c>
    </row>
    <row r="2" spans="1:16" x14ac:dyDescent="0.3">
      <c r="A2" s="21">
        <v>0</v>
      </c>
      <c r="B2" s="25"/>
      <c r="C2" s="27">
        <f>+INTERCEPT(B3:B59,A3:A59)</f>
        <v>15589.10974841916</v>
      </c>
      <c r="D2" s="27">
        <f>SLOPE(B3:B59,A3:A59)</f>
        <v>612.30656719788703</v>
      </c>
      <c r="E2" s="25"/>
      <c r="F2" s="25"/>
      <c r="G2" s="25"/>
      <c r="H2" s="25"/>
      <c r="I2" s="25"/>
      <c r="J2" s="25"/>
      <c r="K2" s="25"/>
      <c r="L2" s="25"/>
    </row>
    <row r="3" spans="1:16" x14ac:dyDescent="0.3">
      <c r="A3" s="8">
        <v>1</v>
      </c>
      <c r="B3" s="60">
        <f>+data!B2</f>
        <v>7194.8920900000003</v>
      </c>
      <c r="C3" s="60">
        <f>+($C$63*B3)+((1-$C$63)*(C2+D2))</f>
        <v>7983.9143785714714</v>
      </c>
      <c r="D3" s="60">
        <f>+($C$64*(C3-C2)+((1-$C$64)*D2))</f>
        <v>-4623.493166778886</v>
      </c>
      <c r="E3" s="60">
        <f>+C2+D2</f>
        <v>16201.416315617047</v>
      </c>
      <c r="F3" s="60">
        <f t="shared" ref="F3:F59" si="0">+E3-B3</f>
        <v>9006.5242256170459</v>
      </c>
      <c r="G3" s="60">
        <f>+ABS(F3)</f>
        <v>9006.5242256170459</v>
      </c>
      <c r="H3" s="60">
        <f>+SUMSQ($F3:F$3)/(A3)</f>
        <v>81117478.62662673</v>
      </c>
      <c r="I3" s="60">
        <f>+SUM($G3:G$3)/(A3)</f>
        <v>9006.5242256170459</v>
      </c>
      <c r="J3" s="59">
        <f>+(G3/B3)*100</f>
        <v>125.17942052438823</v>
      </c>
      <c r="K3" s="59">
        <f>+AVERAGE($J3:J$3)</f>
        <v>125.17942052438823</v>
      </c>
      <c r="L3" s="58">
        <f>+SUM($F3:F$3)/I3</f>
        <v>1</v>
      </c>
    </row>
    <row r="4" spans="1:16" x14ac:dyDescent="0.3">
      <c r="A4" s="21">
        <f>+A3+1</f>
        <v>2</v>
      </c>
      <c r="B4" s="61">
        <f>+data!B3</f>
        <v>9346.3574219999991</v>
      </c>
      <c r="C4" s="61">
        <f t="shared" ref="C4:C59" si="1">+($C$63*B4)+((1-$C$63)*(C3+D3))</f>
        <v>8821.9556695029514</v>
      </c>
      <c r="D4" s="61">
        <f t="shared" ref="D4:D59" si="2">+($C$64*(C4-C3)+((1-$C$64)*D3))</f>
        <v>-1143.6642747560372</v>
      </c>
      <c r="E4" s="61">
        <f t="shared" ref="E4:E59" si="3">+C3+D3</f>
        <v>3360.4212117925854</v>
      </c>
      <c r="F4" s="61">
        <f t="shared" si="0"/>
        <v>-5985.9362102074138</v>
      </c>
      <c r="G4" s="61">
        <f t="shared" ref="G4:G59" si="4">+ABS(F4)</f>
        <v>5985.9362102074138</v>
      </c>
      <c r="H4" s="61">
        <f>+SUMSQ($F$3:F4)/(A4)</f>
        <v>58474455.469649509</v>
      </c>
      <c r="I4" s="61">
        <f>+SUM($G$3:G4)/(A4)</f>
        <v>7496.2302179122298</v>
      </c>
      <c r="J4" s="57">
        <f t="shared" ref="J4:J59" si="5">+(G4/B4)*100</f>
        <v>64.045659072671128</v>
      </c>
      <c r="K4" s="57">
        <f>+AVERAGE($J$3:J4)</f>
        <v>94.612539798529681</v>
      </c>
      <c r="L4" s="57">
        <f>+SUM($F$3:F4)/I4</f>
        <v>0.40294760534327534</v>
      </c>
    </row>
    <row r="5" spans="1:16" x14ac:dyDescent="0.3">
      <c r="A5" s="8">
        <f t="shared" ref="A5:A59" si="6">+A4+1</f>
        <v>3</v>
      </c>
      <c r="B5" s="60">
        <f>+data!B4</f>
        <v>8599.7587889999995</v>
      </c>
      <c r="C5" s="60">
        <f t="shared" si="1"/>
        <v>8519.0330512964792</v>
      </c>
      <c r="D5" s="60">
        <f t="shared" si="2"/>
        <v>-607.9838483407035</v>
      </c>
      <c r="E5" s="60">
        <f t="shared" si="3"/>
        <v>7678.2913947469142</v>
      </c>
      <c r="F5" s="60">
        <f t="shared" si="0"/>
        <v>-921.46739425308533</v>
      </c>
      <c r="G5" s="60">
        <f t="shared" si="4"/>
        <v>921.46739425308533</v>
      </c>
      <c r="H5" s="60">
        <f>+SUMSQ($F$3:F5)/(A5)</f>
        <v>39266004.365990199</v>
      </c>
      <c r="I5" s="60">
        <f>+SUM($G$3:G5)/(A5)</f>
        <v>5304.6426100258477</v>
      </c>
      <c r="J5" s="59">
        <f t="shared" si="5"/>
        <v>10.71503767561178</v>
      </c>
      <c r="K5" s="59">
        <f>+AVERAGE($J$3:J5)</f>
        <v>66.646705757557044</v>
      </c>
      <c r="L5" s="58">
        <f>+SUM($F$3:F5)/I5</f>
        <v>0.39571386339754161</v>
      </c>
      <c r="O5" s="4" t="s">
        <v>28</v>
      </c>
      <c r="P5" s="4">
        <v>3.1177000000000001</v>
      </c>
    </row>
    <row r="6" spans="1:16" x14ac:dyDescent="0.3">
      <c r="A6" s="21">
        <f t="shared" si="6"/>
        <v>4</v>
      </c>
      <c r="B6" s="61">
        <f>+data!B5</f>
        <v>6437.3193359999996</v>
      </c>
      <c r="C6" s="61">
        <f t="shared" si="1"/>
        <v>6566.4263792092133</v>
      </c>
      <c r="D6" s="61">
        <f t="shared" si="2"/>
        <v>-1464.7132871417234</v>
      </c>
      <c r="E6" s="61">
        <f t="shared" si="3"/>
        <v>7911.0492029557754</v>
      </c>
      <c r="F6" s="61">
        <f t="shared" si="0"/>
        <v>1473.7298669557758</v>
      </c>
      <c r="G6" s="61">
        <f t="shared" si="4"/>
        <v>1473.7298669557758</v>
      </c>
      <c r="H6" s="61">
        <f>+SUMSQ($F$3:F6)/(A6)</f>
        <v>29992473.204682019</v>
      </c>
      <c r="I6" s="61">
        <f>+SUM($G$3:G6)/(A6)</f>
        <v>4346.9144242583297</v>
      </c>
      <c r="J6" s="57">
        <f t="shared" si="5"/>
        <v>22.893533628417405</v>
      </c>
      <c r="K6" s="57">
        <f>+AVERAGE($J$3:J6)</f>
        <v>55.708412725272133</v>
      </c>
      <c r="L6" s="57">
        <f>+SUM($F$3:F6)/I6</f>
        <v>0.82192795610921698</v>
      </c>
      <c r="O6" s="4" t="s">
        <v>29</v>
      </c>
      <c r="P6" s="4">
        <v>-272.05</v>
      </c>
    </row>
    <row r="7" spans="1:16" x14ac:dyDescent="0.3">
      <c r="A7" s="8">
        <f t="shared" si="6"/>
        <v>5</v>
      </c>
      <c r="B7" s="60">
        <f>+data!B6</f>
        <v>8672.7822269999997</v>
      </c>
      <c r="C7" s="60">
        <f t="shared" si="1"/>
        <v>8359.9364419992544</v>
      </c>
      <c r="D7" s="60">
        <f t="shared" si="2"/>
        <v>611.27100583466313</v>
      </c>
      <c r="E7" s="60">
        <f t="shared" si="3"/>
        <v>5101.7130920674899</v>
      </c>
      <c r="F7" s="60">
        <f t="shared" si="0"/>
        <v>-3571.0691349325098</v>
      </c>
      <c r="G7" s="60">
        <f t="shared" si="4"/>
        <v>3571.0691349325098</v>
      </c>
      <c r="H7" s="60">
        <f>+SUMSQ($F$3:F7)/(A7)</f>
        <v>26544485.517039139</v>
      </c>
      <c r="I7" s="60">
        <f>+SUM($G$3:G7)/(A7)</f>
        <v>4191.7453663931656</v>
      </c>
      <c r="J7" s="59">
        <f t="shared" si="5"/>
        <v>41.175588657295016</v>
      </c>
      <c r="K7" s="59">
        <f>+AVERAGE($J$3:J7)</f>
        <v>52.801847911676717</v>
      </c>
      <c r="L7" s="58">
        <f>+SUM($F$3:F7)/I7</f>
        <v>4.2496693479872642E-4</v>
      </c>
      <c r="O7" s="4" t="s">
        <v>30</v>
      </c>
      <c r="P7" s="4">
        <v>7007.1</v>
      </c>
    </row>
    <row r="8" spans="1:16" x14ac:dyDescent="0.3">
      <c r="A8" s="21">
        <f t="shared" si="6"/>
        <v>6</v>
      </c>
      <c r="B8" s="61">
        <f>+data!B7</f>
        <v>9463.6054690000001</v>
      </c>
      <c r="C8" s="61">
        <f t="shared" si="1"/>
        <v>9420.468626882428</v>
      </c>
      <c r="D8" s="61">
        <f t="shared" si="2"/>
        <v>897.51877063823065</v>
      </c>
      <c r="E8" s="61">
        <f t="shared" si="3"/>
        <v>8971.2074478339182</v>
      </c>
      <c r="F8" s="61">
        <f t="shared" si="0"/>
        <v>-492.39802116608189</v>
      </c>
      <c r="G8" s="61">
        <f t="shared" si="4"/>
        <v>492.39802116608189</v>
      </c>
      <c r="H8" s="61">
        <f>+SUMSQ($F$3:F8)/(A8)</f>
        <v>22160813.899407327</v>
      </c>
      <c r="I8" s="61">
        <f>+SUM($G$3:G8)/(A8)</f>
        <v>3575.1874755219851</v>
      </c>
      <c r="J8" s="57">
        <f t="shared" si="5"/>
        <v>5.2030700432201407</v>
      </c>
      <c r="K8" s="57">
        <f>+AVERAGE($J$3:J8)</f>
        <v>44.868718266933946</v>
      </c>
      <c r="L8" s="57">
        <f>+SUM($F$3:F8)/I8</f>
        <v>-0.13722823525908609</v>
      </c>
      <c r="O8" s="4" t="s">
        <v>31</v>
      </c>
      <c r="P8" s="4">
        <v>-16880</v>
      </c>
    </row>
    <row r="9" spans="1:16" x14ac:dyDescent="0.3">
      <c r="A9" s="8">
        <f t="shared" si="6"/>
        <v>7</v>
      </c>
      <c r="B9" s="60">
        <f>+data!B8</f>
        <v>9145.9853519999997</v>
      </c>
      <c r="C9" s="60">
        <f t="shared" si="1"/>
        <v>9248.6593373246542</v>
      </c>
      <c r="D9" s="60">
        <f t="shared" si="2"/>
        <v>216.1940060077446</v>
      </c>
      <c r="E9" s="60">
        <f t="shared" si="3"/>
        <v>10317.987397520659</v>
      </c>
      <c r="F9" s="60">
        <f t="shared" si="0"/>
        <v>1172.0020455206595</v>
      </c>
      <c r="G9" s="60">
        <f t="shared" si="4"/>
        <v>1172.0020455206595</v>
      </c>
      <c r="H9" s="60">
        <f>+SUMSQ($F$3:F9)/(A9)</f>
        <v>19191210.313021224</v>
      </c>
      <c r="I9" s="60">
        <f>+SUM($G$3:G9)/(A9)</f>
        <v>3231.8752712360811</v>
      </c>
      <c r="J9" s="59">
        <f t="shared" si="5"/>
        <v>12.814387957273206</v>
      </c>
      <c r="K9" s="59">
        <f>+AVERAGE($J$3:J9)</f>
        <v>40.289528222696696</v>
      </c>
      <c r="L9" s="58">
        <f>+SUM($F$3:F9)/I9</f>
        <v>0.21083282006541795</v>
      </c>
    </row>
    <row r="10" spans="1:16" x14ac:dyDescent="0.3">
      <c r="A10" s="21">
        <f t="shared" si="6"/>
        <v>8</v>
      </c>
      <c r="B10" s="61">
        <f>+data!B9</f>
        <v>11322.570313</v>
      </c>
      <c r="C10" s="61">
        <f t="shared" si="1"/>
        <v>11159.823835201594</v>
      </c>
      <c r="D10" s="61">
        <f t="shared" si="2"/>
        <v>1296.148244949836</v>
      </c>
      <c r="E10" s="61">
        <f t="shared" si="3"/>
        <v>9464.8533433323992</v>
      </c>
      <c r="F10" s="61">
        <f t="shared" si="0"/>
        <v>-1857.716969667601</v>
      </c>
      <c r="G10" s="61">
        <f t="shared" si="4"/>
        <v>1857.716969667601</v>
      </c>
      <c r="H10" s="61">
        <f>+SUMSQ($F$3:F10)/(A10)</f>
        <v>17223698.066317443</v>
      </c>
      <c r="I10" s="61">
        <f>+SUM($G$3:G10)/(A10)</f>
        <v>3060.1054835400209</v>
      </c>
      <c r="J10" s="57">
        <f t="shared" si="5"/>
        <v>16.407201883609986</v>
      </c>
      <c r="K10" s="57">
        <f>+AVERAGE($J$3:J10)</f>
        <v>37.304237430310863</v>
      </c>
      <c r="L10" s="57">
        <f>+SUM($F$3:F10)/I10</f>
        <v>-0.38440883768895284</v>
      </c>
    </row>
    <row r="11" spans="1:16" x14ac:dyDescent="0.3">
      <c r="A11" s="8">
        <f t="shared" si="6"/>
        <v>9</v>
      </c>
      <c r="B11" s="60">
        <f>+data!B10</f>
        <v>11679.316406</v>
      </c>
      <c r="C11" s="60">
        <f t="shared" si="1"/>
        <v>11747.355820773128</v>
      </c>
      <c r="D11" s="60">
        <f t="shared" si="2"/>
        <v>844.65181078185742</v>
      </c>
      <c r="E11" s="60">
        <f t="shared" si="3"/>
        <v>12455.97208015143</v>
      </c>
      <c r="F11" s="60">
        <f t="shared" si="0"/>
        <v>776.6556741514305</v>
      </c>
      <c r="G11" s="60">
        <f t="shared" si="4"/>
        <v>776.6556741514305</v>
      </c>
      <c r="H11" s="60">
        <f>+SUMSQ($F$3:F11)/(A11)</f>
        <v>15376975.396303462</v>
      </c>
      <c r="I11" s="60">
        <f>+SUM($G$3:G11)/(A11)</f>
        <v>2806.3888380523995</v>
      </c>
      <c r="J11" s="59">
        <f t="shared" si="5"/>
        <v>6.649838459316336</v>
      </c>
      <c r="K11" s="59">
        <f>+AVERAGE($J$3:J11)</f>
        <v>33.898193100200359</v>
      </c>
      <c r="L11" s="58">
        <f>+SUM($F$3:F11)/I11</f>
        <v>-0.14241644370961451</v>
      </c>
    </row>
    <row r="12" spans="1:16" x14ac:dyDescent="0.3">
      <c r="A12" s="21">
        <f t="shared" si="6"/>
        <v>10</v>
      </c>
      <c r="B12" s="61">
        <f>+data!B11</f>
        <v>10795.254883</v>
      </c>
      <c r="C12" s="61">
        <f t="shared" si="1"/>
        <v>10952.660551396435</v>
      </c>
      <c r="D12" s="61">
        <f t="shared" si="2"/>
        <v>-199.86184701177535</v>
      </c>
      <c r="E12" s="61">
        <f t="shared" si="3"/>
        <v>12592.007631554985</v>
      </c>
      <c r="F12" s="61">
        <f t="shared" si="0"/>
        <v>1796.7527485549854</v>
      </c>
      <c r="G12" s="61">
        <f t="shared" si="4"/>
        <v>1796.7527485549854</v>
      </c>
      <c r="H12" s="61">
        <f>+SUMSQ($F$3:F12)/(A12)</f>
        <v>14162109.900617104</v>
      </c>
      <c r="I12" s="61">
        <f>+SUM($G$3:G12)/(A12)</f>
        <v>2705.4252291026582</v>
      </c>
      <c r="J12" s="57">
        <f t="shared" si="5"/>
        <v>16.643912237629984</v>
      </c>
      <c r="K12" s="57">
        <f>+AVERAGE($J$3:J12)</f>
        <v>32.172765013943327</v>
      </c>
      <c r="L12" s="57">
        <f>+SUM($F$3:F12)/I12</f>
        <v>0.51639824140938873</v>
      </c>
    </row>
    <row r="13" spans="1:16" x14ac:dyDescent="0.3">
      <c r="A13" s="8">
        <f t="shared" si="6"/>
        <v>11</v>
      </c>
      <c r="B13" s="60">
        <f>+data!B12</f>
        <v>13780.995117</v>
      </c>
      <c r="C13" s="60">
        <f t="shared" si="1"/>
        <v>13515.708042444669</v>
      </c>
      <c r="D13" s="60">
        <f t="shared" si="2"/>
        <v>1560.5320157510353</v>
      </c>
      <c r="E13" s="60">
        <f t="shared" si="3"/>
        <v>10752.798704384659</v>
      </c>
      <c r="F13" s="60">
        <f t="shared" si="0"/>
        <v>-3028.1964126153416</v>
      </c>
      <c r="G13" s="60">
        <f t="shared" si="4"/>
        <v>3028.1964126153416</v>
      </c>
      <c r="H13" s="60">
        <f>+SUMSQ($F$3:F13)/(A13)</f>
        <v>13708279.31995886</v>
      </c>
      <c r="I13" s="60">
        <f>+SUM($G$3:G13)/(A13)</f>
        <v>2734.7680639674477</v>
      </c>
      <c r="J13" s="59">
        <f t="shared" si="5"/>
        <v>21.973713704315955</v>
      </c>
      <c r="K13" s="59">
        <f>+AVERAGE($J$3:J13)</f>
        <v>31.245578531249929</v>
      </c>
      <c r="L13" s="58">
        <f>+SUM($F$3:F13)/I13</f>
        <v>-0.59643799543124676</v>
      </c>
    </row>
    <row r="14" spans="1:16" x14ac:dyDescent="0.3">
      <c r="A14" s="21">
        <f t="shared" si="6"/>
        <v>12</v>
      </c>
      <c r="B14" s="61">
        <f>+data!B13</f>
        <v>19633.769531000002</v>
      </c>
      <c r="C14" s="61">
        <f t="shared" si="1"/>
        <v>19234.504260093832</v>
      </c>
      <c r="D14" s="61">
        <f t="shared" si="2"/>
        <v>4209.9793500988444</v>
      </c>
      <c r="E14" s="61">
        <f t="shared" si="3"/>
        <v>15076.240058195704</v>
      </c>
      <c r="F14" s="61">
        <f t="shared" si="0"/>
        <v>-4557.5294728042973</v>
      </c>
      <c r="G14" s="61">
        <f t="shared" si="4"/>
        <v>4557.5294728042973</v>
      </c>
      <c r="H14" s="61">
        <f>+SUMSQ($F$3:F14)/(A14)</f>
        <v>14296845.61791894</v>
      </c>
      <c r="I14" s="61">
        <f>+SUM($G$3:G14)/(A14)</f>
        <v>2886.6648480371855</v>
      </c>
      <c r="J14" s="57">
        <f t="shared" si="5"/>
        <v>23.212707399912979</v>
      </c>
      <c r="K14" s="57">
        <f>+AVERAGE($J$3:J14)</f>
        <v>30.576172603638515</v>
      </c>
      <c r="L14" s="57">
        <f>+SUM($F$3:F14)/I14</f>
        <v>-2.1438751571920318</v>
      </c>
    </row>
    <row r="15" spans="1:16" x14ac:dyDescent="0.3">
      <c r="A15" s="8">
        <f t="shared" si="6"/>
        <v>13</v>
      </c>
      <c r="B15" s="60">
        <f>+data!B14</f>
        <v>28994.009765999999</v>
      </c>
      <c r="C15" s="60">
        <f t="shared" si="1"/>
        <v>28507.839994148599</v>
      </c>
      <c r="D15" s="60">
        <f t="shared" si="2"/>
        <v>7436.1081920808847</v>
      </c>
      <c r="E15" s="60">
        <f t="shared" si="3"/>
        <v>23444.483610192678</v>
      </c>
      <c r="F15" s="60">
        <f t="shared" si="0"/>
        <v>-5549.5261558073216</v>
      </c>
      <c r="G15" s="60">
        <f t="shared" si="4"/>
        <v>5549.5261558073216</v>
      </c>
      <c r="H15" s="60">
        <f>+SUMSQ($F$3:F15)/(A15)</f>
        <v>15566106.766847452</v>
      </c>
      <c r="I15" s="60">
        <f>+SUM($G$3:G15)/(A15)</f>
        <v>3091.5003332502729</v>
      </c>
      <c r="J15" s="59">
        <f t="shared" si="5"/>
        <v>19.140250695214316</v>
      </c>
      <c r="K15" s="59">
        <f>+AVERAGE($J$3:J15)</f>
        <v>29.6964863029905</v>
      </c>
      <c r="L15" s="58">
        <f>+SUM($F$3:F15)/I15</f>
        <v>-3.796918630221441</v>
      </c>
    </row>
    <row r="16" spans="1:16" x14ac:dyDescent="0.3">
      <c r="A16" s="21">
        <f t="shared" si="6"/>
        <v>14</v>
      </c>
      <c r="B16" s="61">
        <f>+data!B15</f>
        <v>33114.578125</v>
      </c>
      <c r="C16" s="61">
        <f t="shared" si="1"/>
        <v>33362.446890464176</v>
      </c>
      <c r="D16" s="61">
        <f t="shared" si="2"/>
        <v>5791.2988691045448</v>
      </c>
      <c r="E16" s="61">
        <f t="shared" si="3"/>
        <v>35943.948186229485</v>
      </c>
      <c r="F16" s="61">
        <f t="shared" si="0"/>
        <v>2829.3700612294851</v>
      </c>
      <c r="G16" s="61">
        <f t="shared" si="4"/>
        <v>2829.3700612294851</v>
      </c>
      <c r="H16" s="61">
        <f>+SUMSQ($F$3:F16)/(A16)</f>
        <v>15026051.6365999</v>
      </c>
      <c r="I16" s="61">
        <f>+SUM($G$3:G16)/(A16)</f>
        <v>3072.7767423916453</v>
      </c>
      <c r="J16" s="57">
        <f t="shared" si="5"/>
        <v>8.5441827178025846</v>
      </c>
      <c r="K16" s="57">
        <f>+AVERAGE($J$3:J16)</f>
        <v>28.185607475477077</v>
      </c>
      <c r="L16" s="57">
        <f>+SUM($F$3:F16)/I16</f>
        <v>-2.8992686082654506</v>
      </c>
    </row>
    <row r="17" spans="1:12" x14ac:dyDescent="0.3">
      <c r="A17" s="8">
        <f t="shared" si="6"/>
        <v>15</v>
      </c>
      <c r="B17" s="60">
        <f>+data!B16</f>
        <v>45159.503905999998</v>
      </c>
      <c r="C17" s="60">
        <f t="shared" si="1"/>
        <v>44633.365640160904</v>
      </c>
      <c r="D17" s="60">
        <f t="shared" si="2"/>
        <v>9282.6509287565477</v>
      </c>
      <c r="E17" s="60">
        <f t="shared" si="3"/>
        <v>39153.745759568723</v>
      </c>
      <c r="F17" s="60">
        <f t="shared" si="0"/>
        <v>-6005.7581464312752</v>
      </c>
      <c r="G17" s="60">
        <f t="shared" si="4"/>
        <v>6005.7581464312752</v>
      </c>
      <c r="H17" s="60">
        <f>+SUMSQ($F$3:F17)/(A17)</f>
        <v>16428923.588388283</v>
      </c>
      <c r="I17" s="60">
        <f>+SUM($G$3:G17)/(A17)</f>
        <v>3268.3088359942872</v>
      </c>
      <c r="J17" s="59">
        <f t="shared" si="5"/>
        <v>13.298990526849733</v>
      </c>
      <c r="K17" s="59">
        <f>+AVERAGE($J$3:J17)</f>
        <v>27.193166345568589</v>
      </c>
      <c r="L17" s="58">
        <f>+SUM($F$3:F17)/I17</f>
        <v>-4.5633886037939941</v>
      </c>
    </row>
    <row r="18" spans="1:12" x14ac:dyDescent="0.3">
      <c r="A18" s="21">
        <f t="shared" si="6"/>
        <v>16</v>
      </c>
      <c r="B18" s="61">
        <f>+data!B17</f>
        <v>58926.5625</v>
      </c>
      <c r="C18" s="61">
        <f t="shared" si="1"/>
        <v>58487.610433864364</v>
      </c>
      <c r="D18" s="61">
        <f t="shared" si="2"/>
        <v>12195.452182143845</v>
      </c>
      <c r="E18" s="61">
        <f t="shared" si="3"/>
        <v>53916.016568917454</v>
      </c>
      <c r="F18" s="61">
        <f t="shared" si="0"/>
        <v>-5010.5459310825463</v>
      </c>
      <c r="G18" s="61">
        <f t="shared" si="4"/>
        <v>5010.5459310825463</v>
      </c>
      <c r="H18" s="61">
        <f>+SUMSQ($F$3:F18)/(A18)</f>
        <v>16971214.022082005</v>
      </c>
      <c r="I18" s="61">
        <f>+SUM($G$3:G18)/(A18)</f>
        <v>3377.1986544373035</v>
      </c>
      <c r="J18" s="57">
        <f t="shared" si="5"/>
        <v>8.5030344864975724</v>
      </c>
      <c r="K18" s="57">
        <f>+AVERAGE($J$3:J18)</f>
        <v>26.02503310437665</v>
      </c>
      <c r="L18" s="57">
        <f>+SUM($F$3:F18)/I18</f>
        <v>-5.8998925635477431</v>
      </c>
    </row>
    <row r="19" spans="1:12" x14ac:dyDescent="0.3">
      <c r="A19" s="8">
        <f t="shared" si="6"/>
        <v>17</v>
      </c>
      <c r="B19" s="60">
        <f>+data!B18</f>
        <v>57714.664062999997</v>
      </c>
      <c r="C19" s="60">
        <f t="shared" si="1"/>
        <v>58850.768874254252</v>
      </c>
      <c r="D19" s="60">
        <f t="shared" si="2"/>
        <v>4656.4797669230047</v>
      </c>
      <c r="E19" s="60">
        <f t="shared" si="3"/>
        <v>70683.062616008203</v>
      </c>
      <c r="F19" s="60">
        <f t="shared" si="0"/>
        <v>12968.398553008206</v>
      </c>
      <c r="G19" s="60">
        <f t="shared" si="4"/>
        <v>12968.398553008206</v>
      </c>
      <c r="H19" s="60">
        <f>+SUMSQ($F$3:F19)/(A19)</f>
        <v>25865810.904881027</v>
      </c>
      <c r="I19" s="60">
        <f>+SUM($G$3:G19)/(A19)</f>
        <v>3941.3868837650039</v>
      </c>
      <c r="J19" s="59">
        <f t="shared" si="5"/>
        <v>22.469850190676325</v>
      </c>
      <c r="K19" s="59">
        <f>+AVERAGE($J$3:J19)</f>
        <v>25.815904697688396</v>
      </c>
      <c r="L19" s="58">
        <f>+SUM($F$3:F19)/I19</f>
        <v>-1.7650413113681689</v>
      </c>
    </row>
    <row r="20" spans="1:12" x14ac:dyDescent="0.3">
      <c r="A20" s="21">
        <f t="shared" si="6"/>
        <v>18</v>
      </c>
      <c r="B20" s="61">
        <f>+data!B19</f>
        <v>37293.792969000002</v>
      </c>
      <c r="C20" s="61">
        <f t="shared" si="1"/>
        <v>39590.239441325022</v>
      </c>
      <c r="D20" s="61">
        <f t="shared" si="2"/>
        <v>-10582.296124516359</v>
      </c>
      <c r="E20" s="61">
        <f t="shared" si="3"/>
        <v>63507.248641177255</v>
      </c>
      <c r="F20" s="61">
        <f t="shared" si="0"/>
        <v>26213.455672177253</v>
      </c>
      <c r="G20" s="61">
        <f t="shared" si="4"/>
        <v>26213.455672177253</v>
      </c>
      <c r="H20" s="61">
        <f>+SUMSQ($F$3:F20)/(A20)</f>
        <v>62603557.981121063</v>
      </c>
      <c r="I20" s="61">
        <f>+SUM($G$3:G20)/(A20)</f>
        <v>5178.7240386767953</v>
      </c>
      <c r="J20" s="57">
        <f t="shared" si="5"/>
        <v>70.289057736677137</v>
      </c>
      <c r="K20" s="57">
        <f>+AVERAGE($J$3:J20)</f>
        <v>28.286635422076657</v>
      </c>
      <c r="L20" s="57">
        <f>+SUM($F$3:F20)/I20</f>
        <v>3.7184342811917084</v>
      </c>
    </row>
    <row r="21" spans="1:12" x14ac:dyDescent="0.3">
      <c r="A21" s="8">
        <f t="shared" si="6"/>
        <v>19</v>
      </c>
      <c r="B21" s="60">
        <f>+data!B20</f>
        <v>35035.984375</v>
      </c>
      <c r="C21" s="60">
        <f t="shared" si="1"/>
        <v>34507.894000490283</v>
      </c>
      <c r="D21" s="60">
        <f t="shared" si="2"/>
        <v>-7077.9902482151228</v>
      </c>
      <c r="E21" s="60">
        <f t="shared" si="3"/>
        <v>29007.943316808662</v>
      </c>
      <c r="F21" s="60">
        <f t="shared" si="0"/>
        <v>-6028.0410581913384</v>
      </c>
      <c r="G21" s="60">
        <f t="shared" si="4"/>
        <v>6028.0410581913384</v>
      </c>
      <c r="H21" s="60">
        <f>+SUMSQ($F$3:F21)/(A21)</f>
        <v>61221122.245232619</v>
      </c>
      <c r="I21" s="60">
        <f>+SUM($G$3:G21)/(A21)</f>
        <v>5223.4249344407181</v>
      </c>
      <c r="J21" s="59">
        <f t="shared" si="5"/>
        <v>17.205285268059029</v>
      </c>
      <c r="K21" s="59">
        <f>+AVERAGE($J$3:J21)</f>
        <v>27.703406466602047</v>
      </c>
      <c r="L21" s="58">
        <f>+SUM($F$3:F21)/I21</f>
        <v>2.5325728054082686</v>
      </c>
    </row>
    <row r="22" spans="1:12" x14ac:dyDescent="0.3">
      <c r="A22" s="21">
        <f t="shared" si="6"/>
        <v>20</v>
      </c>
      <c r="B22" s="61">
        <f>+data!B21</f>
        <v>41460.84375</v>
      </c>
      <c r="C22" s="61">
        <f t="shared" si="1"/>
        <v>40231.654319039983</v>
      </c>
      <c r="D22" s="61">
        <f t="shared" si="2"/>
        <v>1078.6737508203942</v>
      </c>
      <c r="E22" s="61">
        <f t="shared" si="3"/>
        <v>27429.903752275161</v>
      </c>
      <c r="F22" s="61">
        <f t="shared" si="0"/>
        <v>-14030.939997724839</v>
      </c>
      <c r="G22" s="61">
        <f t="shared" si="4"/>
        <v>14030.939997724839</v>
      </c>
      <c r="H22" s="61">
        <f>+SUMSQ($F$3:F22)/(A22)</f>
        <v>68003429.993958727</v>
      </c>
      <c r="I22" s="61">
        <f>+SUM($G$3:G22)/(A22)</f>
        <v>5663.800687604924</v>
      </c>
      <c r="J22" s="57">
        <f t="shared" si="5"/>
        <v>33.841424169581302</v>
      </c>
      <c r="K22" s="57">
        <f>+AVERAGE($J$3:J22)</f>
        <v>28.01030735175101</v>
      </c>
      <c r="L22" s="57">
        <f>+SUM($F$3:F22)/I22</f>
        <v>-0.14164270635873188</v>
      </c>
    </row>
    <row r="23" spans="1:12" x14ac:dyDescent="0.3">
      <c r="A23" s="8">
        <f t="shared" si="6"/>
        <v>21</v>
      </c>
      <c r="B23" s="60">
        <f>+data!B22</f>
        <v>47099.773437999997</v>
      </c>
      <c r="C23" s="60">
        <f t="shared" si="1"/>
        <v>46592.585390813452</v>
      </c>
      <c r="D23" s="60">
        <f t="shared" si="2"/>
        <v>4444.2758142847561</v>
      </c>
      <c r="E23" s="60">
        <f t="shared" si="3"/>
        <v>41310.328069860378</v>
      </c>
      <c r="F23" s="60">
        <f t="shared" si="0"/>
        <v>-5789.4453681396189</v>
      </c>
      <c r="G23" s="60">
        <f t="shared" si="4"/>
        <v>5789.4453681396189</v>
      </c>
      <c r="H23" s="60">
        <f>+SUMSQ($F$3:F23)/(A23)</f>
        <v>66361251.311897516</v>
      </c>
      <c r="I23" s="60">
        <f>+SUM($G$3:G23)/(A23)</f>
        <v>5669.7837676303861</v>
      </c>
      <c r="J23" s="59">
        <f t="shared" si="5"/>
        <v>12.291875195027385</v>
      </c>
      <c r="K23" s="59">
        <f>+AVERAGE($J$3:J23)</f>
        <v>27.26181058238322</v>
      </c>
      <c r="L23" s="58">
        <f>+SUM($F$3:F23)/I23</f>
        <v>-1.1625983804605191</v>
      </c>
    </row>
    <row r="24" spans="1:12" x14ac:dyDescent="0.3">
      <c r="A24" s="21">
        <f t="shared" si="6"/>
        <v>22</v>
      </c>
      <c r="B24" s="61">
        <f>+data!B23</f>
        <v>43816.742187999997</v>
      </c>
      <c r="C24" s="61">
        <f t="shared" si="1"/>
        <v>44449.26531100741</v>
      </c>
      <c r="D24" s="61">
        <f t="shared" si="2"/>
        <v>246.97436013655056</v>
      </c>
      <c r="E24" s="61">
        <f t="shared" si="3"/>
        <v>51036.861205098205</v>
      </c>
      <c r="F24" s="61">
        <f t="shared" si="0"/>
        <v>7220.1190170982081</v>
      </c>
      <c r="G24" s="61">
        <f t="shared" si="4"/>
        <v>7220.1190170982081</v>
      </c>
      <c r="H24" s="61">
        <f>+SUMSQ($F$3:F24)/(A24)</f>
        <v>65714381.644132324</v>
      </c>
      <c r="I24" s="61">
        <f>+SUM($G$3:G24)/(A24)</f>
        <v>5740.2535516971056</v>
      </c>
      <c r="J24" s="57">
        <f t="shared" si="5"/>
        <v>16.477991417343592</v>
      </c>
      <c r="K24" s="57">
        <f>+AVERAGE($J$3:J24)</f>
        <v>26.771636983972325</v>
      </c>
      <c r="L24" s="57">
        <f>+SUM($F$3:F24)/I24</f>
        <v>0.10947906492806118</v>
      </c>
    </row>
    <row r="25" spans="1:12" x14ac:dyDescent="0.3">
      <c r="A25" s="8">
        <f t="shared" si="6"/>
        <v>23</v>
      </c>
      <c r="B25" s="60">
        <f>+data!B24</f>
        <v>61320.449219000002</v>
      </c>
      <c r="C25" s="60">
        <f t="shared" si="1"/>
        <v>59864.074758158262</v>
      </c>
      <c r="D25" s="60">
        <f t="shared" si="2"/>
        <v>9911.194401944691</v>
      </c>
      <c r="E25" s="60">
        <f t="shared" si="3"/>
        <v>44696.239671143958</v>
      </c>
      <c r="F25" s="60">
        <f t="shared" si="0"/>
        <v>-16624.209547856044</v>
      </c>
      <c r="G25" s="60">
        <f t="shared" si="4"/>
        <v>16624.209547856044</v>
      </c>
      <c r="H25" s="60">
        <f>+SUMSQ($F$3:F25)/(A25)</f>
        <v>74873075.620084301</v>
      </c>
      <c r="I25" s="60">
        <f>+SUM($G$3:G25)/(A25)</f>
        <v>6213.4690297909719</v>
      </c>
      <c r="J25" s="59">
        <f t="shared" si="5"/>
        <v>27.110384479546624</v>
      </c>
      <c r="K25" s="59">
        <f>+AVERAGE($J$3:J25)</f>
        <v>26.786365135953815</v>
      </c>
      <c r="L25" s="58">
        <f>+SUM($F$3:F25)/I25</f>
        <v>-2.5743705939263979</v>
      </c>
    </row>
    <row r="26" spans="1:12" x14ac:dyDescent="0.3">
      <c r="A26" s="21">
        <f t="shared" si="6"/>
        <v>24</v>
      </c>
      <c r="B26" s="61">
        <f>+data!B25</f>
        <v>56907.964844000002</v>
      </c>
      <c r="C26" s="61">
        <f t="shared" si="1"/>
        <v>58035.213230270965</v>
      </c>
      <c r="D26" s="61">
        <f t="shared" si="2"/>
        <v>2430.9915148387754</v>
      </c>
      <c r="E26" s="61">
        <f t="shared" si="3"/>
        <v>69775.269160102951</v>
      </c>
      <c r="F26" s="61">
        <f t="shared" si="0"/>
        <v>12867.304316102949</v>
      </c>
      <c r="G26" s="61">
        <f t="shared" si="4"/>
        <v>12867.304316102949</v>
      </c>
      <c r="H26" s="61">
        <f>+SUMSQ($F$3:F26)/(A26)</f>
        <v>78652010.817714199</v>
      </c>
      <c r="I26" s="61">
        <f>+SUM($G$3:G26)/(A26)</f>
        <v>6490.7121667206375</v>
      </c>
      <c r="J26" s="57">
        <f t="shared" si="5"/>
        <v>22.610726550098359</v>
      </c>
      <c r="K26" s="57">
        <f>+AVERAGE($J$3:J26)</f>
        <v>26.612380194876504</v>
      </c>
      <c r="L26" s="57">
        <f>+SUM($F$3:F26)/I26</f>
        <v>-0.48199143023221414</v>
      </c>
    </row>
    <row r="27" spans="1:12" x14ac:dyDescent="0.3">
      <c r="A27" s="8">
        <f t="shared" si="6"/>
        <v>25</v>
      </c>
      <c r="B27" s="60">
        <f>+data!B26</f>
        <v>46311.746094000002</v>
      </c>
      <c r="C27" s="60">
        <f t="shared" si="1"/>
        <v>47551.756455224975</v>
      </c>
      <c r="D27" s="60">
        <f t="shared" si="2"/>
        <v>-5797.4780904809468</v>
      </c>
      <c r="E27" s="60">
        <f t="shared" si="3"/>
        <v>60466.204745109739</v>
      </c>
      <c r="F27" s="60">
        <f t="shared" si="0"/>
        <v>14154.458651109737</v>
      </c>
      <c r="G27" s="60">
        <f t="shared" si="4"/>
        <v>14154.458651109737</v>
      </c>
      <c r="H27" s="60">
        <f>+SUMSQ($F$3:F27)/(A27)</f>
        <v>83519878.373244643</v>
      </c>
      <c r="I27" s="60">
        <f>+SUM($G$3:G27)/(A27)</f>
        <v>6797.2620260962021</v>
      </c>
      <c r="J27" s="59">
        <f t="shared" si="5"/>
        <v>30.563431191689709</v>
      </c>
      <c r="K27" s="59">
        <f>+AVERAGE($J$3:J27)</f>
        <v>26.770422234749031</v>
      </c>
      <c r="L27" s="58">
        <f>+SUM($F$3:F27)/I27</f>
        <v>1.6221224028609149</v>
      </c>
    </row>
    <row r="28" spans="1:12" x14ac:dyDescent="0.3">
      <c r="A28" s="21">
        <f t="shared" si="6"/>
        <v>26</v>
      </c>
      <c r="B28" s="61">
        <f>+data!B27</f>
        <v>38481.765625</v>
      </c>
      <c r="C28" s="61">
        <f t="shared" si="1"/>
        <v>38768.456186931537</v>
      </c>
      <c r="D28" s="61">
        <f t="shared" si="2"/>
        <v>-7699.9013675374736</v>
      </c>
      <c r="E28" s="61">
        <f t="shared" si="3"/>
        <v>41754.27836474403</v>
      </c>
      <c r="F28" s="61">
        <f t="shared" si="0"/>
        <v>3272.5127397440301</v>
      </c>
      <c r="G28" s="61">
        <f t="shared" si="4"/>
        <v>3272.5127397440301</v>
      </c>
      <c r="H28" s="61">
        <f>+SUMSQ($F$3:F28)/(A28)</f>
        <v>80719473.037034735</v>
      </c>
      <c r="I28" s="61">
        <f>+SUM($G$3:G28)/(A28)</f>
        <v>6661.694745851888</v>
      </c>
      <c r="J28" s="57">
        <f t="shared" si="5"/>
        <v>8.504060784617467</v>
      </c>
      <c r="K28" s="57">
        <f>+AVERAGE($J$3:J28)</f>
        <v>26.067869871282429</v>
      </c>
      <c r="L28" s="57">
        <f>+SUM($F$3:F28)/I28</f>
        <v>2.1463763045122808</v>
      </c>
    </row>
    <row r="29" spans="1:12" x14ac:dyDescent="0.3">
      <c r="A29" s="8">
        <f t="shared" si="6"/>
        <v>27</v>
      </c>
      <c r="B29" s="60">
        <f>+data!B28</f>
        <v>43194.503905999998</v>
      </c>
      <c r="C29" s="60">
        <f t="shared" si="1"/>
        <v>42132.202416575041</v>
      </c>
      <c r="D29" s="60">
        <f t="shared" si="2"/>
        <v>-650.67356206653858</v>
      </c>
      <c r="E29" s="60">
        <f t="shared" si="3"/>
        <v>31068.554819394063</v>
      </c>
      <c r="F29" s="60">
        <f t="shared" si="0"/>
        <v>-12125.949086605935</v>
      </c>
      <c r="G29" s="60">
        <f t="shared" si="4"/>
        <v>12125.949086605935</v>
      </c>
      <c r="H29" s="60">
        <f>+SUMSQ($F$3:F29)/(A29)</f>
        <v>83175738.526439354</v>
      </c>
      <c r="I29" s="60">
        <f>+SUM($G$3:G29)/(A29)</f>
        <v>6864.0745362501866</v>
      </c>
      <c r="J29" s="59">
        <f t="shared" si="5"/>
        <v>28.072898146936609</v>
      </c>
      <c r="K29" s="59">
        <f>+AVERAGE($J$3:J29)</f>
        <v>26.14213017778814</v>
      </c>
      <c r="L29" s="58">
        <f>+SUM($F$3:F29)/I29</f>
        <v>0.31651093709879424</v>
      </c>
    </row>
    <row r="30" spans="1:12" x14ac:dyDescent="0.3">
      <c r="A30" s="21">
        <f t="shared" si="6"/>
        <v>28</v>
      </c>
      <c r="B30" s="61">
        <f>+data!B29</f>
        <v>45554.164062999997</v>
      </c>
      <c r="C30" s="61">
        <f t="shared" si="1"/>
        <v>45197.378262815182</v>
      </c>
      <c r="D30" s="61">
        <f t="shared" si="2"/>
        <v>1716.8881972805664</v>
      </c>
      <c r="E30" s="61">
        <f t="shared" si="3"/>
        <v>41481.528854508506</v>
      </c>
      <c r="F30" s="61">
        <f t="shared" si="0"/>
        <v>-4072.6352084914906</v>
      </c>
      <c r="G30" s="61">
        <f t="shared" si="4"/>
        <v>4072.6352084914906</v>
      </c>
      <c r="H30" s="61">
        <f>+SUMSQ($F$3:F30)/(A30)</f>
        <v>80797546.348403811</v>
      </c>
      <c r="I30" s="61">
        <f>+SUM($G$3:G30)/(A30)</f>
        <v>6764.3802745445191</v>
      </c>
      <c r="J30" s="57">
        <f t="shared" si="5"/>
        <v>8.9402040236303364</v>
      </c>
      <c r="K30" s="57">
        <f>+AVERAGE($J$3:J30)</f>
        <v>25.527775672282505</v>
      </c>
      <c r="L30" s="57">
        <f>+SUM($F$3:F30)/I30</f>
        <v>-0.28089499223709963</v>
      </c>
    </row>
    <row r="31" spans="1:12" x14ac:dyDescent="0.3">
      <c r="A31" s="8">
        <f t="shared" si="6"/>
        <v>29</v>
      </c>
      <c r="B31" s="60">
        <f>+data!B30</f>
        <v>37713.265625</v>
      </c>
      <c r="C31" s="60">
        <f t="shared" si="1"/>
        <v>38519.325160753695</v>
      </c>
      <c r="D31" s="60">
        <f t="shared" si="2"/>
        <v>-3631.9674231476229</v>
      </c>
      <c r="E31" s="60">
        <f t="shared" si="3"/>
        <v>46914.266460095751</v>
      </c>
      <c r="F31" s="60">
        <f t="shared" si="0"/>
        <v>9201.0008350957505</v>
      </c>
      <c r="G31" s="60">
        <f t="shared" si="4"/>
        <v>9201.0008350957505</v>
      </c>
      <c r="H31" s="60">
        <f>+SUMSQ($F$3:F31)/(A31)</f>
        <v>80930679.797335833</v>
      </c>
      <c r="I31" s="60">
        <f>+SUM($G$3:G31)/(A31)</f>
        <v>6848.4016731842157</v>
      </c>
      <c r="J31" s="59">
        <f t="shared" si="5"/>
        <v>24.397253015916068</v>
      </c>
      <c r="K31" s="59">
        <f>+AVERAGE($J$3:J31)</f>
        <v>25.488792132407799</v>
      </c>
      <c r="L31" s="58">
        <f>+SUM($F$3:F31)/I31</f>
        <v>1.0660765297947485</v>
      </c>
    </row>
    <row r="32" spans="1:12" x14ac:dyDescent="0.3">
      <c r="A32" s="21">
        <f t="shared" si="6"/>
        <v>30</v>
      </c>
      <c r="B32" s="61">
        <f>+data!B31</f>
        <v>31792.554688</v>
      </c>
      <c r="C32" s="61">
        <f t="shared" si="1"/>
        <v>32063.676879392413</v>
      </c>
      <c r="D32" s="61">
        <f t="shared" si="2"/>
        <v>-5431.0819958648071</v>
      </c>
      <c r="E32" s="61">
        <f t="shared" si="3"/>
        <v>34887.357737606071</v>
      </c>
      <c r="F32" s="61">
        <f t="shared" si="0"/>
        <v>3094.803049606071</v>
      </c>
      <c r="G32" s="61">
        <f t="shared" si="4"/>
        <v>3094.803049606071</v>
      </c>
      <c r="H32" s="61">
        <f>+SUMSQ($F$3:F32)/(A32)</f>
        <v>78552250.667953014</v>
      </c>
      <c r="I32" s="61">
        <f>+SUM($G$3:G32)/(A32)</f>
        <v>6723.2817190649448</v>
      </c>
      <c r="J32" s="57">
        <f t="shared" si="5"/>
        <v>9.7343641616010022</v>
      </c>
      <c r="K32" s="57">
        <f>+AVERAGE($J$3:J32)</f>
        <v>24.963644533380904</v>
      </c>
      <c r="L32" s="57">
        <f>+SUM($F$3:F32)/I32</f>
        <v>1.5462275380363888</v>
      </c>
    </row>
    <row r="33" spans="1:12" x14ac:dyDescent="0.3">
      <c r="A33" s="8">
        <f t="shared" si="6"/>
        <v>31</v>
      </c>
      <c r="B33" s="60">
        <f>+data!B32</f>
        <v>19820.470702999999</v>
      </c>
      <c r="C33" s="60">
        <f t="shared" si="1"/>
        <v>20417.251178609578</v>
      </c>
      <c r="D33" s="60">
        <f t="shared" si="2"/>
        <v>-9391.2021353051277</v>
      </c>
      <c r="E33" s="60">
        <f t="shared" si="3"/>
        <v>26632.594883527607</v>
      </c>
      <c r="F33" s="60">
        <f t="shared" si="0"/>
        <v>6812.1241805276077</v>
      </c>
      <c r="G33" s="60">
        <f t="shared" si="4"/>
        <v>6812.1241805276077</v>
      </c>
      <c r="H33" s="60">
        <f>+SUMSQ($F$3:F33)/(A33)</f>
        <v>77515243.738371581</v>
      </c>
      <c r="I33" s="60">
        <f>+SUM($G$3:G33)/(A33)</f>
        <v>6726.1476049185785</v>
      </c>
      <c r="J33" s="59">
        <f t="shared" si="5"/>
        <v>34.369134227960259</v>
      </c>
      <c r="K33" s="59">
        <f>+AVERAGE($J$3:J33)</f>
        <v>25.267047426754431</v>
      </c>
      <c r="L33" s="58">
        <f>+SUM($F$3:F33)/I33</f>
        <v>2.558351158981258</v>
      </c>
    </row>
    <row r="34" spans="1:12" x14ac:dyDescent="0.3">
      <c r="A34" s="21">
        <f t="shared" si="6"/>
        <v>32</v>
      </c>
      <c r="B34" s="61">
        <f>+data!B33</f>
        <v>23336.71875</v>
      </c>
      <c r="C34" s="61">
        <f t="shared" si="1"/>
        <v>22258.234693054164</v>
      </c>
      <c r="D34" s="61">
        <f t="shared" si="2"/>
        <v>-2234.5899327796287</v>
      </c>
      <c r="E34" s="61">
        <f t="shared" si="3"/>
        <v>11026.049043304451</v>
      </c>
      <c r="F34" s="61">
        <f t="shared" si="0"/>
        <v>-12310.669706695549</v>
      </c>
      <c r="G34" s="61">
        <f t="shared" si="4"/>
        <v>12310.669706695549</v>
      </c>
      <c r="H34" s="61">
        <f>+SUMSQ($F$3:F34)/(A34)</f>
        <v>79828910.766152203</v>
      </c>
      <c r="I34" s="61">
        <f>+SUM($G$3:G34)/(A34)</f>
        <v>6900.6639205991087</v>
      </c>
      <c r="J34" s="57">
        <f t="shared" si="5"/>
        <v>52.752359226575287</v>
      </c>
      <c r="K34" s="57">
        <f>+AVERAGE($J$3:J34)</f>
        <v>26.125963420498834</v>
      </c>
      <c r="L34" s="57">
        <f>+SUM($F$3:F34)/I34</f>
        <v>0.70966763056064597</v>
      </c>
    </row>
    <row r="35" spans="1:12" x14ac:dyDescent="0.3">
      <c r="A35" s="8">
        <f t="shared" si="6"/>
        <v>33</v>
      </c>
      <c r="B35" s="60">
        <f>+data!B34</f>
        <v>20050.498047000001</v>
      </c>
      <c r="C35" s="60">
        <f t="shared" si="1"/>
        <v>20048.14554772092</v>
      </c>
      <c r="D35" s="60">
        <f t="shared" si="2"/>
        <v>-2218.9792012730509</v>
      </c>
      <c r="E35" s="60">
        <f t="shared" si="3"/>
        <v>20023.644760274536</v>
      </c>
      <c r="F35" s="60">
        <f t="shared" si="0"/>
        <v>-26.853286725465296</v>
      </c>
      <c r="G35" s="60">
        <f t="shared" si="4"/>
        <v>26.853286725465296</v>
      </c>
      <c r="H35" s="60">
        <f>+SUMSQ($F$3:F35)/(A35)</f>
        <v>77409874.715632677</v>
      </c>
      <c r="I35" s="60">
        <f>+SUM($G$3:G35)/(A35)</f>
        <v>6692.3666286635435</v>
      </c>
      <c r="J35" s="59">
        <f t="shared" si="5"/>
        <v>0.13392827780396779</v>
      </c>
      <c r="K35" s="59">
        <f>+AVERAGE($J$3:J35)</f>
        <v>25.338325991932322</v>
      </c>
      <c r="L35" s="58">
        <f>+SUM($F$3:F35)/I35</f>
        <v>0.72774323305028488</v>
      </c>
    </row>
    <row r="36" spans="1:12" x14ac:dyDescent="0.3">
      <c r="A36" s="21">
        <f t="shared" si="6"/>
        <v>34</v>
      </c>
      <c r="B36" s="61">
        <f>+data!B35</f>
        <v>19431.105468999998</v>
      </c>
      <c r="C36" s="61">
        <f t="shared" si="1"/>
        <v>19290.766572332937</v>
      </c>
      <c r="D36" s="61">
        <f t="shared" si="2"/>
        <v>-1287.7173491315502</v>
      </c>
      <c r="E36" s="61">
        <f t="shared" si="3"/>
        <v>17829.16634644787</v>
      </c>
      <c r="F36" s="61">
        <f t="shared" si="0"/>
        <v>-1601.9391225521285</v>
      </c>
      <c r="G36" s="61">
        <f t="shared" si="4"/>
        <v>1601.9391225521285</v>
      </c>
      <c r="H36" s="61">
        <f>+SUMSQ($F$3:F36)/(A36)</f>
        <v>75208590.42847769</v>
      </c>
      <c r="I36" s="61">
        <f>+SUM($G$3:G36)/(A36)</f>
        <v>6542.6481726014435</v>
      </c>
      <c r="J36" s="57">
        <f t="shared" si="5"/>
        <v>8.2441996164748872</v>
      </c>
      <c r="K36" s="57">
        <f>+AVERAGE($J$3:J36)</f>
        <v>24.835557569124752</v>
      </c>
      <c r="L36" s="57">
        <f>+SUM($F$3:F36)/I36</f>
        <v>0.49955084215536538</v>
      </c>
    </row>
    <row r="37" spans="1:12" x14ac:dyDescent="0.3">
      <c r="A37" s="8">
        <f t="shared" si="6"/>
        <v>35</v>
      </c>
      <c r="B37" s="60">
        <f>+data!B36</f>
        <v>20494.898438</v>
      </c>
      <c r="C37" s="60">
        <f t="shared" si="1"/>
        <v>20276.598401161904</v>
      </c>
      <c r="D37" s="60">
        <f t="shared" si="2"/>
        <v>160.87959338752347</v>
      </c>
      <c r="E37" s="60">
        <f t="shared" si="3"/>
        <v>18003.049223201386</v>
      </c>
      <c r="F37" s="60">
        <f t="shared" si="0"/>
        <v>-2491.8492147986144</v>
      </c>
      <c r="G37" s="60">
        <f t="shared" si="4"/>
        <v>2491.8492147986144</v>
      </c>
      <c r="H37" s="60">
        <f>+SUMSQ($F$3:F37)/(A37)</f>
        <v>73237182.487929553</v>
      </c>
      <c r="I37" s="60">
        <f>+SUM($G$3:G37)/(A37)</f>
        <v>6426.9110595213633</v>
      </c>
      <c r="J37" s="59">
        <f t="shared" si="5"/>
        <v>12.158387719445475</v>
      </c>
      <c r="K37" s="59">
        <f>+AVERAGE($J$3:J37)</f>
        <v>24.473352716276775</v>
      </c>
      <c r="L37" s="58">
        <f>+SUM($F$3:F37)/I37</f>
        <v>0.12082572522927224</v>
      </c>
    </row>
    <row r="38" spans="1:12" x14ac:dyDescent="0.3">
      <c r="A38" s="21">
        <f t="shared" si="6"/>
        <v>36</v>
      </c>
      <c r="B38" s="61">
        <f>+data!B37</f>
        <v>17168.001952999999</v>
      </c>
      <c r="C38" s="61">
        <f t="shared" si="1"/>
        <v>17454.426483052954</v>
      </c>
      <c r="D38" s="61">
        <f t="shared" si="2"/>
        <v>-1739.778347430389</v>
      </c>
      <c r="E38" s="61">
        <f t="shared" si="3"/>
        <v>20437.477994549427</v>
      </c>
      <c r="F38" s="61">
        <f t="shared" si="0"/>
        <v>3269.4760415494275</v>
      </c>
      <c r="G38" s="61">
        <f t="shared" si="4"/>
        <v>3269.4760415494275</v>
      </c>
      <c r="H38" s="61">
        <f>+SUMSQ($F$3:F38)/(A38)</f>
        <v>71499746.129549995</v>
      </c>
      <c r="I38" s="61">
        <f>+SUM($G$3:G38)/(A38)</f>
        <v>6339.2045312443652</v>
      </c>
      <c r="J38" s="57">
        <f t="shared" si="5"/>
        <v>19.044010191169086</v>
      </c>
      <c r="K38" s="57">
        <f>+AVERAGE($J$3:J38)</f>
        <v>24.322537646134894</v>
      </c>
      <c r="L38" s="57">
        <f>+SUM($F$3:F38)/I38</f>
        <v>0.63825235664164748</v>
      </c>
    </row>
    <row r="39" spans="1:12" x14ac:dyDescent="0.3">
      <c r="A39" s="8">
        <f t="shared" si="6"/>
        <v>37</v>
      </c>
      <c r="B39" s="60">
        <f>+data!B38</f>
        <v>16547.914063</v>
      </c>
      <c r="C39" s="60">
        <f t="shared" si="1"/>
        <v>16474.915270953457</v>
      </c>
      <c r="D39" s="60">
        <f t="shared" si="2"/>
        <v>-1255.3724421550064</v>
      </c>
      <c r="E39" s="60">
        <f t="shared" si="3"/>
        <v>15714.648135622565</v>
      </c>
      <c r="F39" s="60">
        <f t="shared" si="0"/>
        <v>-833.26592737743522</v>
      </c>
      <c r="G39" s="60">
        <f t="shared" si="4"/>
        <v>833.26592737743522</v>
      </c>
      <c r="H39" s="60">
        <f>+SUMSQ($F$3:F39)/(A39)</f>
        <v>69586086.291068316</v>
      </c>
      <c r="I39" s="60">
        <f>+SUM($G$3:G39)/(A39)</f>
        <v>6190.3953797885024</v>
      </c>
      <c r="J39" s="59">
        <f t="shared" si="5"/>
        <v>5.0354741038966395</v>
      </c>
      <c r="K39" s="59">
        <f>+AVERAGE($J$3:J39)</f>
        <v>23.801265658506832</v>
      </c>
      <c r="L39" s="58">
        <f>+SUM($F$3:F39)/I39</f>
        <v>0.51898887014749229</v>
      </c>
    </row>
    <row r="40" spans="1:12" x14ac:dyDescent="0.3">
      <c r="A40" s="21">
        <f t="shared" si="6"/>
        <v>38</v>
      </c>
      <c r="B40" s="61">
        <f>+data!B39</f>
        <v>23137.835938</v>
      </c>
      <c r="C40" s="61">
        <f t="shared" si="1"/>
        <v>22444.148829178186</v>
      </c>
      <c r="D40" s="61">
        <f t="shared" si="2"/>
        <v>3347.8014256049751</v>
      </c>
      <c r="E40" s="61">
        <f t="shared" si="3"/>
        <v>15219.542828798451</v>
      </c>
      <c r="F40" s="61">
        <f t="shared" si="0"/>
        <v>-7918.2931092015497</v>
      </c>
      <c r="G40" s="61">
        <f t="shared" si="4"/>
        <v>7918.2931092015497</v>
      </c>
      <c r="H40" s="61">
        <f>+SUMSQ($F$3:F40)/(A40)</f>
        <v>69404856.803493604</v>
      </c>
      <c r="I40" s="61">
        <f>+SUM($G$3:G40)/(A40)</f>
        <v>6235.8663726677942</v>
      </c>
      <c r="J40" s="57">
        <f t="shared" si="5"/>
        <v>34.222271825331276</v>
      </c>
      <c r="K40" s="57">
        <f>+AVERAGE($J$3:J40)</f>
        <v>24.075502662896948</v>
      </c>
      <c r="L40" s="57">
        <f>+SUM($F$3:F40)/I40</f>
        <v>-0.75459391270851706</v>
      </c>
    </row>
    <row r="41" spans="1:12" x14ac:dyDescent="0.3">
      <c r="A41" s="8">
        <f t="shared" si="6"/>
        <v>39</v>
      </c>
      <c r="B41" s="60">
        <f>+data!B40</f>
        <v>23150.929688</v>
      </c>
      <c r="C41" s="60">
        <f t="shared" si="1"/>
        <v>23382.297976095047</v>
      </c>
      <c r="D41" s="60">
        <f t="shared" si="2"/>
        <v>1812.4860881232626</v>
      </c>
      <c r="E41" s="60">
        <f t="shared" si="3"/>
        <v>25791.950254783162</v>
      </c>
      <c r="F41" s="60">
        <f t="shared" si="0"/>
        <v>2641.0205667831615</v>
      </c>
      <c r="G41" s="60">
        <f t="shared" si="4"/>
        <v>2641.0205667831615</v>
      </c>
      <c r="H41" s="60">
        <f>+SUMSQ($F$3:F41)/(A41)</f>
        <v>67804090.978639185</v>
      </c>
      <c r="I41" s="60">
        <f>+SUM($G$3:G41)/(A41)</f>
        <v>6143.6908391835723</v>
      </c>
      <c r="J41" s="59">
        <f t="shared" si="5"/>
        <v>11.407838053916693</v>
      </c>
      <c r="K41" s="59">
        <f>+AVERAGE($J$3:J41)</f>
        <v>23.750690749846175</v>
      </c>
      <c r="L41" s="58">
        <f>+SUM($F$3:F41)/I41</f>
        <v>-0.33604006004476117</v>
      </c>
    </row>
    <row r="42" spans="1:12" x14ac:dyDescent="0.3">
      <c r="A42" s="21">
        <f t="shared" si="6"/>
        <v>40</v>
      </c>
      <c r="B42" s="61">
        <f>+data!B41</f>
        <v>28473.332031000002</v>
      </c>
      <c r="C42" s="61">
        <f t="shared" si="1"/>
        <v>28186.11274916165</v>
      </c>
      <c r="D42" s="61">
        <f t="shared" si="2"/>
        <v>3718.4178485110629</v>
      </c>
      <c r="E42" s="61">
        <f t="shared" si="3"/>
        <v>25194.784064218311</v>
      </c>
      <c r="F42" s="61">
        <f t="shared" si="0"/>
        <v>-3278.5479667816908</v>
      </c>
      <c r="G42" s="61">
        <f t="shared" si="4"/>
        <v>3278.5479667816908</v>
      </c>
      <c r="H42" s="61">
        <f>+SUMSQ($F$3:F42)/(A42)</f>
        <v>66377710.623435415</v>
      </c>
      <c r="I42" s="61">
        <f>+SUM($G$3:G42)/(A42)</f>
        <v>6072.0622673735252</v>
      </c>
      <c r="J42" s="57">
        <f t="shared" si="5"/>
        <v>11.514451358247117</v>
      </c>
      <c r="K42" s="57">
        <f>+AVERAGE($J$3:J42)</f>
        <v>23.444784765056198</v>
      </c>
      <c r="L42" s="57">
        <f>+SUM($F$3:F42)/I42</f>
        <v>-0.87994390867611083</v>
      </c>
    </row>
    <row r="43" spans="1:12" x14ac:dyDescent="0.3">
      <c r="A43" s="8">
        <f t="shared" si="6"/>
        <v>41</v>
      </c>
      <c r="B43" s="60">
        <f>+data!B42</f>
        <v>29227.103515999999</v>
      </c>
      <c r="C43" s="60">
        <f t="shared" si="1"/>
        <v>29461.661220009275</v>
      </c>
      <c r="D43" s="60">
        <f t="shared" si="2"/>
        <v>2161.9381621419552</v>
      </c>
      <c r="E43" s="60">
        <f t="shared" si="3"/>
        <v>31904.530597672714</v>
      </c>
      <c r="F43" s="60">
        <f t="shared" si="0"/>
        <v>2677.4270816727148</v>
      </c>
      <c r="G43" s="60">
        <f t="shared" si="4"/>
        <v>2677.4270816727148</v>
      </c>
      <c r="H43" s="60">
        <f>+SUMSQ($F$3:F43)/(A43)</f>
        <v>64933586.358904667</v>
      </c>
      <c r="I43" s="60">
        <f>+SUM($G$3:G43)/(A43)</f>
        <v>5989.2662872344808</v>
      </c>
      <c r="J43" s="59">
        <f t="shared" si="5"/>
        <v>9.1607677791505822</v>
      </c>
      <c r="K43" s="59">
        <f>+AVERAGE($J$3:J43)</f>
        <v>23.096394106863379</v>
      </c>
      <c r="L43" s="58">
        <f>+SUM($F$3:F43)/I43</f>
        <v>-0.44507073083162652</v>
      </c>
    </row>
    <row r="44" spans="1:12" x14ac:dyDescent="0.3">
      <c r="A44" s="21">
        <f t="shared" si="6"/>
        <v>42</v>
      </c>
      <c r="B44" s="61">
        <f>+data!B43</f>
        <v>27218.412109000001</v>
      </c>
      <c r="C44" s="61">
        <f t="shared" si="1"/>
        <v>27604.331344520579</v>
      </c>
      <c r="D44" s="61">
        <f t="shared" si="2"/>
        <v>-398.9474553397315</v>
      </c>
      <c r="E44" s="61">
        <f t="shared" si="3"/>
        <v>31623.599382151231</v>
      </c>
      <c r="F44" s="61">
        <f t="shared" si="0"/>
        <v>4405.1872731512303</v>
      </c>
      <c r="G44" s="61">
        <f t="shared" si="4"/>
        <v>4405.1872731512303</v>
      </c>
      <c r="H44" s="61">
        <f>+SUMSQ($F$3:F44)/(A44)</f>
        <v>63849588.467300586</v>
      </c>
      <c r="I44" s="61">
        <f>+SUM($G$3:G44)/(A44)</f>
        <v>5951.5501202324986</v>
      </c>
      <c r="J44" s="57">
        <f t="shared" si="5"/>
        <v>16.184585843986902</v>
      </c>
      <c r="K44" s="57">
        <f>+AVERAGE($J$3:J44)</f>
        <v>22.931827243461559</v>
      </c>
      <c r="L44" s="57">
        <f>+SUM($F$3:F44)/I44</f>
        <v>0.29228354200243251</v>
      </c>
    </row>
    <row r="45" spans="1:12" x14ac:dyDescent="0.3">
      <c r="A45" s="8">
        <f t="shared" si="6"/>
        <v>43</v>
      </c>
      <c r="B45" s="60">
        <f>+data!B44</f>
        <v>30471.847656000002</v>
      </c>
      <c r="C45" s="60">
        <f t="shared" si="1"/>
        <v>30185.687018192482</v>
      </c>
      <c r="D45" s="60">
        <f t="shared" si="2"/>
        <v>1499.9593474324311</v>
      </c>
      <c r="E45" s="60">
        <f t="shared" si="3"/>
        <v>27205.383889180848</v>
      </c>
      <c r="F45" s="60">
        <f t="shared" si="0"/>
        <v>-3266.4637668191535</v>
      </c>
      <c r="G45" s="60">
        <f t="shared" si="4"/>
        <v>3266.4637668191535</v>
      </c>
      <c r="H45" s="60">
        <f>+SUMSQ($F$3:F45)/(A45)</f>
        <v>62612848.864338763</v>
      </c>
      <c r="I45" s="60">
        <f>+SUM($G$3:G45)/(A45)</f>
        <v>5889.1062515484673</v>
      </c>
      <c r="J45" s="59">
        <f t="shared" si="5"/>
        <v>10.719611766554552</v>
      </c>
      <c r="K45" s="59">
        <f>+AVERAGE($J$3:J45)</f>
        <v>22.647822232370697</v>
      </c>
      <c r="L45" s="58">
        <f>+SUM($F$3:F45)/I45</f>
        <v>-0.25927934597395152</v>
      </c>
    </row>
    <row r="46" spans="1:12" x14ac:dyDescent="0.3">
      <c r="A46" s="21">
        <f t="shared" si="6"/>
        <v>44</v>
      </c>
      <c r="B46" s="61">
        <f>+data!B45</f>
        <v>29230.873047000001</v>
      </c>
      <c r="C46" s="61">
        <f t="shared" si="1"/>
        <v>29445.925026350327</v>
      </c>
      <c r="D46" s="61">
        <f t="shared" si="2"/>
        <v>72.915887973013639</v>
      </c>
      <c r="E46" s="61">
        <f t="shared" si="3"/>
        <v>31685.646365624914</v>
      </c>
      <c r="F46" s="61">
        <f t="shared" si="0"/>
        <v>2454.7733186249134</v>
      </c>
      <c r="G46" s="61">
        <f t="shared" si="4"/>
        <v>2454.7733186249134</v>
      </c>
      <c r="H46" s="61">
        <f>+SUMSQ($F$3:F46)/(A46)</f>
        <v>61326782.118463628</v>
      </c>
      <c r="I46" s="61">
        <f>+SUM($G$3:G46)/(A46)</f>
        <v>5811.0532303456594</v>
      </c>
      <c r="J46" s="57">
        <f t="shared" si="5"/>
        <v>8.397878895638561</v>
      </c>
      <c r="K46" s="57">
        <f>+AVERAGE($J$3:J46)</f>
        <v>22.323959883808602</v>
      </c>
      <c r="L46" s="57">
        <f>+SUM($F$3:F46)/I46</f>
        <v>0.15966979901458003</v>
      </c>
    </row>
    <row r="47" spans="1:12" x14ac:dyDescent="0.3">
      <c r="A47" s="8">
        <f t="shared" si="6"/>
        <v>45</v>
      </c>
      <c r="B47" s="60">
        <f>+data!B46</f>
        <v>25934.021484000001</v>
      </c>
      <c r="C47" s="60">
        <f t="shared" si="1"/>
        <v>26248.071872382254</v>
      </c>
      <c r="D47" s="60">
        <f t="shared" si="2"/>
        <v>-2011.0619207199729</v>
      </c>
      <c r="E47" s="60">
        <f t="shared" si="3"/>
        <v>29518.84091432334</v>
      </c>
      <c r="F47" s="60">
        <f t="shared" si="0"/>
        <v>3584.8194303233395</v>
      </c>
      <c r="G47" s="60">
        <f t="shared" si="4"/>
        <v>3584.8194303233395</v>
      </c>
      <c r="H47" s="60">
        <f>+SUMSQ($F$3:F47)/(A47)</f>
        <v>60249540.968009405</v>
      </c>
      <c r="I47" s="60">
        <f>+SUM($G$3:G47)/(A47)</f>
        <v>5761.5813681229411</v>
      </c>
      <c r="J47" s="59">
        <f t="shared" si="5"/>
        <v>13.822844376584612</v>
      </c>
      <c r="K47" s="59">
        <f>+AVERAGE($J$3:J47)</f>
        <v>22.135046205870292</v>
      </c>
      <c r="L47" s="58">
        <f>+SUM($F$3:F47)/I47</f>
        <v>0.78323447042557937</v>
      </c>
    </row>
    <row r="48" spans="1:12" x14ac:dyDescent="0.3">
      <c r="A48" s="21">
        <f t="shared" si="6"/>
        <v>46</v>
      </c>
      <c r="B48" s="61">
        <f>+data!B47</f>
        <v>26967.396484000001</v>
      </c>
      <c r="C48" s="61">
        <f t="shared" si="1"/>
        <v>26728.199233599862</v>
      </c>
      <c r="D48" s="61">
        <f t="shared" si="2"/>
        <v>-423.79509929661981</v>
      </c>
      <c r="E48" s="61">
        <f t="shared" si="3"/>
        <v>24237.009951662279</v>
      </c>
      <c r="F48" s="61">
        <f t="shared" si="0"/>
        <v>-2730.3865323377213</v>
      </c>
      <c r="G48" s="61">
        <f t="shared" si="4"/>
        <v>2730.3865323377213</v>
      </c>
      <c r="H48" s="61">
        <f>+SUMSQ($F$3:F48)/(A48)</f>
        <v>59101833.78644336</v>
      </c>
      <c r="I48" s="61">
        <f>+SUM($G$3:G48)/(A48)</f>
        <v>5695.6858282145668</v>
      </c>
      <c r="J48" s="57">
        <f t="shared" si="5"/>
        <v>10.124768751620811</v>
      </c>
      <c r="K48" s="57">
        <f>+AVERAGE($J$3:J48)</f>
        <v>21.873953217734432</v>
      </c>
      <c r="L48" s="57">
        <f>+SUM($F$3:F48)/I48</f>
        <v>0.31291799672465953</v>
      </c>
    </row>
    <row r="49" spans="1:12" x14ac:dyDescent="0.3">
      <c r="A49" s="8">
        <f t="shared" si="6"/>
        <v>47</v>
      </c>
      <c r="B49" s="60">
        <f>+data!B48</f>
        <v>34657.273437999997</v>
      </c>
      <c r="C49" s="60">
        <f t="shared" si="1"/>
        <v>33925.515004996982</v>
      </c>
      <c r="D49" s="60">
        <f t="shared" si="2"/>
        <v>4432.0127331907188</v>
      </c>
      <c r="E49" s="60">
        <f t="shared" si="3"/>
        <v>26304.404134303244</v>
      </c>
      <c r="F49" s="60">
        <f t="shared" si="0"/>
        <v>-8352.8693036967525</v>
      </c>
      <c r="G49" s="60">
        <f t="shared" si="4"/>
        <v>8352.8693036967525</v>
      </c>
      <c r="H49" s="60">
        <f>+SUMSQ($F$3:F49)/(A49)</f>
        <v>59328825.101724125</v>
      </c>
      <c r="I49" s="60">
        <f>+SUM($G$3:G49)/(A49)</f>
        <v>5752.2216468418474</v>
      </c>
      <c r="J49" s="59">
        <f t="shared" si="5"/>
        <v>24.101345764084954</v>
      </c>
      <c r="K49" s="59">
        <f>+AVERAGE($J$3:J49)</f>
        <v>21.921344548507843</v>
      </c>
      <c r="L49" s="58">
        <f>+SUM($F$3:F49)/I49</f>
        <v>-1.1422693887267501</v>
      </c>
    </row>
    <row r="50" spans="1:12" x14ac:dyDescent="0.3">
      <c r="A50" s="21">
        <f t="shared" si="6"/>
        <v>48</v>
      </c>
      <c r="B50" s="61">
        <f>+data!B49</f>
        <v>37718.007812999997</v>
      </c>
      <c r="C50" s="61">
        <f t="shared" si="1"/>
        <v>37774.033363180992</v>
      </c>
      <c r="D50" s="61">
        <f t="shared" si="2"/>
        <v>4060.2379874295452</v>
      </c>
      <c r="E50" s="61">
        <f t="shared" si="3"/>
        <v>38357.527738187702</v>
      </c>
      <c r="F50" s="61">
        <f t="shared" si="0"/>
        <v>639.51992518770567</v>
      </c>
      <c r="G50" s="61">
        <f t="shared" si="4"/>
        <v>639.51992518770567</v>
      </c>
      <c r="H50" s="61">
        <f>+SUMSQ($F$3:F50)/(A50)</f>
        <v>58101328.448244713</v>
      </c>
      <c r="I50" s="61">
        <f>+SUM($G$3:G50)/(A50)</f>
        <v>5645.7070276407185</v>
      </c>
      <c r="J50" s="57">
        <f t="shared" si="5"/>
        <v>1.695529436120661</v>
      </c>
      <c r="K50" s="57">
        <f>+AVERAGE($J$3:J50)</f>
        <v>21.499973400333115</v>
      </c>
      <c r="L50" s="57">
        <f>+SUM($F$3:F50)/I50</f>
        <v>-1.0505445553822232</v>
      </c>
    </row>
    <row r="51" spans="1:12" x14ac:dyDescent="0.3">
      <c r="A51" s="8">
        <f t="shared" si="6"/>
        <v>49</v>
      </c>
      <c r="B51" s="60">
        <f>+data!B50</f>
        <v>42280.234375</v>
      </c>
      <c r="C51" s="60">
        <f t="shared" si="1"/>
        <v>42241.165500336763</v>
      </c>
      <c r="D51" s="60">
        <f t="shared" si="2"/>
        <v>4319.4915047654022</v>
      </c>
      <c r="E51" s="60">
        <f t="shared" si="3"/>
        <v>41834.271350610536</v>
      </c>
      <c r="F51" s="60">
        <f t="shared" si="0"/>
        <v>-445.96302438946441</v>
      </c>
      <c r="G51" s="60">
        <f t="shared" si="4"/>
        <v>445.96302438946441</v>
      </c>
      <c r="H51" s="60">
        <f>+SUMSQ($F$3:F51)/(A51)</f>
        <v>56919645.888466708</v>
      </c>
      <c r="I51" s="60">
        <f>+SUM($G$3:G51)/(A51)</f>
        <v>5539.589803084571</v>
      </c>
      <c r="J51" s="59">
        <f t="shared" si="5"/>
        <v>1.0547789788345145</v>
      </c>
      <c r="K51" s="59">
        <f>+AVERAGE($J$3:J51)</f>
        <v>21.082724534588245</v>
      </c>
      <c r="L51" s="58">
        <f>+SUM($F$3:F51)/I51</f>
        <v>-1.1511736482744082</v>
      </c>
    </row>
    <row r="52" spans="1:12" x14ac:dyDescent="0.3">
      <c r="A52" s="21">
        <f t="shared" si="6"/>
        <v>50</v>
      </c>
      <c r="B52" s="61">
        <f>+data!B51</f>
        <v>42569.761719000002</v>
      </c>
      <c r="C52" s="61">
        <f t="shared" si="1"/>
        <v>42919.386641246158</v>
      </c>
      <c r="D52" s="61">
        <f t="shared" si="2"/>
        <v>1999.4479503529051</v>
      </c>
      <c r="E52" s="61">
        <f t="shared" si="3"/>
        <v>46560.657005102163</v>
      </c>
      <c r="F52" s="61">
        <f t="shared" si="0"/>
        <v>3990.8952861021608</v>
      </c>
      <c r="G52" s="61">
        <f t="shared" si="4"/>
        <v>3990.8952861021608</v>
      </c>
      <c r="H52" s="61">
        <f>+SUMSQ($F$3:F52)/(A52)</f>
        <v>56099797.874390021</v>
      </c>
      <c r="I52" s="61">
        <f>+SUM($G$3:G52)/(A52)</f>
        <v>5508.6159127449218</v>
      </c>
      <c r="J52" s="57">
        <f t="shared" si="5"/>
        <v>9.3749533118032922</v>
      </c>
      <c r="K52" s="57">
        <f>+AVERAGE($J$3:J52)</f>
        <v>20.848569110132544</v>
      </c>
      <c r="L52" s="57">
        <f>+SUM($F$3:F52)/I52</f>
        <v>-0.43316407519677902</v>
      </c>
    </row>
    <row r="53" spans="1:12" x14ac:dyDescent="0.3">
      <c r="A53" s="8">
        <f t="shared" si="6"/>
        <v>51</v>
      </c>
      <c r="B53" s="60">
        <f>+data!B52</f>
        <v>61168.0625</v>
      </c>
      <c r="C53" s="60">
        <f t="shared" si="1"/>
        <v>59744.538544405739</v>
      </c>
      <c r="D53" s="60">
        <f t="shared" si="2"/>
        <v>11445.678374976545</v>
      </c>
      <c r="E53" s="60">
        <f t="shared" si="3"/>
        <v>44918.834591599065</v>
      </c>
      <c r="F53" s="60">
        <f t="shared" si="0"/>
        <v>-16249.227908400935</v>
      </c>
      <c r="G53" s="60">
        <f t="shared" si="4"/>
        <v>16249.227908400935</v>
      </c>
      <c r="H53" s="60">
        <f>+SUMSQ($F$3:F53)/(A53)</f>
        <v>60177005.908601113</v>
      </c>
      <c r="I53" s="60">
        <f>+SUM($G$3:G53)/(A53)</f>
        <v>5719.2161479538636</v>
      </c>
      <c r="J53" s="59">
        <f t="shared" si="5"/>
        <v>26.564889002984089</v>
      </c>
      <c r="K53" s="59">
        <f>+AVERAGE($J$3:J53)</f>
        <v>20.960653813913947</v>
      </c>
      <c r="L53" s="58">
        <f>+SUM($F$3:F53)/I53</f>
        <v>-3.2583770124733671</v>
      </c>
    </row>
    <row r="54" spans="1:12" x14ac:dyDescent="0.3">
      <c r="A54" s="21">
        <f t="shared" si="6"/>
        <v>52</v>
      </c>
      <c r="B54" s="61">
        <f>+data!B53</f>
        <v>71333.484375</v>
      </c>
      <c r="C54" s="61">
        <f t="shared" si="1"/>
        <v>71320.933338342846</v>
      </c>
      <c r="D54" s="61">
        <f t="shared" si="2"/>
        <v>11528.9646336064</v>
      </c>
      <c r="E54" s="61">
        <f t="shared" si="3"/>
        <v>71190.216919382277</v>
      </c>
      <c r="F54" s="61">
        <f t="shared" si="0"/>
        <v>-143.26745561772259</v>
      </c>
      <c r="G54" s="61">
        <f t="shared" si="4"/>
        <v>143.26745561772259</v>
      </c>
      <c r="H54" s="61">
        <f>+SUMSQ($F$3:F54)/(A54)</f>
        <v>59020150.517355688</v>
      </c>
      <c r="I54" s="61">
        <f>+SUM($G$3:G54)/(A54)</f>
        <v>5611.9863654089377</v>
      </c>
      <c r="J54" s="57">
        <f t="shared" si="5"/>
        <v>0.20084180223773426</v>
      </c>
      <c r="K54" s="57">
        <f>+AVERAGE($J$3:J54)</f>
        <v>20.561426659843253</v>
      </c>
      <c r="L54" s="57">
        <f>+SUM($F$3:F54)/I54</f>
        <v>-3.3461645589918851</v>
      </c>
    </row>
    <row r="55" spans="1:12" x14ac:dyDescent="0.3">
      <c r="A55" s="8">
        <f t="shared" si="6"/>
        <v>53</v>
      </c>
      <c r="B55" s="60">
        <f>+data!B54</f>
        <v>60609.496094000002</v>
      </c>
      <c r="C55" s="60">
        <f t="shared" si="1"/>
        <v>62557.880659332863</v>
      </c>
      <c r="D55" s="60">
        <f t="shared" si="2"/>
        <v>-1400.1395711985715</v>
      </c>
      <c r="E55" s="60">
        <f t="shared" si="3"/>
        <v>82849.897971949249</v>
      </c>
      <c r="F55" s="60">
        <f t="shared" si="0"/>
        <v>22240.401877949247</v>
      </c>
      <c r="G55" s="60">
        <f t="shared" si="4"/>
        <v>22240.401877949247</v>
      </c>
      <c r="H55" s="60">
        <f>+SUMSQ($F$3:F55)/(A55)</f>
        <v>67239307.596135557</v>
      </c>
      <c r="I55" s="60">
        <f>+SUM($G$3:G55)/(A55)</f>
        <v>5925.7300543247929</v>
      </c>
      <c r="J55" s="59">
        <f t="shared" si="5"/>
        <v>36.694583045957579</v>
      </c>
      <c r="K55" s="59">
        <f>+AVERAGE($J$3:J55)</f>
        <v>20.865825836939749</v>
      </c>
      <c r="L55" s="58">
        <f>+SUM($F$3:F55)/I55</f>
        <v>0.58419333394130246</v>
      </c>
    </row>
    <row r="56" spans="1:12" x14ac:dyDescent="0.3">
      <c r="A56" s="21">
        <f t="shared" si="6"/>
        <v>54</v>
      </c>
      <c r="B56" s="61">
        <f>+data!B55</f>
        <v>67489.609375</v>
      </c>
      <c r="C56" s="61">
        <f t="shared" si="1"/>
        <v>66934.902022697992</v>
      </c>
      <c r="D56" s="61">
        <f t="shared" si="2"/>
        <v>2280.7914363096138</v>
      </c>
      <c r="E56" s="61">
        <f t="shared" si="3"/>
        <v>61157.741088134295</v>
      </c>
      <c r="F56" s="61">
        <f t="shared" si="0"/>
        <v>-6331.8682868657052</v>
      </c>
      <c r="G56" s="61">
        <f t="shared" si="4"/>
        <v>6331.8682868657052</v>
      </c>
      <c r="H56" s="61">
        <f>+SUMSQ($F$3:F56)/(A56)</f>
        <v>66736589.974025927</v>
      </c>
      <c r="I56" s="61">
        <f>+SUM($G$3:G56)/(A56)</f>
        <v>5933.2511327051798</v>
      </c>
      <c r="J56" s="57">
        <f t="shared" si="5"/>
        <v>9.3819898285130723</v>
      </c>
      <c r="K56" s="57">
        <f>+AVERAGE($J$3:J56)</f>
        <v>20.653162207154068</v>
      </c>
      <c r="L56" s="57">
        <f>+SUM($F$3:F56)/I56</f>
        <v>-0.48373079551159165</v>
      </c>
    </row>
    <row r="57" spans="1:12" x14ac:dyDescent="0.3">
      <c r="A57" s="8">
        <f t="shared" si="6"/>
        <v>55</v>
      </c>
      <c r="B57" s="60">
        <f>+data!B56</f>
        <v>62673.605469000002</v>
      </c>
      <c r="C57" s="60">
        <f t="shared" si="1"/>
        <v>63246.729252227051</v>
      </c>
      <c r="D57" s="60">
        <f t="shared" si="2"/>
        <v>-1522.3474549742505</v>
      </c>
      <c r="E57" s="60">
        <f t="shared" si="3"/>
        <v>69215.693459007613</v>
      </c>
      <c r="F57" s="60">
        <f t="shared" si="0"/>
        <v>6542.0879900076106</v>
      </c>
      <c r="G57" s="60">
        <f t="shared" si="4"/>
        <v>6542.0879900076106</v>
      </c>
      <c r="H57" s="60">
        <f>+SUMSQ($F$3:F57)/(A57)</f>
        <v>66301359.524843678</v>
      </c>
      <c r="I57" s="60">
        <f>+SUM($G$3:G57)/(A57)</f>
        <v>5944.3208937470417</v>
      </c>
      <c r="J57" s="59">
        <f t="shared" si="5"/>
        <v>10.438346319877031</v>
      </c>
      <c r="K57" s="59">
        <f>+AVERAGE($J$3:J57)</f>
        <v>20.46743828193085</v>
      </c>
      <c r="L57" s="58">
        <f>+SUM($F$3:F57)/I57</f>
        <v>0.6177310689059079</v>
      </c>
    </row>
    <row r="58" spans="1:12" x14ac:dyDescent="0.3">
      <c r="A58" s="21">
        <f t="shared" si="6"/>
        <v>56</v>
      </c>
      <c r="B58" s="61">
        <f>+data!B57</f>
        <v>64625.839844000002</v>
      </c>
      <c r="C58" s="61">
        <f t="shared" si="1"/>
        <v>64371.655764671472</v>
      </c>
      <c r="D58" s="61">
        <f t="shared" si="2"/>
        <v>164.3690728173566</v>
      </c>
      <c r="E58" s="61">
        <f t="shared" si="3"/>
        <v>61724.381797252798</v>
      </c>
      <c r="F58" s="61">
        <f t="shared" si="0"/>
        <v>-2901.4580467472042</v>
      </c>
      <c r="G58" s="61">
        <f t="shared" si="4"/>
        <v>2901.4580467472042</v>
      </c>
      <c r="H58" s="61">
        <f>+SUMSQ($F$3:F58)/(A58)</f>
        <v>65267736.297561362</v>
      </c>
      <c r="I58" s="61">
        <f>+SUM($G$3:G58)/(A58)</f>
        <v>5889.9840571934737</v>
      </c>
      <c r="J58" s="57">
        <f t="shared" si="5"/>
        <v>4.4896252857232026</v>
      </c>
      <c r="K58" s="57">
        <f>+AVERAGE($J$3:J58)</f>
        <v>20.182120192712855</v>
      </c>
      <c r="L58" s="57">
        <f>+SUM($F$3:F58)/I58</f>
        <v>0.13082100823784407</v>
      </c>
    </row>
    <row r="59" spans="1:12" x14ac:dyDescent="0.3">
      <c r="A59" s="8">
        <f t="shared" si="6"/>
        <v>57</v>
      </c>
      <c r="B59" s="60">
        <f>+data!B58</f>
        <v>58969.800780999998</v>
      </c>
      <c r="C59" s="60">
        <f t="shared" si="1"/>
        <v>59457.433383070915</v>
      </c>
      <c r="D59" s="60">
        <f t="shared" si="2"/>
        <v>-3071.4668283760011</v>
      </c>
      <c r="E59" s="60">
        <f t="shared" si="3"/>
        <v>64536.024837488825</v>
      </c>
      <c r="F59" s="60">
        <f t="shared" si="0"/>
        <v>5566.224056488827</v>
      </c>
      <c r="G59" s="60">
        <f t="shared" si="4"/>
        <v>5566.224056488827</v>
      </c>
      <c r="H59" s="60">
        <f>+SUMSQ($F$3:F59)/(A59)</f>
        <v>64666247.06860476</v>
      </c>
      <c r="I59" s="60">
        <f>+SUM($G$3:G59)/(A59)</f>
        <v>5884.3040571811116</v>
      </c>
      <c r="J59" s="59">
        <f t="shared" si="5"/>
        <v>9.4391094810723146</v>
      </c>
      <c r="K59" s="59">
        <f>+AVERAGE($J$3:J59)</f>
        <v>19.993646320578812</v>
      </c>
      <c r="L59" s="58">
        <f>+SUM($F$3:F59)/I59</f>
        <v>1.0768916167108029</v>
      </c>
    </row>
    <row r="60" spans="1:12" x14ac:dyDescent="0.3">
      <c r="A60" s="21">
        <v>58</v>
      </c>
      <c r="B60" s="61"/>
      <c r="C60" s="61"/>
      <c r="D60" s="61"/>
      <c r="E60" s="61">
        <f>+C59+D59</f>
        <v>56385.966554694911</v>
      </c>
      <c r="F60" s="61"/>
      <c r="G60" s="61"/>
      <c r="H60" s="61"/>
      <c r="I60" s="61"/>
      <c r="J60" s="21"/>
      <c r="K60" s="21"/>
      <c r="L60" s="21"/>
    </row>
    <row r="63" spans="1:12" x14ac:dyDescent="0.3">
      <c r="B63" s="4" t="s">
        <v>25</v>
      </c>
      <c r="C63" s="28">
        <v>0.91239436337413349</v>
      </c>
      <c r="D63" s="28"/>
    </row>
    <row r="64" spans="1:12" x14ac:dyDescent="0.3">
      <c r="B64" s="4" t="s">
        <v>26</v>
      </c>
      <c r="C64" s="28">
        <v>0.63715223605523019</v>
      </c>
    </row>
    <row r="66" spans="2:3" x14ac:dyDescent="0.3">
      <c r="B66" s="4" t="s">
        <v>98</v>
      </c>
      <c r="C66" s="50">
        <f>+MIN($L$3:$L$59)</f>
        <v>-5.8998925635477431</v>
      </c>
    </row>
    <row r="67" spans="2:3" x14ac:dyDescent="0.3">
      <c r="B67" s="4" t="s">
        <v>99</v>
      </c>
      <c r="C67" s="50">
        <f>+MAX($L$3:$L$59)</f>
        <v>3.7184342811917084</v>
      </c>
    </row>
  </sheetData>
  <conditionalFormatting sqref="L3:L59">
    <cfRule type="dataBar" priority="1">
      <dataBar>
        <cfvo type="min"/>
        <cfvo type="max"/>
        <color rgb="FF008AEF"/>
      </dataBar>
      <extLst>
        <ext xmlns:x14="http://schemas.microsoft.com/office/spreadsheetml/2009/9/main" uri="{B025F937-C7B1-47D3-B67F-A62EFF666E3E}">
          <x14:id>{5B055A6D-4823-4BC6-BB8C-3F2B3B888B14}</x14:id>
        </ext>
      </extLst>
    </cfRule>
  </conditionalFormatting>
  <conditionalFormatting sqref="L6:L59">
    <cfRule type="dataBar" priority="2">
      <dataBar>
        <cfvo type="min"/>
        <cfvo type="max"/>
        <color rgb="FF008AEF"/>
      </dataBar>
      <extLst>
        <ext xmlns:x14="http://schemas.microsoft.com/office/spreadsheetml/2009/9/main" uri="{B025F937-C7B1-47D3-B67F-A62EFF666E3E}">
          <x14:id>{6ED516FB-4C33-4AB3-A565-5B72E0781941}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B055A6D-4823-4BC6-BB8C-3F2B3B888B14}">
            <x14:dataBar minLength="0" maxLength="100" border="1" negativeBarBorderColorSameAsPositive="0">
              <x14:cfvo type="autoMin"/>
              <x14:cfvo type="autoMax"/>
              <x14:borderColor rgb="FF008AEF"/>
              <x14:negativeFillColor rgb="FFFF0000"/>
              <x14:negativeBorderColor rgb="FFFF0000"/>
              <x14:axisColor rgb="FF000000"/>
            </x14:dataBar>
          </x14:cfRule>
          <xm:sqref>L3:L59</xm:sqref>
        </x14:conditionalFormatting>
        <x14:conditionalFormatting xmlns:xm="http://schemas.microsoft.com/office/excel/2006/main">
          <x14:cfRule type="dataBar" id="{6ED516FB-4C33-4AB3-A565-5B72E0781941}">
            <x14:dataBar minLength="0" maxLength="100" border="1" negativeBarBorderColorSameAsPositive="0">
              <x14:cfvo type="autoMin"/>
              <x14:cfvo type="autoMax"/>
              <x14:borderColor rgb="FF008AEF"/>
              <x14:negativeFillColor rgb="FFFF0000"/>
              <x14:negativeBorderColor rgb="FFFF0000"/>
              <x14:axisColor rgb="FF000000"/>
            </x14:dataBar>
          </x14:cfRule>
          <xm:sqref>L6:L59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CCC1D-C2FA-4C75-BD1D-8BB37DECEA12}">
  <sheetPr>
    <tabColor theme="1"/>
  </sheetPr>
  <dimension ref="A1:Z64"/>
  <sheetViews>
    <sheetView zoomScale="70" zoomScaleNormal="70" workbookViewId="0">
      <selection activeCell="A3" sqref="A3"/>
    </sheetView>
  </sheetViews>
  <sheetFormatPr baseColWidth="10" defaultColWidth="9.109375" defaultRowHeight="14.4" x14ac:dyDescent="0.3"/>
  <cols>
    <col min="1" max="1" width="9.21875" style="4" bestFit="1" customWidth="1"/>
    <col min="2" max="2" width="15.6640625" style="4" bestFit="1" customWidth="1"/>
    <col min="3" max="3" width="19.5546875" style="4" customWidth="1"/>
    <col min="4" max="4" width="16.6640625" style="4" bestFit="1" customWidth="1"/>
    <col min="5" max="5" width="9.21875" style="4" bestFit="1" customWidth="1"/>
    <col min="6" max="6" width="21.44140625" style="4" customWidth="1"/>
    <col min="7" max="7" width="18.21875" style="4" customWidth="1"/>
    <col min="8" max="8" width="16.21875" style="4" bestFit="1" customWidth="1"/>
    <col min="9" max="9" width="26.77734375" style="4" customWidth="1"/>
    <col min="10" max="10" width="14.88671875" style="4" bestFit="1" customWidth="1"/>
    <col min="11" max="13" width="9.21875" style="4" bestFit="1" customWidth="1"/>
    <col min="14" max="14" width="5.88671875" style="4" customWidth="1"/>
    <col min="15" max="15" width="9.21875" style="4" bestFit="1" customWidth="1"/>
    <col min="16" max="16" width="15.6640625" style="4" bestFit="1" customWidth="1"/>
    <col min="17" max="17" width="16.21875" style="4" bestFit="1" customWidth="1"/>
    <col min="18" max="18" width="15.6640625" style="4" bestFit="1" customWidth="1"/>
    <col min="19" max="19" width="10.6640625" style="4" customWidth="1"/>
    <col min="20" max="20" width="9.109375" style="4"/>
    <col min="21" max="21" width="16.6640625" style="4" bestFit="1" customWidth="1"/>
    <col min="22" max="22" width="16" style="4" bestFit="1" customWidth="1"/>
    <col min="23" max="23" width="13.33203125" style="4" bestFit="1" customWidth="1"/>
    <col min="24" max="16384" width="9.109375" style="4"/>
  </cols>
  <sheetData>
    <row r="1" spans="1:26" ht="43.2" x14ac:dyDescent="0.3">
      <c r="A1" s="62" t="s">
        <v>7</v>
      </c>
      <c r="B1" s="62" t="s">
        <v>8</v>
      </c>
      <c r="C1" s="62" t="s">
        <v>9</v>
      </c>
      <c r="D1" s="62" t="s">
        <v>33</v>
      </c>
      <c r="E1" s="62" t="s">
        <v>100</v>
      </c>
      <c r="F1" s="62" t="s">
        <v>10</v>
      </c>
      <c r="G1" s="62" t="s">
        <v>11</v>
      </c>
      <c r="H1" s="62" t="s">
        <v>12</v>
      </c>
      <c r="I1" s="62" t="s">
        <v>13</v>
      </c>
      <c r="J1" s="62" t="s">
        <v>14</v>
      </c>
      <c r="K1" s="62" t="s">
        <v>15</v>
      </c>
      <c r="L1" s="62" t="s">
        <v>16</v>
      </c>
      <c r="M1" s="62" t="s">
        <v>17</v>
      </c>
      <c r="O1" s="63" t="s">
        <v>7</v>
      </c>
      <c r="P1" s="63" t="s">
        <v>101</v>
      </c>
      <c r="R1" s="64" t="s">
        <v>102</v>
      </c>
      <c r="S1" s="64" t="s">
        <v>103</v>
      </c>
      <c r="U1" s="4" t="s">
        <v>104</v>
      </c>
    </row>
    <row r="2" spans="1:26" x14ac:dyDescent="0.3">
      <c r="A2" s="63"/>
      <c r="B2" s="65"/>
      <c r="C2" s="66">
        <f>+U5</f>
        <v>18915.496154138214</v>
      </c>
      <c r="D2" s="66">
        <f>+V5</f>
        <v>379.8123925913265</v>
      </c>
      <c r="E2" s="67"/>
      <c r="F2" s="67"/>
      <c r="G2" s="63"/>
      <c r="H2" s="63"/>
      <c r="I2" s="63"/>
      <c r="J2" s="63"/>
      <c r="K2" s="63"/>
      <c r="L2" s="63"/>
      <c r="M2" s="63"/>
      <c r="O2" s="63"/>
      <c r="P2" s="63"/>
    </row>
    <row r="3" spans="1:26" x14ac:dyDescent="0.3">
      <c r="A3" s="8">
        <v>1</v>
      </c>
      <c r="B3" s="9">
        <v>7194.8920900000003</v>
      </c>
      <c r="C3" s="9">
        <f t="shared" ref="C3:C17" si="0">+($W$12*(B3/E3))+((1-$W$12)*(C2+D2))</f>
        <v>10371.949614639507</v>
      </c>
      <c r="D3" s="9">
        <f t="shared" ref="D3:D15" si="1">+($W$13*(C3-C2)+((1-$W$13)*D2))</f>
        <v>-3729.1389261840141</v>
      </c>
      <c r="E3" s="68">
        <f>+$S$61</f>
        <v>0.93062051041435989</v>
      </c>
      <c r="F3" s="9">
        <f t="shared" ref="F3:F56" si="2">(C2+D2)*E3</f>
        <v>17956.609888360006</v>
      </c>
      <c r="G3" s="9">
        <f t="shared" ref="G3:G59" si="3">+F3-B3</f>
        <v>10761.717798360005</v>
      </c>
      <c r="H3" s="9">
        <f>+ABS(G3)</f>
        <v>10761.717798360005</v>
      </c>
      <c r="I3" s="9">
        <f>+SUMSQ($G$3:G3)/A3</f>
        <v>115814569.97153851</v>
      </c>
      <c r="J3" s="9">
        <f>+SUM($H$3:H3)/A3</f>
        <v>10761.717798360005</v>
      </c>
      <c r="K3" s="69">
        <f t="shared" ref="K3" si="4">+(H3/B3)*100</f>
        <v>149.57441562351499</v>
      </c>
      <c r="L3" s="69">
        <f>+AVERAGE($K$3:K3)</f>
        <v>149.57441562351499</v>
      </c>
      <c r="M3" s="68">
        <f>+SUM($G$3:G3)/J3</f>
        <v>1</v>
      </c>
      <c r="O3" s="70">
        <v>1</v>
      </c>
      <c r="P3" s="86">
        <v>7194.8920900000003</v>
      </c>
      <c r="Q3" s="71"/>
      <c r="R3" s="71">
        <f t="shared" ref="R3:R9" si="5">+($V$5*O3+$U$5)</f>
        <v>19295.308546729542</v>
      </c>
      <c r="S3" s="72">
        <f>+P3/R3</f>
        <v>0.37288297684254956</v>
      </c>
      <c r="Y3" s="4" t="s">
        <v>14</v>
      </c>
      <c r="Z3" s="83">
        <f>+J59</f>
        <v>5485.5145790136376</v>
      </c>
    </row>
    <row r="4" spans="1:26" x14ac:dyDescent="0.3">
      <c r="A4" s="21">
        <v>2</v>
      </c>
      <c r="B4" s="22">
        <v>9346.3574219999991</v>
      </c>
      <c r="C4" s="22">
        <f t="shared" si="0"/>
        <v>8550.8582409789906</v>
      </c>
      <c r="D4" s="22">
        <f t="shared" si="1"/>
        <v>-2850.5376542982513</v>
      </c>
      <c r="E4" s="95">
        <f>+$S$62</f>
        <v>1.0253256438126521</v>
      </c>
      <c r="F4" s="22">
        <f t="shared" si="2"/>
        <v>6811.0441458661953</v>
      </c>
      <c r="G4" s="22">
        <f t="shared" si="3"/>
        <v>-2535.3132761338038</v>
      </c>
      <c r="H4" s="22">
        <f t="shared" ref="H4:H59" si="6">+ABS(G4)</f>
        <v>2535.3132761338038</v>
      </c>
      <c r="I4" s="22">
        <f>+SUMSQ($G$3:G4)/A4</f>
        <v>61121191.689839415</v>
      </c>
      <c r="J4" s="22">
        <f>+SUM($H$3:H4)/A4</f>
        <v>6648.5155372469044</v>
      </c>
      <c r="K4" s="96">
        <f t="shared" ref="K4:K59" si="7">+(H4/B4)*100</f>
        <v>27.126217858585594</v>
      </c>
      <c r="L4" s="96">
        <f>+AVERAGE($K$3:K4)</f>
        <v>88.350316741050293</v>
      </c>
      <c r="M4" s="95">
        <f>+SUM($G$3:G4)/J4</f>
        <v>1.2373295175651629</v>
      </c>
      <c r="O4" s="73">
        <v>2</v>
      </c>
      <c r="P4" s="87">
        <v>9346.3574219999991</v>
      </c>
      <c r="Q4" s="74"/>
      <c r="R4" s="74">
        <f t="shared" si="5"/>
        <v>19675.120939320866</v>
      </c>
      <c r="S4" s="75">
        <f>+P4/R4</f>
        <v>0.47503430605710983</v>
      </c>
      <c r="U4" s="76" t="s">
        <v>29</v>
      </c>
      <c r="V4" s="76" t="s">
        <v>28</v>
      </c>
      <c r="Y4" s="4" t="s">
        <v>16</v>
      </c>
      <c r="Z4" s="97">
        <f>+L59</f>
        <v>21.127044058339433</v>
      </c>
    </row>
    <row r="5" spans="1:26" x14ac:dyDescent="0.3">
      <c r="A5" s="8">
        <v>3</v>
      </c>
      <c r="B5" s="9">
        <v>8599.7587889999995</v>
      </c>
      <c r="C5" s="9">
        <f t="shared" si="0"/>
        <v>7700.0636496614788</v>
      </c>
      <c r="D5" s="9">
        <f t="shared" si="1"/>
        <v>-1929.7132250245099</v>
      </c>
      <c r="E5" s="68">
        <f>+$S$63</f>
        <v>1.0371348971462719</v>
      </c>
      <c r="F5" s="9">
        <f t="shared" si="2"/>
        <v>5912.0014053679051</v>
      </c>
      <c r="G5" s="9">
        <f t="shared" si="3"/>
        <v>-2687.7573836320944</v>
      </c>
      <c r="H5" s="9">
        <f t="shared" si="6"/>
        <v>2687.7573836320944</v>
      </c>
      <c r="I5" s="9">
        <f>+SUMSQ($G$3:G5)/A5</f>
        <v>43155474.377649225</v>
      </c>
      <c r="J5" s="9">
        <f>+SUM($H$3:H5)/A5</f>
        <v>5328.2628193753008</v>
      </c>
      <c r="K5" s="69">
        <f t="shared" si="7"/>
        <v>31.253869434919736</v>
      </c>
      <c r="L5" s="69">
        <f>+AVERAGE($K$3:K5)</f>
        <v>69.318167639006774</v>
      </c>
      <c r="M5" s="68">
        <f>+SUM($G$3:G5)/J5</f>
        <v>1.0394845987051877</v>
      </c>
      <c r="O5" s="7">
        <v>3</v>
      </c>
      <c r="P5" s="88">
        <v>8599.7587889999995</v>
      </c>
      <c r="Q5" s="77">
        <f>(P3+P7+2*SUM(P4:P6))/8</f>
        <v>8079.3181763749999</v>
      </c>
      <c r="R5" s="77">
        <f t="shared" si="5"/>
        <v>20054.933331912194</v>
      </c>
      <c r="S5" s="78">
        <f>+P5/R5</f>
        <v>0.42881014095996656</v>
      </c>
      <c r="U5" s="77">
        <f>+INTERCEPT(Q5:Q56,O5:O56)</f>
        <v>18915.496154138214</v>
      </c>
      <c r="V5" s="77">
        <f>+SLOPE(Q5:Q54,O5:O54)</f>
        <v>379.8123925913265</v>
      </c>
    </row>
    <row r="6" spans="1:26" x14ac:dyDescent="0.3">
      <c r="A6" s="21">
        <v>4</v>
      </c>
      <c r="B6" s="22">
        <v>6437.3193359999996</v>
      </c>
      <c r="C6" s="22">
        <f t="shared" si="0"/>
        <v>5874.3545629568143</v>
      </c>
      <c r="D6" s="22">
        <f t="shared" si="1"/>
        <v>-1881.8222968931086</v>
      </c>
      <c r="E6" s="95">
        <f>+$S$64</f>
        <v>1.0901228111539873</v>
      </c>
      <c r="F6" s="22">
        <f t="shared" si="2"/>
        <v>6290.3906262488563</v>
      </c>
      <c r="G6" s="22">
        <f t="shared" si="3"/>
        <v>-146.92870975114329</v>
      </c>
      <c r="H6" s="22">
        <f t="shared" si="6"/>
        <v>146.92870975114329</v>
      </c>
      <c r="I6" s="22">
        <f>+SUMSQ($G$3:G6)/A6</f>
        <v>32372002.794674203</v>
      </c>
      <c r="J6" s="22">
        <f>+SUM($H$3:H6)/A6</f>
        <v>4032.9292919692616</v>
      </c>
      <c r="K6" s="96">
        <f t="shared" si="7"/>
        <v>2.282451779725462</v>
      </c>
      <c r="L6" s="96">
        <f>+AVERAGE($K$3:K6)</f>
        <v>52.559238674186439</v>
      </c>
      <c r="M6" s="95">
        <f>+SUM($G$3:G6)/J6</f>
        <v>1.336923620153581</v>
      </c>
      <c r="O6" s="7">
        <v>4</v>
      </c>
      <c r="P6" s="88">
        <v>6437.3193359999996</v>
      </c>
      <c r="Q6" s="77">
        <f t="shared" ref="Q6:Q59" si="8">(P4+P8+2*SUM(P5:P7))/8</f>
        <v>8278.7104493749994</v>
      </c>
      <c r="R6" s="77">
        <f t="shared" si="5"/>
        <v>20434.745724503522</v>
      </c>
      <c r="S6" s="78">
        <f>+P6/R6</f>
        <v>0.31501832333939644</v>
      </c>
      <c r="Y6" s="4" t="s">
        <v>98</v>
      </c>
      <c r="Z6" s="98">
        <f>+MIN($M$3:$M$59)</f>
        <v>-5.9875659893216699</v>
      </c>
    </row>
    <row r="7" spans="1:26" x14ac:dyDescent="0.3">
      <c r="A7" s="8">
        <v>5</v>
      </c>
      <c r="B7" s="9">
        <v>8672.7822269999997</v>
      </c>
      <c r="C7" s="9">
        <f t="shared" si="0"/>
        <v>9377.9591965364471</v>
      </c>
      <c r="D7" s="9">
        <f t="shared" si="1"/>
        <v>598.01262362725925</v>
      </c>
      <c r="E7" s="68">
        <f t="shared" ref="E7:E16" si="9">+($W$14*(B3/C3)+(1-$W$14)*E3)</f>
        <v>0.79047174328765224</v>
      </c>
      <c r="F7" s="9">
        <f t="shared" si="2"/>
        <v>3155.9839404875779</v>
      </c>
      <c r="G7" s="9">
        <f t="shared" si="3"/>
        <v>-5516.7982865124213</v>
      </c>
      <c r="H7" s="9">
        <f t="shared" si="6"/>
        <v>5516.7982865124213</v>
      </c>
      <c r="I7" s="9">
        <f>+SUMSQ($G$3:G7)/A7</f>
        <v>31984614.902552642</v>
      </c>
      <c r="J7" s="9">
        <f>+SUM($H$3:H7)/A7</f>
        <v>4329.7030908778934</v>
      </c>
      <c r="K7" s="69">
        <f t="shared" si="7"/>
        <v>63.61047864591356</v>
      </c>
      <c r="L7" s="69">
        <f>+AVERAGE($K$3:K7)</f>
        <v>54.769486668531862</v>
      </c>
      <c r="M7" s="68">
        <f>+SUM($G$3:G7)/J7</f>
        <v>-2.8888784067661457E-2</v>
      </c>
      <c r="O7" s="70">
        <v>5</v>
      </c>
      <c r="P7" s="86">
        <v>8672.7822269999997</v>
      </c>
      <c r="Q7" s="77">
        <f t="shared" si="8"/>
        <v>8361.644775625</v>
      </c>
      <c r="R7" s="71">
        <f t="shared" si="5"/>
        <v>20814.558117094846</v>
      </c>
      <c r="S7" s="79">
        <f t="shared" ref="S7:S13" si="10">+P7/R7</f>
        <v>0.41666905337169308</v>
      </c>
      <c r="Y7" s="4" t="s">
        <v>99</v>
      </c>
      <c r="Z7" s="98">
        <f>+MAX($M$3:$M$59)</f>
        <v>4.4865489930901177</v>
      </c>
    </row>
    <row r="8" spans="1:26" x14ac:dyDescent="0.3">
      <c r="A8" s="21">
        <v>6</v>
      </c>
      <c r="B8" s="22">
        <v>9463.6054690000001</v>
      </c>
      <c r="C8" s="22">
        <f t="shared" si="0"/>
        <v>9132.4979066256201</v>
      </c>
      <c r="D8" s="22">
        <f t="shared" si="1"/>
        <v>209.61703450427896</v>
      </c>
      <c r="E8" s="95">
        <f t="shared" si="9"/>
        <v>1.0653744896351136</v>
      </c>
      <c r="F8" s="22">
        <f t="shared" si="2"/>
        <v>10628.145886521184</v>
      </c>
      <c r="G8" s="22">
        <f t="shared" si="3"/>
        <v>1164.5404175211843</v>
      </c>
      <c r="H8" s="22">
        <f t="shared" si="6"/>
        <v>1164.5404175211843</v>
      </c>
      <c r="I8" s="22">
        <f>+SUMSQ($G$3:G8)/A8</f>
        <v>26879871.482800603</v>
      </c>
      <c r="J8" s="22">
        <f>+SUM($H$3:H8)/A8</f>
        <v>3802.1759786517755</v>
      </c>
      <c r="K8" s="96">
        <f t="shared" si="7"/>
        <v>12.305462451238881</v>
      </c>
      <c r="L8" s="96">
        <f>+AVERAGE($K$3:K8)</f>
        <v>47.692149298983033</v>
      </c>
      <c r="M8" s="95">
        <f>+SUM($G$3:G8)/J8</f>
        <v>0.27338570484060332</v>
      </c>
      <c r="O8" s="73">
        <v>6</v>
      </c>
      <c r="P8" s="87">
        <v>9463.6054690000001</v>
      </c>
      <c r="Q8" s="77">
        <f t="shared" si="8"/>
        <v>9040.579468124999</v>
      </c>
      <c r="R8" s="74">
        <f t="shared" si="5"/>
        <v>21194.370509686174</v>
      </c>
      <c r="S8" s="75">
        <f t="shared" si="10"/>
        <v>0.4465150528851507</v>
      </c>
    </row>
    <row r="9" spans="1:26" x14ac:dyDescent="0.3">
      <c r="A9" s="8">
        <v>7</v>
      </c>
      <c r="B9" s="9">
        <v>9145.9853519999997</v>
      </c>
      <c r="C9" s="9">
        <f t="shared" si="0"/>
        <v>8642.1829813590648</v>
      </c>
      <c r="D9" s="9">
        <f t="shared" si="1"/>
        <v>-112.68159441344886</v>
      </c>
      <c r="E9" s="68">
        <f t="shared" si="9"/>
        <v>1.0842829573100905</v>
      </c>
      <c r="F9" s="9">
        <f t="shared" si="2"/>
        <v>10129.496015899109</v>
      </c>
      <c r="G9" s="9">
        <f t="shared" si="3"/>
        <v>983.5106638991092</v>
      </c>
      <c r="H9" s="9">
        <f t="shared" si="6"/>
        <v>983.5106638991092</v>
      </c>
      <c r="I9" s="9">
        <f>+SUMSQ($G$3:G9)/A9</f>
        <v>23178074.588972412</v>
      </c>
      <c r="J9" s="9">
        <f>+SUM($H$3:H9)/A9</f>
        <v>3399.50950511568</v>
      </c>
      <c r="K9" s="69">
        <f t="shared" si="7"/>
        <v>10.753468609962729</v>
      </c>
      <c r="L9" s="69">
        <f>+AVERAGE($K$3:K9)</f>
        <v>42.415194914837279</v>
      </c>
      <c r="M9" s="68">
        <f>+SUM($G$3:G9)/J9</f>
        <v>0.59507738416574807</v>
      </c>
      <c r="O9" s="7">
        <v>7</v>
      </c>
      <c r="P9" s="88">
        <v>9145.9853519999997</v>
      </c>
      <c r="Q9" s="77">
        <f t="shared" si="8"/>
        <v>10027.052612625001</v>
      </c>
      <c r="R9" s="77">
        <f t="shared" si="5"/>
        <v>21574.182902277498</v>
      </c>
      <c r="S9" s="78">
        <f t="shared" si="10"/>
        <v>0.42393194650419391</v>
      </c>
    </row>
    <row r="10" spans="1:26" x14ac:dyDescent="0.3">
      <c r="A10" s="21">
        <v>8</v>
      </c>
      <c r="B10" s="22">
        <v>11322.570313</v>
      </c>
      <c r="C10" s="22">
        <f t="shared" si="0"/>
        <v>9937.6961130720083</v>
      </c>
      <c r="D10" s="22">
        <f t="shared" si="1"/>
        <v>535.75176134917444</v>
      </c>
      <c r="E10" s="95">
        <f t="shared" si="9"/>
        <v>1.0935012385441187</v>
      </c>
      <c r="F10" s="22">
        <f t="shared" si="2"/>
        <v>9327.0203307888096</v>
      </c>
      <c r="G10" s="22">
        <f t="shared" si="3"/>
        <v>-1995.5499822111906</v>
      </c>
      <c r="H10" s="22">
        <f t="shared" si="6"/>
        <v>1995.5499822111906</v>
      </c>
      <c r="I10" s="22">
        <f>+SUMSQ($G$3:G10)/A10</f>
        <v>20778592.731788743</v>
      </c>
      <c r="J10" s="22">
        <f>+SUM($H$3:H10)/A10</f>
        <v>3224.0145647526188</v>
      </c>
      <c r="K10" s="96">
        <f t="shared" si="7"/>
        <v>17.624531595268625</v>
      </c>
      <c r="L10" s="96">
        <f>+AVERAGE($K$3:K10)</f>
        <v>39.3163619998912</v>
      </c>
      <c r="M10" s="95">
        <f>+SUM($G$3:G10)/J10</f>
        <v>8.505309448485418E-3</v>
      </c>
      <c r="O10" s="7">
        <v>8</v>
      </c>
      <c r="P10" s="88">
        <v>11322.570313</v>
      </c>
      <c r="Q10" s="77">
        <f t="shared" si="8"/>
        <v>10569.32556175</v>
      </c>
      <c r="R10" s="77">
        <f t="shared" ref="R10:R59" si="11">+($V$5*O10+$U$5)</f>
        <v>21953.995294868826</v>
      </c>
      <c r="S10" s="78">
        <f t="shared" si="10"/>
        <v>0.51574076430846083</v>
      </c>
    </row>
    <row r="11" spans="1:26" x14ac:dyDescent="0.3">
      <c r="A11" s="8">
        <v>9</v>
      </c>
      <c r="B11" s="9">
        <v>11679.316406</v>
      </c>
      <c r="C11" s="9">
        <f t="shared" si="0"/>
        <v>12751.439891141932</v>
      </c>
      <c r="D11" s="9">
        <f t="shared" si="1"/>
        <v>1584.7018677495316</v>
      </c>
      <c r="E11" s="68">
        <f t="shared" si="9"/>
        <v>0.86993142968391313</v>
      </c>
      <c r="F11" s="9">
        <f t="shared" si="2"/>
        <v>9111.1814831151605</v>
      </c>
      <c r="G11" s="9">
        <f t="shared" si="3"/>
        <v>-2568.1349228848394</v>
      </c>
      <c r="H11" s="9">
        <f t="shared" si="6"/>
        <v>2568.1349228848394</v>
      </c>
      <c r="I11" s="9">
        <f>+SUMSQ($G$3:G11)/A11</f>
        <v>19202673.204050075</v>
      </c>
      <c r="J11" s="9">
        <f>+SUM($H$3:H11)/A11</f>
        <v>3151.1390489895325</v>
      </c>
      <c r="K11" s="69">
        <f t="shared" si="7"/>
        <v>21.988743464176679</v>
      </c>
      <c r="L11" s="69">
        <f>+AVERAGE($K$3:K11)</f>
        <v>37.39107105147847</v>
      </c>
      <c r="M11" s="68">
        <f>+SUM($G$3:G11)/J11</f>
        <v>-0.80628421718169441</v>
      </c>
      <c r="O11" s="70">
        <v>9</v>
      </c>
      <c r="P11" s="86">
        <v>11679.316406</v>
      </c>
      <c r="Q11" s="77">
        <f t="shared" si="8"/>
        <v>11315.157959125001</v>
      </c>
      <c r="R11" s="71">
        <f t="shared" si="11"/>
        <v>22333.807687460154</v>
      </c>
      <c r="S11" s="79">
        <f t="shared" si="10"/>
        <v>0.52294335876088116</v>
      </c>
      <c r="V11" s="4" t="s">
        <v>10</v>
      </c>
      <c r="W11" s="83"/>
    </row>
    <row r="12" spans="1:26" x14ac:dyDescent="0.3">
      <c r="A12" s="21">
        <v>10</v>
      </c>
      <c r="B12" s="22">
        <v>10795.254883</v>
      </c>
      <c r="C12" s="22">
        <f t="shared" si="0"/>
        <v>11221.147919171161</v>
      </c>
      <c r="D12" s="22">
        <f t="shared" si="1"/>
        <v>150.33638462781562</v>
      </c>
      <c r="E12" s="95">
        <f t="shared" si="9"/>
        <v>1.0481505273697489</v>
      </c>
      <c r="F12" s="22">
        <f t="shared" si="2"/>
        <v>15026.434545029566</v>
      </c>
      <c r="G12" s="22">
        <f t="shared" si="3"/>
        <v>4231.1796620295663</v>
      </c>
      <c r="H12" s="22">
        <f t="shared" si="6"/>
        <v>4231.1796620295663</v>
      </c>
      <c r="I12" s="22">
        <f>+SUMSQ($G$3:G12)/A12</f>
        <v>19072694.01688233</v>
      </c>
      <c r="J12" s="22">
        <f>+SUM($H$3:H12)/A12</f>
        <v>3259.1431102935358</v>
      </c>
      <c r="K12" s="96">
        <f t="shared" si="7"/>
        <v>39.194810200291656</v>
      </c>
      <c r="L12" s="96">
        <f>+AVERAGE($K$3:K12)</f>
        <v>37.571444966359792</v>
      </c>
      <c r="M12" s="95">
        <f>+SUM($G$3:G12)/J12</f>
        <v>0.51868418276732853</v>
      </c>
      <c r="O12" s="73">
        <v>10</v>
      </c>
      <c r="P12" s="87">
        <v>10795.254883</v>
      </c>
      <c r="Q12" s="77">
        <f t="shared" si="8"/>
        <v>12933.434082</v>
      </c>
      <c r="R12" s="74">
        <f t="shared" si="11"/>
        <v>22713.620080051478</v>
      </c>
      <c r="S12" s="75">
        <f t="shared" si="10"/>
        <v>0.47527672141003485</v>
      </c>
      <c r="V12" s="4" t="s">
        <v>25</v>
      </c>
      <c r="W12" s="85">
        <v>0.77164826281336463</v>
      </c>
    </row>
    <row r="13" spans="1:26" x14ac:dyDescent="0.3">
      <c r="A13" s="8">
        <v>11</v>
      </c>
      <c r="B13" s="9">
        <v>13780.995117</v>
      </c>
      <c r="C13" s="9">
        <f t="shared" si="0"/>
        <v>12545.214970230743</v>
      </c>
      <c r="D13" s="9">
        <f t="shared" si="1"/>
        <v>690.8057534411879</v>
      </c>
      <c r="E13" s="68">
        <f t="shared" si="9"/>
        <v>1.0689111937291935</v>
      </c>
      <c r="F13" s="9">
        <f t="shared" si="2"/>
        <v>12155.106861646551</v>
      </c>
      <c r="G13" s="9">
        <f t="shared" si="3"/>
        <v>-1625.8882553534495</v>
      </c>
      <c r="H13" s="9">
        <f t="shared" si="6"/>
        <v>1625.8882553534495</v>
      </c>
      <c r="I13" s="9">
        <f>+SUMSQ($G$3:G13)/A13</f>
        <v>17579132.071610872</v>
      </c>
      <c r="J13" s="9">
        <f>+SUM($H$3:H13)/A13</f>
        <v>3110.6653962080732</v>
      </c>
      <c r="K13" s="69">
        <f t="shared" si="7"/>
        <v>11.798046814106925</v>
      </c>
      <c r="L13" s="69">
        <f>+AVERAGE($K$3:K13)</f>
        <v>35.22840877070044</v>
      </c>
      <c r="M13" s="68">
        <f>+SUM($G$3:G13)/J13</f>
        <v>2.0760100205455483E-2</v>
      </c>
      <c r="O13" s="7">
        <v>11</v>
      </c>
      <c r="P13" s="88">
        <v>13780.995117</v>
      </c>
      <c r="Q13" s="77">
        <f t="shared" si="8"/>
        <v>16136.67065425</v>
      </c>
      <c r="R13" s="77">
        <f t="shared" si="11"/>
        <v>23093.432472642806</v>
      </c>
      <c r="S13" s="78">
        <f t="shared" si="10"/>
        <v>0.5967495361863332</v>
      </c>
      <c r="V13" s="4" t="s">
        <v>26</v>
      </c>
      <c r="W13" s="85">
        <v>0.46047137070759292</v>
      </c>
    </row>
    <row r="14" spans="1:26" x14ac:dyDescent="0.3">
      <c r="A14" s="21">
        <v>12</v>
      </c>
      <c r="B14" s="22">
        <v>19633.769531000002</v>
      </c>
      <c r="C14" s="22">
        <f t="shared" si="0"/>
        <v>16542.038494542143</v>
      </c>
      <c r="D14" s="22">
        <f t="shared" si="1"/>
        <v>2213.1322879774552</v>
      </c>
      <c r="E14" s="95">
        <f t="shared" si="9"/>
        <v>1.1206246916028311</v>
      </c>
      <c r="F14" s="22">
        <f t="shared" si="2"/>
        <v>14832.611641513538</v>
      </c>
      <c r="G14" s="22">
        <f t="shared" si="3"/>
        <v>-4801.1578894864633</v>
      </c>
      <c r="H14" s="22">
        <f t="shared" si="6"/>
        <v>4801.1578894864633</v>
      </c>
      <c r="I14" s="22">
        <f>+SUMSQ($G$3:G14)/A14</f>
        <v>18035130.822291475</v>
      </c>
      <c r="J14" s="22">
        <f>+SUM($H$3:H14)/A14</f>
        <v>3251.5397706479393</v>
      </c>
      <c r="K14" s="96">
        <f t="shared" si="7"/>
        <v>24.45357159717015</v>
      </c>
      <c r="L14" s="96">
        <f>+AVERAGE($K$3:K14)</f>
        <v>34.330505672906249</v>
      </c>
      <c r="M14" s="95">
        <f>+SUM($G$3:G14)/J14</f>
        <v>-1.4567191233252776</v>
      </c>
      <c r="O14" s="7">
        <v>12</v>
      </c>
      <c r="P14" s="88">
        <v>19633.769531000002</v>
      </c>
      <c r="Q14" s="77">
        <f t="shared" si="8"/>
        <v>21090.922729500002</v>
      </c>
      <c r="R14" s="77">
        <f t="shared" si="11"/>
        <v>23473.244865234134</v>
      </c>
      <c r="S14" s="78">
        <f t="shared" ref="S14:S23" si="12">+P14/R14</f>
        <v>0.83643184586206398</v>
      </c>
      <c r="V14" t="s">
        <v>105</v>
      </c>
      <c r="W14" s="48">
        <v>0.59151227394173755</v>
      </c>
    </row>
    <row r="15" spans="1:26" x14ac:dyDescent="0.3">
      <c r="A15" s="8">
        <v>13</v>
      </c>
      <c r="B15" s="9">
        <v>28994.009765999999</v>
      </c>
      <c r="C15" s="9">
        <f t="shared" si="0"/>
        <v>29221.247793225117</v>
      </c>
      <c r="D15" s="9">
        <f t="shared" si="1"/>
        <v>7032.4611150282517</v>
      </c>
      <c r="E15" s="68">
        <f t="shared" si="9"/>
        <v>0.89713504902785002</v>
      </c>
      <c r="F15" s="9">
        <f t="shared" si="2"/>
        <v>16825.921059501419</v>
      </c>
      <c r="G15" s="9">
        <f t="shared" si="3"/>
        <v>-12168.08870649858</v>
      </c>
      <c r="H15" s="9">
        <f t="shared" si="6"/>
        <v>12168.08870649858</v>
      </c>
      <c r="I15" s="9">
        <f>+SUMSQ($G$3:G15)/A15</f>
        <v>28037227.12590123</v>
      </c>
      <c r="J15" s="9">
        <f>+SUM($H$3:H15)/A15</f>
        <v>3937.4281503287575</v>
      </c>
      <c r="K15" s="69">
        <f t="shared" si="7"/>
        <v>41.967595391954248</v>
      </c>
      <c r="L15" s="69">
        <f>+AVERAGE($K$3:K15)</f>
        <v>34.917974112833022</v>
      </c>
      <c r="M15" s="68">
        <f>+SUM($G$3:G15)/J15</f>
        <v>-4.2933275796391754</v>
      </c>
      <c r="O15" s="80">
        <v>13</v>
      </c>
      <c r="P15" s="89">
        <v>28994.009765999999</v>
      </c>
      <c r="Q15" s="77">
        <f t="shared" si="8"/>
        <v>27803.151733375002</v>
      </c>
      <c r="R15" s="81">
        <f t="shared" si="11"/>
        <v>23853.057257825458</v>
      </c>
      <c r="S15" s="82">
        <f t="shared" si="12"/>
        <v>1.2155259366800015</v>
      </c>
    </row>
    <row r="16" spans="1:26" x14ac:dyDescent="0.3">
      <c r="A16" s="21">
        <v>14</v>
      </c>
      <c r="B16" s="22">
        <v>33114.578125</v>
      </c>
      <c r="C16" s="22">
        <f t="shared" si="0"/>
        <v>33902.681376518274</v>
      </c>
      <c r="D16" s="22">
        <f t="shared" ref="D16:D59" si="13">+($W$13*(C16-C15)+((1-$W$13)*D15))</f>
        <v>5949.8802449189043</v>
      </c>
      <c r="E16" s="95">
        <f t="shared" si="9"/>
        <v>0.99721834801994391</v>
      </c>
      <c r="F16" s="22">
        <f t="shared" si="2"/>
        <v>36152.863707084354</v>
      </c>
      <c r="G16" s="22">
        <f t="shared" si="3"/>
        <v>3038.2855820843542</v>
      </c>
      <c r="H16" s="22">
        <f t="shared" si="6"/>
        <v>3038.2855820843542</v>
      </c>
      <c r="I16" s="22">
        <f>+SUMSQ($G$3:G16)/A16</f>
        <v>26693937.993929833</v>
      </c>
      <c r="J16" s="22">
        <f>+SUM($H$3:H16)/A16</f>
        <v>3873.2036811684434</v>
      </c>
      <c r="K16" s="96">
        <f t="shared" si="7"/>
        <v>9.1750695739366428</v>
      </c>
      <c r="L16" s="96">
        <f>+AVERAGE($K$3:K16)</f>
        <v>33.079195217197565</v>
      </c>
      <c r="M16" s="95">
        <f>+SUM($G$3:G16)/J16</f>
        <v>-3.5800810982361364</v>
      </c>
      <c r="O16" s="70">
        <v>14</v>
      </c>
      <c r="P16" s="86">
        <v>33114.578125</v>
      </c>
      <c r="Q16" s="71">
        <f t="shared" si="8"/>
        <v>36637.064453125</v>
      </c>
      <c r="R16" s="71">
        <f t="shared" si="11"/>
        <v>24232.869650416786</v>
      </c>
      <c r="S16" s="72">
        <f t="shared" si="12"/>
        <v>1.3665149279763678</v>
      </c>
    </row>
    <row r="17" spans="1:19" x14ac:dyDescent="0.3">
      <c r="A17" s="8">
        <v>15</v>
      </c>
      <c r="B17" s="9">
        <v>45159.503905999998</v>
      </c>
      <c r="C17" s="9">
        <f t="shared" si="0"/>
        <v>41175.796866337412</v>
      </c>
      <c r="D17" s="9">
        <f t="shared" si="13"/>
        <v>6559.1921919067117</v>
      </c>
      <c r="E17" s="68">
        <f t="shared" ref="E17:E60" si="14">+($W$14*(B13/C13)+(1-$W$14)*E13)</f>
        <v>1.0864169415068063</v>
      </c>
      <c r="F17" s="9">
        <f t="shared" si="2"/>
        <v>43296.498107973312</v>
      </c>
      <c r="G17" s="9">
        <f t="shared" si="3"/>
        <v>-1863.0057980266865</v>
      </c>
      <c r="H17" s="9">
        <f t="shared" si="6"/>
        <v>1863.0057980266865</v>
      </c>
      <c r="I17" s="9">
        <f>+SUMSQ($G$3:G17)/A17</f>
        <v>25145728.167899914</v>
      </c>
      <c r="J17" s="9">
        <f>+SUM($H$3:H17)/A17</f>
        <v>3739.1904889589928</v>
      </c>
      <c r="K17" s="69">
        <f t="shared" si="7"/>
        <v>4.1253903096556455</v>
      </c>
      <c r="L17" s="69">
        <f>+AVERAGE($K$3:K17)</f>
        <v>31.148941556694769</v>
      </c>
      <c r="M17" s="68">
        <f>+SUM($G$3:G17)/J17</f>
        <v>-4.2066295186195726</v>
      </c>
      <c r="O17" s="73">
        <v>15</v>
      </c>
      <c r="P17" s="87">
        <v>45159.503905999998</v>
      </c>
      <c r="Q17" s="74">
        <f t="shared" si="8"/>
        <v>45138.745361374997</v>
      </c>
      <c r="R17" s="74">
        <f t="shared" si="11"/>
        <v>24612.682043008113</v>
      </c>
      <c r="S17" s="75">
        <f t="shared" si="12"/>
        <v>1.8348062932389262</v>
      </c>
    </row>
    <row r="18" spans="1:19" x14ac:dyDescent="0.3">
      <c r="A18" s="21">
        <v>16</v>
      </c>
      <c r="B18" s="22">
        <v>58926.5625</v>
      </c>
      <c r="C18" s="22">
        <f t="shared" ref="C18:C59" si="15">+($W$12*(B18/E18))+((1-$W$12)*(C17+D17))</f>
        <v>50104.949188703278</v>
      </c>
      <c r="D18" s="22">
        <f t="shared" si="13"/>
        <v>7650.490981701585</v>
      </c>
      <c r="E18" s="95">
        <f t="shared" si="14"/>
        <v>1.1598282096697097</v>
      </c>
      <c r="F18" s="22">
        <f t="shared" si="2"/>
        <v>55364.38689802646</v>
      </c>
      <c r="G18" s="22">
        <f t="shared" si="3"/>
        <v>-3562.1756019735403</v>
      </c>
      <c r="H18" s="22">
        <f t="shared" si="6"/>
        <v>3562.1756019735403</v>
      </c>
      <c r="I18" s="22">
        <f>+SUMSQ($G$3:G18)/A18</f>
        <v>24367188.596112143</v>
      </c>
      <c r="J18" s="22">
        <f>+SUM($H$3:H18)/A18</f>
        <v>3728.127058522402</v>
      </c>
      <c r="K18" s="96">
        <f t="shared" si="7"/>
        <v>6.0451101351339478</v>
      </c>
      <c r="L18" s="96">
        <f>+AVERAGE($K$3:K18)</f>
        <v>29.579952092847218</v>
      </c>
      <c r="M18" s="95">
        <f>+SUM($G$3:G18)/J18</f>
        <v>-5.174599573925458</v>
      </c>
      <c r="O18" s="7">
        <v>16</v>
      </c>
      <c r="P18" s="88">
        <v>58926.5625</v>
      </c>
      <c r="Q18" s="77">
        <f t="shared" si="8"/>
        <v>49251.229004000001</v>
      </c>
      <c r="R18" s="77">
        <f t="shared" si="11"/>
        <v>24992.494435599438</v>
      </c>
      <c r="S18" s="78">
        <f t="shared" si="12"/>
        <v>2.3577703558899148</v>
      </c>
    </row>
    <row r="19" spans="1:19" x14ac:dyDescent="0.3">
      <c r="A19" s="8">
        <v>17</v>
      </c>
      <c r="B19" s="9">
        <v>57714.664062999997</v>
      </c>
      <c r="C19" s="9">
        <f t="shared" si="15"/>
        <v>59901.69253087035</v>
      </c>
      <c r="D19" s="9">
        <f t="shared" si="13"/>
        <v>8638.7787480095358</v>
      </c>
      <c r="E19" s="68">
        <f t="shared" si="14"/>
        <v>0.95338105525681494</v>
      </c>
      <c r="F19" s="9">
        <f t="shared" si="2"/>
        <v>55062.942496482428</v>
      </c>
      <c r="G19" s="9">
        <f t="shared" si="3"/>
        <v>-2651.7215665175681</v>
      </c>
      <c r="H19" s="9">
        <f t="shared" si="6"/>
        <v>2651.7215665175681</v>
      </c>
      <c r="I19" s="9">
        <f>+SUMSQ($G$3:G19)/A19</f>
        <v>23347449.694360513</v>
      </c>
      <c r="J19" s="9">
        <f>+SUM($H$3:H19)/A19</f>
        <v>3664.8090884044705</v>
      </c>
      <c r="K19" s="69">
        <f t="shared" si="7"/>
        <v>4.5945369509956953</v>
      </c>
      <c r="L19" s="69">
        <f>+AVERAGE($K$3:K19)</f>
        <v>28.110221790385364</v>
      </c>
      <c r="M19" s="68">
        <f>+SUM($G$3:G19)/J19</f>
        <v>-5.9875659893216699</v>
      </c>
      <c r="O19" s="7">
        <v>17</v>
      </c>
      <c r="P19" s="88">
        <v>57714.664062999997</v>
      </c>
      <c r="Q19" s="77">
        <f t="shared" si="8"/>
        <v>48508.190918125001</v>
      </c>
      <c r="R19" s="77">
        <f t="shared" si="11"/>
        <v>25372.306828190765</v>
      </c>
      <c r="S19" s="78">
        <f t="shared" si="12"/>
        <v>2.2747109458283137</v>
      </c>
    </row>
    <row r="20" spans="1:19" x14ac:dyDescent="0.3">
      <c r="A20" s="21">
        <v>18</v>
      </c>
      <c r="B20" s="22">
        <v>37293.792969000002</v>
      </c>
      <c r="C20" s="22">
        <f t="shared" si="15"/>
        <v>44863.901781591383</v>
      </c>
      <c r="D20" s="22">
        <f t="shared" si="13"/>
        <v>-2263.6036620604855</v>
      </c>
      <c r="E20" s="95">
        <f t="shared" si="14"/>
        <v>0.9851134084637625</v>
      </c>
      <c r="F20" s="22">
        <f t="shared" si="2"/>
        <v>67520.137279249975</v>
      </c>
      <c r="G20" s="22">
        <f t="shared" si="3"/>
        <v>30226.344310249973</v>
      </c>
      <c r="H20" s="22">
        <f t="shared" si="6"/>
        <v>30226.344310249973</v>
      </c>
      <c r="I20" s="22">
        <f>+SUMSQ($G$3:G20)/A20</f>
        <v>72807696.398106083</v>
      </c>
      <c r="J20" s="22">
        <f>+SUM($H$3:H20)/A20</f>
        <v>5140.4499340625543</v>
      </c>
      <c r="K20" s="96">
        <f t="shared" si="7"/>
        <v>81.049262903816839</v>
      </c>
      <c r="L20" s="96">
        <f>+AVERAGE($K$3:K20)</f>
        <v>31.051279630020442</v>
      </c>
      <c r="M20" s="95">
        <f>+SUM($G$3:G20)/J20</f>
        <v>1.6113488432745458</v>
      </c>
      <c r="O20" s="70">
        <v>18</v>
      </c>
      <c r="P20" s="86">
        <v>37293.792969000002</v>
      </c>
      <c r="Q20" s="77">
        <f t="shared" si="8"/>
        <v>45059.536133000001</v>
      </c>
      <c r="R20" s="71">
        <f t="shared" si="11"/>
        <v>25752.119220782093</v>
      </c>
      <c r="S20" s="79">
        <f t="shared" si="12"/>
        <v>1.4481834543117413</v>
      </c>
    </row>
    <row r="21" spans="1:19" x14ac:dyDescent="0.3">
      <c r="A21" s="8">
        <v>19</v>
      </c>
      <c r="B21" s="9">
        <v>35035.984375</v>
      </c>
      <c r="C21" s="9">
        <f t="shared" si="15"/>
        <v>34473.623520200468</v>
      </c>
      <c r="D21" s="9">
        <f t="shared" si="13"/>
        <v>-6005.7046541087466</v>
      </c>
      <c r="E21" s="68">
        <f t="shared" si="14"/>
        <v>1.0925283353782453</v>
      </c>
      <c r="F21" s="9">
        <f t="shared" si="2"/>
        <v>46542.032791148085</v>
      </c>
      <c r="G21" s="9">
        <f t="shared" si="3"/>
        <v>11506.048416148085</v>
      </c>
      <c r="H21" s="9">
        <f t="shared" si="6"/>
        <v>11506.048416148085</v>
      </c>
      <c r="I21" s="9">
        <f>+SUMSQ($G$3:G21)/A21</f>
        <v>75943562.385297552</v>
      </c>
      <c r="J21" s="9">
        <f>+SUM($H$3:H21)/A21</f>
        <v>5475.4814331196876</v>
      </c>
      <c r="K21" s="69">
        <f t="shared" si="7"/>
        <v>32.840659742839279</v>
      </c>
      <c r="L21" s="69">
        <f>+AVERAGE($K$3:K21)</f>
        <v>31.145457530695118</v>
      </c>
      <c r="M21" s="68">
        <f>+SUM($G$3:G21)/J21</f>
        <v>3.6141308692257836</v>
      </c>
      <c r="O21" s="73">
        <v>19</v>
      </c>
      <c r="P21" s="87">
        <v>35035.984375</v>
      </c>
      <c r="Q21" s="77">
        <f t="shared" si="8"/>
        <v>41549.459961125001</v>
      </c>
      <c r="R21" s="74">
        <f t="shared" si="11"/>
        <v>26131.931613373417</v>
      </c>
      <c r="S21" s="75">
        <f t="shared" si="12"/>
        <v>1.3407345807177069</v>
      </c>
    </row>
    <row r="22" spans="1:19" x14ac:dyDescent="0.3">
      <c r="A22" s="21">
        <v>20</v>
      </c>
      <c r="B22" s="22">
        <v>41460.84375</v>
      </c>
      <c r="C22" s="22">
        <f t="shared" si="15"/>
        <v>33858.605973114965</v>
      </c>
      <c r="D22" s="22">
        <f t="shared" si="13"/>
        <v>-3523.4475728820053</v>
      </c>
      <c r="E22" s="95">
        <f t="shared" si="14"/>
        <v>1.1694311179154433</v>
      </c>
      <c r="F22" s="22">
        <f t="shared" si="2"/>
        <v>33291.270184299778</v>
      </c>
      <c r="G22" s="22">
        <f t="shared" si="3"/>
        <v>-8169.5735657002224</v>
      </c>
      <c r="H22" s="22">
        <f t="shared" si="6"/>
        <v>8169.5735657002224</v>
      </c>
      <c r="I22" s="22">
        <f>+SUMSQ($G$3:G22)/A22</f>
        <v>75483480.878302068</v>
      </c>
      <c r="J22" s="22">
        <f>+SUM($H$3:H22)/A22</f>
        <v>5610.1860397487144</v>
      </c>
      <c r="K22" s="96">
        <f t="shared" si="7"/>
        <v>19.704310927585073</v>
      </c>
      <c r="L22" s="96">
        <f>+AVERAGE($K$3:K22)</f>
        <v>30.573400200539616</v>
      </c>
      <c r="M22" s="95">
        <f>+SUM($G$3:G22)/J22</f>
        <v>2.071149302943744</v>
      </c>
      <c r="O22" s="7">
        <v>20</v>
      </c>
      <c r="P22" s="88">
        <v>41460.84375</v>
      </c>
      <c r="Q22" s="77">
        <f t="shared" si="8"/>
        <v>41037.967285375002</v>
      </c>
      <c r="R22" s="77">
        <f t="shared" si="11"/>
        <v>26511.744005964745</v>
      </c>
      <c r="S22" s="78">
        <f t="shared" si="12"/>
        <v>1.5638670824775591</v>
      </c>
    </row>
    <row r="23" spans="1:19" x14ac:dyDescent="0.3">
      <c r="A23" s="8">
        <v>21</v>
      </c>
      <c r="B23" s="9">
        <v>47099.773437999997</v>
      </c>
      <c r="C23" s="9">
        <f t="shared" si="15"/>
        <v>44811.135349429816</v>
      </c>
      <c r="D23" s="9">
        <f t="shared" si="13"/>
        <v>3142.3253752461906</v>
      </c>
      <c r="E23" s="68">
        <f t="shared" si="14"/>
        <v>0.95936044562751888</v>
      </c>
      <c r="F23" s="9">
        <f t="shared" si="2"/>
        <v>29102.351081028868</v>
      </c>
      <c r="G23" s="9">
        <f t="shared" si="3"/>
        <v>-17997.422356971128</v>
      </c>
      <c r="H23" s="9">
        <f t="shared" si="6"/>
        <v>17997.422356971128</v>
      </c>
      <c r="I23" s="9">
        <f>+SUMSQ($G$3:G23)/A23</f>
        <v>87313182.336249784</v>
      </c>
      <c r="J23" s="9">
        <f>+SUM($H$3:H23)/A23</f>
        <v>6200.0544358069246</v>
      </c>
      <c r="K23" s="69">
        <f t="shared" si="7"/>
        <v>38.211271611873286</v>
      </c>
      <c r="L23" s="69">
        <f>+AVERAGE($K$3:K23)</f>
        <v>30.937108362984077</v>
      </c>
      <c r="M23" s="68">
        <f>+SUM($G$3:G23)/J23</f>
        <v>-1.0286828151906031</v>
      </c>
      <c r="O23" s="7">
        <v>21</v>
      </c>
      <c r="P23" s="88">
        <v>47099.773437999997</v>
      </c>
      <c r="Q23" s="77">
        <f t="shared" si="8"/>
        <v>45138.894043250002</v>
      </c>
      <c r="R23" s="77">
        <f t="shared" si="11"/>
        <v>26891.556398556073</v>
      </c>
      <c r="S23" s="78">
        <f t="shared" si="12"/>
        <v>1.7514707122169022</v>
      </c>
    </row>
    <row r="24" spans="1:19" x14ac:dyDescent="0.3">
      <c r="A24" s="21">
        <v>22</v>
      </c>
      <c r="B24" s="22">
        <v>43816.742187999997</v>
      </c>
      <c r="C24" s="22">
        <f t="shared" si="15"/>
        <v>48765.631252520245</v>
      </c>
      <c r="D24" s="22">
        <f t="shared" si="13"/>
        <v>3516.306651450936</v>
      </c>
      <c r="E24" s="95">
        <f t="shared" si="14"/>
        <v>0.8941102083452892</v>
      </c>
      <c r="F24" s="22">
        <f t="shared" si="2"/>
        <v>42875.678759417708</v>
      </c>
      <c r="G24" s="22">
        <f t="shared" si="3"/>
        <v>-941.06342858228891</v>
      </c>
      <c r="H24" s="22">
        <f t="shared" si="6"/>
        <v>941.06342858228891</v>
      </c>
      <c r="I24" s="22">
        <f>+SUMSQ($G$3:G24)/A24</f>
        <v>83384655.88353911</v>
      </c>
      <c r="J24" s="22">
        <f>+SUM($H$3:H24)/A24</f>
        <v>5961.0093900239872</v>
      </c>
      <c r="K24" s="96">
        <f t="shared" si="7"/>
        <v>2.1477256902043624</v>
      </c>
      <c r="L24" s="96">
        <f>+AVERAGE($K$3:K24)</f>
        <v>29.628500059675904</v>
      </c>
      <c r="M24" s="95">
        <f>+SUM($G$3:G24)/J24</f>
        <v>-1.227804286333072</v>
      </c>
      <c r="O24" s="70">
        <v>22</v>
      </c>
      <c r="P24" s="86">
        <v>43816.742187999997</v>
      </c>
      <c r="Q24" s="77">
        <f t="shared" si="8"/>
        <v>50355.342285500003</v>
      </c>
      <c r="R24" s="71">
        <f t="shared" si="11"/>
        <v>27271.368791147397</v>
      </c>
      <c r="S24" s="79">
        <f t="shared" ref="S24:S59" si="16">+P24/R24</f>
        <v>1.6066939112430403</v>
      </c>
    </row>
    <row r="25" spans="1:19" x14ac:dyDescent="0.3">
      <c r="A25" s="8">
        <v>23</v>
      </c>
      <c r="B25" s="9">
        <v>61320.449219000002</v>
      </c>
      <c r="C25" s="9">
        <f t="shared" si="15"/>
        <v>57113.145743718531</v>
      </c>
      <c r="D25" s="9">
        <f t="shared" si="13"/>
        <v>5740.9395475926676</v>
      </c>
      <c r="E25" s="68">
        <f t="shared" si="14"/>
        <v>1.0474459026560381</v>
      </c>
      <c r="F25" s="9">
        <f t="shared" si="2"/>
        <v>54762.501640432027</v>
      </c>
      <c r="G25" s="9">
        <f t="shared" si="3"/>
        <v>-6557.9475785679751</v>
      </c>
      <c r="H25" s="9">
        <f t="shared" si="6"/>
        <v>6557.9475785679751</v>
      </c>
      <c r="I25" s="9">
        <f>+SUMSQ($G$3:G25)/A25</f>
        <v>81629091.560048088</v>
      </c>
      <c r="J25" s="9">
        <f>+SUM($H$3:H25)/A25</f>
        <v>5986.963224308508</v>
      </c>
      <c r="K25" s="69">
        <f t="shared" si="7"/>
        <v>10.694552408034236</v>
      </c>
      <c r="L25" s="69">
        <f>+AVERAGE($K$3:K25)</f>
        <v>28.805284944387139</v>
      </c>
      <c r="M25" s="68">
        <f>+SUM($G$3:G25)/J25</f>
        <v>-2.317852964616113</v>
      </c>
      <c r="O25" s="73">
        <v>23</v>
      </c>
      <c r="P25" s="87">
        <v>61320.449219000002</v>
      </c>
      <c r="Q25" s="77">
        <f t="shared" si="8"/>
        <v>52187.729004250003</v>
      </c>
      <c r="R25" s="74">
        <f t="shared" si="11"/>
        <v>27651.181183738721</v>
      </c>
      <c r="S25" s="75">
        <f t="shared" si="16"/>
        <v>2.2176430298414056</v>
      </c>
    </row>
    <row r="26" spans="1:19" x14ac:dyDescent="0.3">
      <c r="A26" s="21">
        <v>24</v>
      </c>
      <c r="B26" s="22">
        <v>56907.964844000002</v>
      </c>
      <c r="C26" s="22">
        <f t="shared" si="15"/>
        <v>50885.387190401256</v>
      </c>
      <c r="D26" s="22">
        <f t="shared" si="13"/>
        <v>229.69672748130233</v>
      </c>
      <c r="E26" s="95">
        <f t="shared" si="14"/>
        <v>1.2020221711075605</v>
      </c>
      <c r="F26" s="22">
        <f t="shared" si="2"/>
        <v>75552.004064841662</v>
      </c>
      <c r="G26" s="22">
        <f t="shared" si="3"/>
        <v>18644.03922084166</v>
      </c>
      <c r="H26" s="22">
        <f t="shared" si="6"/>
        <v>18644.03922084166</v>
      </c>
      <c r="I26" s="22">
        <f>+SUMSQ($G$3:G26)/A26</f>
        <v>92711221.014557838</v>
      </c>
      <c r="J26" s="22">
        <f>+SUM($H$3:H26)/A26</f>
        <v>6514.341390830723</v>
      </c>
      <c r="K26" s="96">
        <f t="shared" si="7"/>
        <v>32.761739541995524</v>
      </c>
      <c r="L26" s="96">
        <f>+AVERAGE($K$3:K26)</f>
        <v>28.970137219287491</v>
      </c>
      <c r="M26" s="95">
        <f>+SUM($G$3:G26)/J26</f>
        <v>0.7317913625221637</v>
      </c>
      <c r="O26" s="7">
        <v>24</v>
      </c>
      <c r="P26" s="88">
        <v>56907.964844000002</v>
      </c>
      <c r="Q26" s="77">
        <f t="shared" si="8"/>
        <v>51422.353515875002</v>
      </c>
      <c r="R26" s="77">
        <f t="shared" si="11"/>
        <v>28030.993576330053</v>
      </c>
      <c r="S26" s="78">
        <f t="shared" si="16"/>
        <v>2.0301800822377647</v>
      </c>
    </row>
    <row r="27" spans="1:19" x14ac:dyDescent="0.3">
      <c r="A27" s="8">
        <v>25</v>
      </c>
      <c r="B27" s="9">
        <v>46311.746094000002</v>
      </c>
      <c r="C27" s="9">
        <f t="shared" si="15"/>
        <v>46928.771383388113</v>
      </c>
      <c r="D27" s="9">
        <f t="shared" si="13"/>
        <v>-1697.9803434877319</v>
      </c>
      <c r="E27" s="68">
        <f t="shared" si="14"/>
        <v>1.0136095336551367</v>
      </c>
      <c r="F27" s="9">
        <f t="shared" si="2"/>
        <v>51810.736372748113</v>
      </c>
      <c r="G27" s="9">
        <f t="shared" si="3"/>
        <v>5498.9902787481115</v>
      </c>
      <c r="H27" s="9">
        <f t="shared" si="6"/>
        <v>5498.9902787481115</v>
      </c>
      <c r="I27" s="9">
        <f>+SUMSQ($G$3:G27)/A27</f>
        <v>90212327.937406182</v>
      </c>
      <c r="J27" s="9">
        <f>+SUM($H$3:H27)/A27</f>
        <v>6473.7273463474194</v>
      </c>
      <c r="K27" s="69">
        <f t="shared" si="7"/>
        <v>11.873856510585211</v>
      </c>
      <c r="L27" s="69">
        <f>+AVERAGE($K$3:K27)</f>
        <v>28.286285990939401</v>
      </c>
      <c r="M27" s="68">
        <f>+SUM($G$3:G27)/J27</f>
        <v>1.5858142445357954</v>
      </c>
      <c r="O27" s="7">
        <v>25</v>
      </c>
      <c r="P27" s="88">
        <v>46311.746094000002</v>
      </c>
      <c r="Q27" s="77">
        <f t="shared" si="8"/>
        <v>48489.738281375001</v>
      </c>
      <c r="R27" s="77">
        <f t="shared" si="11"/>
        <v>28410.805968921377</v>
      </c>
      <c r="S27" s="78">
        <f t="shared" si="16"/>
        <v>1.6300750547049065</v>
      </c>
    </row>
    <row r="28" spans="1:19" x14ac:dyDescent="0.3">
      <c r="A28" s="21">
        <v>26</v>
      </c>
      <c r="B28" s="22">
        <v>38481.765625</v>
      </c>
      <c r="C28" s="22">
        <f t="shared" si="15"/>
        <v>43443.095610788252</v>
      </c>
      <c r="D28" s="22">
        <f t="shared" si="13"/>
        <v>-2521.1629081386927</v>
      </c>
      <c r="E28" s="95">
        <f t="shared" si="14"/>
        <v>0.89671680075622984</v>
      </c>
      <c r="F28" s="22">
        <f t="shared" si="2"/>
        <v>40559.210236973013</v>
      </c>
      <c r="G28" s="22">
        <f t="shared" si="3"/>
        <v>2077.4446119730128</v>
      </c>
      <c r="H28" s="22">
        <f t="shared" si="6"/>
        <v>2077.4446119730128</v>
      </c>
      <c r="I28" s="22">
        <f>+SUMSQ($G$3:G28)/A28</f>
        <v>86908614.405806541</v>
      </c>
      <c r="J28" s="22">
        <f>+SUM($H$3:H28)/A28</f>
        <v>6304.6395488714807</v>
      </c>
      <c r="K28" s="96">
        <f t="shared" si="7"/>
        <v>5.3985168773632974</v>
      </c>
      <c r="L28" s="96">
        <f>+AVERAGE($K$3:K28)</f>
        <v>27.405987178878778</v>
      </c>
      <c r="M28" s="95">
        <f>+SUM($G$3:G28)/J28</f>
        <v>1.9578555692785236</v>
      </c>
      <c r="O28" s="80">
        <v>26</v>
      </c>
      <c r="P28" s="89">
        <v>38481.765625</v>
      </c>
      <c r="Q28" s="77">
        <f t="shared" si="8"/>
        <v>44804.770019625001</v>
      </c>
      <c r="R28" s="81">
        <f t="shared" si="11"/>
        <v>28790.618361512701</v>
      </c>
      <c r="S28" s="82">
        <f t="shared" si="16"/>
        <v>1.3366078193180604</v>
      </c>
    </row>
    <row r="29" spans="1:19" x14ac:dyDescent="0.3">
      <c r="A29" s="8">
        <v>27</v>
      </c>
      <c r="B29" s="9">
        <v>43194.503905999998</v>
      </c>
      <c r="C29" s="9">
        <f t="shared" si="15"/>
        <v>40701.471125339522</v>
      </c>
      <c r="D29" s="9">
        <f t="shared" si="13"/>
        <v>-2622.6791528310041</v>
      </c>
      <c r="E29" s="68">
        <f t="shared" si="14"/>
        <v>1.0629554791809026</v>
      </c>
      <c r="F29" s="9">
        <f t="shared" si="2"/>
        <v>43498.192584953511</v>
      </c>
      <c r="G29" s="9">
        <f t="shared" si="3"/>
        <v>303.68867895351286</v>
      </c>
      <c r="H29" s="9">
        <f t="shared" si="6"/>
        <v>303.68867895351286</v>
      </c>
      <c r="I29" s="9">
        <f>+SUMSQ($G$3:G29)/A29</f>
        <v>83693192.643136844</v>
      </c>
      <c r="J29" s="9">
        <f>+SUM($H$3:H29)/A29</f>
        <v>6082.3821092448889</v>
      </c>
      <c r="K29" s="69">
        <f t="shared" si="7"/>
        <v>0.70307250110893971</v>
      </c>
      <c r="L29" s="69">
        <f>+AVERAGE($K$3:K29)</f>
        <v>26.41699033896138</v>
      </c>
      <c r="M29" s="68">
        <f>+SUM($G$3:G29)/J29</f>
        <v>2.0793271624257263</v>
      </c>
      <c r="O29" s="70">
        <v>27</v>
      </c>
      <c r="P29" s="86">
        <v>43194.503905999998</v>
      </c>
      <c r="Q29" s="71">
        <f t="shared" si="8"/>
        <v>42310.734863375001</v>
      </c>
      <c r="R29" s="71">
        <f t="shared" si="11"/>
        <v>29170.430754104033</v>
      </c>
      <c r="S29" s="72">
        <f t="shared" si="16"/>
        <v>1.4807633205732793</v>
      </c>
    </row>
    <row r="30" spans="1:19" x14ac:dyDescent="0.3">
      <c r="A30" s="21">
        <v>28</v>
      </c>
      <c r="B30" s="22">
        <v>45554.164062999997</v>
      </c>
      <c r="C30" s="22">
        <f t="shared" si="15"/>
        <v>39194.969442942907</v>
      </c>
      <c r="D30" s="22">
        <f t="shared" si="13"/>
        <v>-2108.7113830671469</v>
      </c>
      <c r="E30" s="95">
        <f t="shared" si="14"/>
        <v>1.1525324501613869</v>
      </c>
      <c r="F30" s="22">
        <f t="shared" si="2"/>
        <v>43887.043411260995</v>
      </c>
      <c r="G30" s="22">
        <f t="shared" si="3"/>
        <v>-1667.1206517390019</v>
      </c>
      <c r="H30" s="22">
        <f t="shared" si="6"/>
        <v>1667.1206517390019</v>
      </c>
      <c r="I30" s="22">
        <f>+SUMSQ($G$3:G30)/A30</f>
        <v>80803410.451148182</v>
      </c>
      <c r="J30" s="22">
        <f>+SUM($H$3:H30)/A30</f>
        <v>5924.6942000482504</v>
      </c>
      <c r="K30" s="96">
        <f t="shared" si="7"/>
        <v>3.6596449216660538</v>
      </c>
      <c r="L30" s="96">
        <f>+AVERAGE($K$3:K30)</f>
        <v>25.604228002629405</v>
      </c>
      <c r="M30" s="95">
        <f>+SUM($G$3:G30)/J30</f>
        <v>1.8532841205841064</v>
      </c>
      <c r="O30" s="73">
        <v>28</v>
      </c>
      <c r="P30" s="87">
        <v>45554.164062999997</v>
      </c>
      <c r="Q30" s="74">
        <f t="shared" si="8"/>
        <v>40399.773437625001</v>
      </c>
      <c r="R30" s="74">
        <f t="shared" si="11"/>
        <v>29550.243146695357</v>
      </c>
      <c r="S30" s="75">
        <f t="shared" si="16"/>
        <v>1.5415833919489892</v>
      </c>
    </row>
    <row r="31" spans="1:19" x14ac:dyDescent="0.3">
      <c r="A31" s="8">
        <v>29</v>
      </c>
      <c r="B31" s="9">
        <v>37713.265625</v>
      </c>
      <c r="C31" s="9">
        <f t="shared" si="15"/>
        <v>37634.776204436115</v>
      </c>
      <c r="D31" s="9">
        <f t="shared" si="13"/>
        <v>-1856.1344811834547</v>
      </c>
      <c r="E31" s="68">
        <f t="shared" si="14"/>
        <v>0.99778205093096028</v>
      </c>
      <c r="F31" s="9">
        <f t="shared" si="2"/>
        <v>37004.002628337694</v>
      </c>
      <c r="G31" s="9">
        <f t="shared" si="3"/>
        <v>-709.26299666230625</v>
      </c>
      <c r="H31" s="9">
        <f t="shared" si="6"/>
        <v>709.26299666230625</v>
      </c>
      <c r="I31" s="9">
        <f>+SUMSQ($G$3:G31)/A31</f>
        <v>78034432.642433926</v>
      </c>
      <c r="J31" s="9">
        <f>+SUM($H$3:H31)/A31</f>
        <v>5744.8517447590793</v>
      </c>
      <c r="K31" s="69">
        <f t="shared" si="7"/>
        <v>1.8806724501527605</v>
      </c>
      <c r="L31" s="69">
        <f>+AVERAGE($K$3:K31)</f>
        <v>24.786174362888833</v>
      </c>
      <c r="M31" s="68">
        <f>+SUM($G$3:G31)/J31</f>
        <v>1.7878405118067322</v>
      </c>
      <c r="O31" s="7">
        <v>29</v>
      </c>
      <c r="P31" s="88">
        <v>37713.265625</v>
      </c>
      <c r="Q31" s="77">
        <f t="shared" si="8"/>
        <v>36641.867920125005</v>
      </c>
      <c r="R31" s="77">
        <f t="shared" si="11"/>
        <v>29930.055539286681</v>
      </c>
      <c r="S31" s="78">
        <f t="shared" si="16"/>
        <v>1.2600466302341788</v>
      </c>
    </row>
    <row r="32" spans="1:19" x14ac:dyDescent="0.3">
      <c r="A32" s="21">
        <v>30</v>
      </c>
      <c r="B32" s="22">
        <v>31792.554688</v>
      </c>
      <c r="C32" s="22">
        <f t="shared" si="15"/>
        <v>35726.93536643144</v>
      </c>
      <c r="D32" s="22">
        <f t="shared" si="13"/>
        <v>-1879.9437781832178</v>
      </c>
      <c r="E32" s="95">
        <f t="shared" si="14"/>
        <v>0.89025762993594371</v>
      </c>
      <c r="F32" s="22">
        <f t="shared" si="2"/>
        <v>31852.208782870181</v>
      </c>
      <c r="G32" s="22">
        <f t="shared" si="3"/>
        <v>59.654094870180415</v>
      </c>
      <c r="H32" s="22">
        <f t="shared" si="6"/>
        <v>59.654094870180415</v>
      </c>
      <c r="I32" s="22">
        <f>+SUMSQ($G$3:G32)/A32</f>
        <v>75433403.508053958</v>
      </c>
      <c r="J32" s="22">
        <f>+SUM($H$3:H32)/A32</f>
        <v>5555.3451564294492</v>
      </c>
      <c r="K32" s="96">
        <f t="shared" si="7"/>
        <v>0.18763542425452417</v>
      </c>
      <c r="L32" s="96">
        <f>+AVERAGE($K$3:K32)</f>
        <v>23.966223064934354</v>
      </c>
      <c r="M32" s="95">
        <f>+SUM($G$3:G32)/J32</f>
        <v>1.8595663253286907</v>
      </c>
      <c r="O32" s="7">
        <v>30</v>
      </c>
      <c r="P32" s="88">
        <v>31792.554688</v>
      </c>
      <c r="Q32" s="77">
        <f t="shared" si="8"/>
        <v>30942.933105625001</v>
      </c>
      <c r="R32" s="77">
        <f t="shared" si="11"/>
        <v>30309.867931878009</v>
      </c>
      <c r="S32" s="78">
        <f t="shared" si="16"/>
        <v>1.0489176250933971</v>
      </c>
    </row>
    <row r="33" spans="1:19" x14ac:dyDescent="0.3">
      <c r="A33" s="8">
        <v>31</v>
      </c>
      <c r="B33" s="9">
        <v>19820.470702999999</v>
      </c>
      <c r="C33" s="9">
        <f t="shared" si="15"/>
        <v>22131.265779627432</v>
      </c>
      <c r="D33" s="9">
        <f t="shared" si="13"/>
        <v>-7274.7001001131548</v>
      </c>
      <c r="E33" s="68">
        <f t="shared" si="14"/>
        <v>1.0619476508184134</v>
      </c>
      <c r="F33" s="9">
        <f t="shared" si="2"/>
        <v>35943.733204410797</v>
      </c>
      <c r="G33" s="9">
        <f t="shared" si="3"/>
        <v>16123.262501410798</v>
      </c>
      <c r="H33" s="9">
        <f t="shared" si="6"/>
        <v>16123.262501410798</v>
      </c>
      <c r="I33" s="9">
        <f>+SUMSQ($G$3:G33)/A33</f>
        <v>81385861.255839303</v>
      </c>
      <c r="J33" s="9">
        <f>+SUM($H$3:H33)/A33</f>
        <v>5896.2457159449759</v>
      </c>
      <c r="K33" s="69">
        <f t="shared" si="7"/>
        <v>81.346516654472808</v>
      </c>
      <c r="L33" s="69">
        <f>+AVERAGE($K$3:K33)</f>
        <v>25.81720027750011</v>
      </c>
      <c r="M33" s="68">
        <f>+SUM($G$3:G33)/J33</f>
        <v>4.4865489930901177</v>
      </c>
      <c r="O33" s="70">
        <v>31</v>
      </c>
      <c r="P33" s="86">
        <v>19820.470702999999</v>
      </c>
      <c r="Q33" s="77">
        <f t="shared" si="8"/>
        <v>25957.906494250001</v>
      </c>
      <c r="R33" s="71">
        <f t="shared" si="11"/>
        <v>30689.680324469336</v>
      </c>
      <c r="S33" s="79">
        <f t="shared" si="16"/>
        <v>0.64583503293114608</v>
      </c>
    </row>
    <row r="34" spans="1:19" x14ac:dyDescent="0.3">
      <c r="A34" s="21">
        <v>32</v>
      </c>
      <c r="B34" s="22">
        <v>23336.71875</v>
      </c>
      <c r="C34" s="22">
        <f t="shared" si="15"/>
        <v>18939.519069640555</v>
      </c>
      <c r="D34" s="22">
        <f t="shared" si="13"/>
        <v>-5394.6169560264943</v>
      </c>
      <c r="E34" s="95">
        <f t="shared" si="14"/>
        <v>1.1582776452666963</v>
      </c>
      <c r="F34" s="22">
        <f t="shared" si="2"/>
        <v>17208.027912017813</v>
      </c>
      <c r="G34" s="22">
        <f t="shared" si="3"/>
        <v>-6128.6908379821871</v>
      </c>
      <c r="H34" s="22">
        <f t="shared" si="6"/>
        <v>6128.6908379821871</v>
      </c>
      <c r="I34" s="22">
        <f>+SUMSQ($G$3:G34)/A34</f>
        <v>80016329.697455794</v>
      </c>
      <c r="J34" s="22">
        <f>+SUM($H$3:H34)/A34</f>
        <v>5903.5096260086393</v>
      </c>
      <c r="K34" s="96">
        <f t="shared" si="7"/>
        <v>26.262007541150943</v>
      </c>
      <c r="L34" s="96">
        <f>+AVERAGE($K$3:K34)</f>
        <v>25.8311005044892</v>
      </c>
      <c r="M34" s="95">
        <f>+SUM($G$3:G34)/J34</f>
        <v>3.4428849497183691</v>
      </c>
      <c r="O34" s="73">
        <v>32</v>
      </c>
      <c r="P34" s="87">
        <v>23336.71875</v>
      </c>
      <c r="Q34" s="77">
        <f t="shared" si="8"/>
        <v>22204.879394625001</v>
      </c>
      <c r="R34" s="74">
        <f t="shared" si="11"/>
        <v>31069.492717060661</v>
      </c>
      <c r="S34" s="75">
        <f t="shared" si="16"/>
        <v>0.75111360724552501</v>
      </c>
    </row>
    <row r="35" spans="1:19" x14ac:dyDescent="0.3">
      <c r="A35" s="8">
        <v>33</v>
      </c>
      <c r="B35" s="9">
        <v>20050.498047000001</v>
      </c>
      <c r="C35" s="9">
        <f t="shared" si="15"/>
        <v>18559.866554817065</v>
      </c>
      <c r="D35" s="9">
        <f t="shared" si="13"/>
        <v>-3085.3694057359094</v>
      </c>
      <c r="E35" s="68">
        <f t="shared" si="14"/>
        <v>1.0003276267997492</v>
      </c>
      <c r="F35" s="9">
        <f t="shared" si="2"/>
        <v>13549.339786546461</v>
      </c>
      <c r="G35" s="9">
        <f t="shared" si="3"/>
        <v>-6501.1582604535397</v>
      </c>
      <c r="H35" s="9">
        <f t="shared" si="6"/>
        <v>6501.1582604535397</v>
      </c>
      <c r="I35" s="9">
        <f>+SUMSQ($G$3:G35)/A35</f>
        <v>78872351.789274201</v>
      </c>
      <c r="J35" s="9">
        <f>+SUM($H$3:H35)/A35</f>
        <v>5921.6201906887882</v>
      </c>
      <c r="K35" s="69">
        <f t="shared" si="7"/>
        <v>32.423924060211846</v>
      </c>
      <c r="L35" s="69">
        <f>+AVERAGE($K$3:K35)</f>
        <v>26.030883036480798</v>
      </c>
      <c r="M35" s="68">
        <f>+SUM($G$3:G35)/J35</f>
        <v>2.3344871397165976</v>
      </c>
      <c r="O35" s="7">
        <v>33</v>
      </c>
      <c r="P35" s="88">
        <v>20050.498047000001</v>
      </c>
      <c r="Q35" s="77">
        <f t="shared" si="8"/>
        <v>20744.001709125001</v>
      </c>
      <c r="R35" s="77">
        <f t="shared" si="11"/>
        <v>31449.305109651988</v>
      </c>
      <c r="S35" s="78">
        <f t="shared" si="16"/>
        <v>0.63754979568201575</v>
      </c>
    </row>
    <row r="36" spans="1:19" x14ac:dyDescent="0.3">
      <c r="A36" s="21">
        <v>34</v>
      </c>
      <c r="B36" s="22">
        <v>19431.105468999998</v>
      </c>
      <c r="C36" s="22">
        <f t="shared" si="15"/>
        <v>20380.187944787656</v>
      </c>
      <c r="D36" s="22">
        <f t="shared" si="13"/>
        <v>-826.43924076931467</v>
      </c>
      <c r="E36" s="95">
        <f t="shared" si="14"/>
        <v>0.89003209564807073</v>
      </c>
      <c r="F36" s="22">
        <f t="shared" si="2"/>
        <v>13772.799126696797</v>
      </c>
      <c r="G36" s="22">
        <f t="shared" si="3"/>
        <v>-5658.3063423032017</v>
      </c>
      <c r="H36" s="22">
        <f t="shared" si="6"/>
        <v>5658.3063423032017</v>
      </c>
      <c r="I36" s="22">
        <f>+SUMSQ($G$3:G36)/A36</f>
        <v>77494236.462041095</v>
      </c>
      <c r="J36" s="22">
        <f>+SUM($H$3:H36)/A36</f>
        <v>5913.875665736271</v>
      </c>
      <c r="K36" s="96">
        <f t="shared" si="7"/>
        <v>29.119837527156406</v>
      </c>
      <c r="L36" s="96">
        <f>+AVERAGE($K$3:K36)</f>
        <v>26.121734639147725</v>
      </c>
      <c r="M36" s="95">
        <f>+SUM($G$3:G36)/J36</f>
        <v>1.3807594715688545</v>
      </c>
      <c r="O36" s="7">
        <v>34</v>
      </c>
      <c r="P36" s="88">
        <v>19431.105468999998</v>
      </c>
      <c r="Q36" s="77">
        <f t="shared" si="8"/>
        <v>20057.215576375002</v>
      </c>
      <c r="R36" s="77">
        <f t="shared" si="11"/>
        <v>31829.117502243316</v>
      </c>
      <c r="S36" s="78">
        <f t="shared" si="16"/>
        <v>0.61048206779941339</v>
      </c>
    </row>
    <row r="37" spans="1:19" x14ac:dyDescent="0.3">
      <c r="A37" s="8">
        <v>35</v>
      </c>
      <c r="B37" s="9">
        <v>20494.898438</v>
      </c>
      <c r="C37" s="9">
        <f t="shared" si="15"/>
        <v>20878.359013963585</v>
      </c>
      <c r="D37" s="9">
        <f t="shared" si="13"/>
        <v>-216.4941156954188</v>
      </c>
      <c r="E37" s="68">
        <f t="shared" si="14"/>
        <v>0.96354319782172027</v>
      </c>
      <c r="F37" s="9">
        <f t="shared" si="2"/>
        <v>18840.881555672149</v>
      </c>
      <c r="G37" s="9">
        <f t="shared" si="3"/>
        <v>-1654.0168823278509</v>
      </c>
      <c r="H37" s="9">
        <f t="shared" si="6"/>
        <v>1654.0168823278509</v>
      </c>
      <c r="I37" s="9">
        <f>+SUMSQ($G$3:G37)/A37</f>
        <v>75358280.330183506</v>
      </c>
      <c r="J37" s="9">
        <f>+SUM($H$3:H37)/A37</f>
        <v>5792.1654147817444</v>
      </c>
      <c r="K37" s="69">
        <f t="shared" si="7"/>
        <v>8.0703834045896272</v>
      </c>
      <c r="L37" s="69">
        <f>+AVERAGE($K$3:K37)</f>
        <v>25.605981746731782</v>
      </c>
      <c r="M37" s="68">
        <f>+SUM($G$3:G37)/J37</f>
        <v>1.1242121884503251</v>
      </c>
      <c r="O37" s="70">
        <v>35</v>
      </c>
      <c r="P37" s="86">
        <v>20494.898438</v>
      </c>
      <c r="Q37" s="77">
        <f t="shared" si="8"/>
        <v>18848.302978749998</v>
      </c>
      <c r="R37" s="71">
        <f t="shared" si="11"/>
        <v>32208.92989483464</v>
      </c>
      <c r="S37" s="79">
        <f t="shared" si="16"/>
        <v>0.6363110635751601</v>
      </c>
    </row>
    <row r="38" spans="1:19" x14ac:dyDescent="0.3">
      <c r="A38" s="21">
        <v>36</v>
      </c>
      <c r="B38" s="22">
        <v>17168.001952999999</v>
      </c>
      <c r="C38" s="22">
        <f t="shared" si="15"/>
        <v>15739.645733188019</v>
      </c>
      <c r="D38" s="22">
        <f t="shared" si="13"/>
        <v>-2483.0351215630576</v>
      </c>
      <c r="E38" s="95">
        <f t="shared" si="14"/>
        <v>1.2019862403913664</v>
      </c>
      <c r="F38" s="22">
        <f t="shared" si="2"/>
        <v>24835.277308543693</v>
      </c>
      <c r="G38" s="22">
        <f t="shared" si="3"/>
        <v>7667.2753555436939</v>
      </c>
      <c r="H38" s="22">
        <f t="shared" si="6"/>
        <v>7667.2753555436939</v>
      </c>
      <c r="I38" s="22">
        <f>+SUMSQ($G$3:G38)/A38</f>
        <v>74897970.081504166</v>
      </c>
      <c r="J38" s="22">
        <f>+SUM($H$3:H38)/A38</f>
        <v>5844.2518020251318</v>
      </c>
      <c r="K38" s="96">
        <f t="shared" si="7"/>
        <v>44.660266095810215</v>
      </c>
      <c r="L38" s="96">
        <f>+AVERAGE($K$3:K38)</f>
        <v>26.135267423095073</v>
      </c>
      <c r="M38" s="95">
        <f>+SUM($G$3:G38)/J38</f>
        <v>2.4261272088667596</v>
      </c>
      <c r="O38" s="73">
        <v>36</v>
      </c>
      <c r="P38" s="87">
        <v>17168.001952999999</v>
      </c>
      <c r="Q38" s="77">
        <f t="shared" si="8"/>
        <v>18873.821289375002</v>
      </c>
      <c r="R38" s="74">
        <f t="shared" si="11"/>
        <v>32588.742287425968</v>
      </c>
      <c r="S38" s="75">
        <f t="shared" si="16"/>
        <v>0.52680774856488088</v>
      </c>
    </row>
    <row r="39" spans="1:19" x14ac:dyDescent="0.3">
      <c r="A39" s="8">
        <v>37</v>
      </c>
      <c r="B39" s="9">
        <v>16547.914063</v>
      </c>
      <c r="C39" s="9">
        <f t="shared" si="15"/>
        <v>15215.66694587814</v>
      </c>
      <c r="D39" s="9">
        <f t="shared" si="13"/>
        <v>-1580.9457660361043</v>
      </c>
      <c r="E39" s="68">
        <f t="shared" si="14"/>
        <v>1.0476410062653216</v>
      </c>
      <c r="F39" s="9">
        <f t="shared" si="2"/>
        <v>13888.168880830315</v>
      </c>
      <c r="G39" s="9">
        <f t="shared" si="3"/>
        <v>-2659.745182169685</v>
      </c>
      <c r="H39" s="9">
        <f t="shared" si="6"/>
        <v>2659.745182169685</v>
      </c>
      <c r="I39" s="9">
        <f>+SUMSQ($G$3:G39)/A39</f>
        <v>73064896.415357441</v>
      </c>
      <c r="J39" s="9">
        <f>+SUM($H$3:H39)/A39</f>
        <v>5758.1840555425524</v>
      </c>
      <c r="K39" s="69">
        <f t="shared" si="7"/>
        <v>16.072993683939249</v>
      </c>
      <c r="L39" s="69">
        <f>+AVERAGE($K$3:K39)</f>
        <v>25.863314078793561</v>
      </c>
      <c r="M39" s="68">
        <f>+SUM($G$3:G39)/J39</f>
        <v>2.0004836627450788</v>
      </c>
      <c r="O39" s="7">
        <v>37</v>
      </c>
      <c r="P39" s="88">
        <v>16547.914063</v>
      </c>
      <c r="Q39" s="77">
        <f t="shared" si="8"/>
        <v>19669.166504250003</v>
      </c>
      <c r="R39" s="77">
        <f t="shared" si="11"/>
        <v>32968.554680017296</v>
      </c>
      <c r="S39" s="78">
        <f t="shared" si="16"/>
        <v>0.50193022483420913</v>
      </c>
    </row>
    <row r="40" spans="1:19" x14ac:dyDescent="0.3">
      <c r="A40" s="21">
        <v>38</v>
      </c>
      <c r="B40" s="22">
        <v>23137.835938</v>
      </c>
      <c r="C40" s="22">
        <f t="shared" si="15"/>
        <v>22362.706896685359</v>
      </c>
      <c r="D40" s="22">
        <f t="shared" si="13"/>
        <v>2438.0417805150337</v>
      </c>
      <c r="E40" s="95">
        <f t="shared" si="14"/>
        <v>0.92753339818811353</v>
      </c>
      <c r="F40" s="22">
        <f t="shared" si="2"/>
        <v>12646.659269286329</v>
      </c>
      <c r="G40" s="22">
        <f t="shared" si="3"/>
        <v>-10491.176668713671</v>
      </c>
      <c r="H40" s="22">
        <f t="shared" si="6"/>
        <v>10491.176668713671</v>
      </c>
      <c r="I40" s="22">
        <f>+SUMSQ($G$3:G40)/A40</f>
        <v>74038577.770062819</v>
      </c>
      <c r="J40" s="22">
        <f>+SUM($H$3:H40)/A40</f>
        <v>5882.7364927312665</v>
      </c>
      <c r="K40" s="96">
        <f t="shared" si="7"/>
        <v>45.342082538858705</v>
      </c>
      <c r="L40" s="96">
        <f>+AVERAGE($K$3:K40)</f>
        <v>26.375913248795275</v>
      </c>
      <c r="M40" s="95">
        <f>+SUM($G$3:G40)/J40</f>
        <v>0.17474460444532558</v>
      </c>
      <c r="O40" s="7">
        <v>38</v>
      </c>
      <c r="P40" s="88">
        <v>23137.835938</v>
      </c>
      <c r="Q40" s="77">
        <f t="shared" si="8"/>
        <v>21414.336670249999</v>
      </c>
      <c r="R40" s="77">
        <f t="shared" si="11"/>
        <v>33348.36707260862</v>
      </c>
      <c r="S40" s="78">
        <f t="shared" si="16"/>
        <v>0.69382215589814433</v>
      </c>
    </row>
    <row r="41" spans="1:19" x14ac:dyDescent="0.3">
      <c r="A41" s="8">
        <v>39</v>
      </c>
      <c r="B41" s="9">
        <v>23150.929688</v>
      </c>
      <c r="C41" s="9">
        <f t="shared" si="15"/>
        <v>23999.949737876261</v>
      </c>
      <c r="D41" s="9">
        <f t="shared" si="13"/>
        <v>2069.2967952632644</v>
      </c>
      <c r="E41" s="68">
        <f t="shared" si="14"/>
        <v>0.97424388473380397</v>
      </c>
      <c r="F41" s="9">
        <f t="shared" si="2"/>
        <v>24161.977735582459</v>
      </c>
      <c r="G41" s="9">
        <f t="shared" si="3"/>
        <v>1011.0480475824588</v>
      </c>
      <c r="H41" s="9">
        <f t="shared" si="6"/>
        <v>1011.0480475824588</v>
      </c>
      <c r="I41" s="9">
        <f>+SUMSQ($G$3:G41)/A41</f>
        <v>72166363.42094636</v>
      </c>
      <c r="J41" s="9">
        <f>+SUM($H$3:H41)/A41</f>
        <v>5757.821404394118</v>
      </c>
      <c r="K41" s="69">
        <f t="shared" si="7"/>
        <v>4.367202791456462</v>
      </c>
      <c r="L41" s="69">
        <f>+AVERAGE($K$3:K41)</f>
        <v>25.811587339632741</v>
      </c>
      <c r="M41" s="68">
        <f>+SUM($G$3:G41)/J41</f>
        <v>0.35413125309943994</v>
      </c>
      <c r="O41" s="80">
        <v>39</v>
      </c>
      <c r="P41" s="89">
        <v>23150.929688</v>
      </c>
      <c r="Q41" s="77">
        <f t="shared" si="8"/>
        <v>24412.401611625002</v>
      </c>
      <c r="R41" s="81">
        <f t="shared" si="11"/>
        <v>33728.179465199952</v>
      </c>
      <c r="S41" s="82">
        <f t="shared" si="16"/>
        <v>0.68639725164788856</v>
      </c>
    </row>
    <row r="42" spans="1:19" x14ac:dyDescent="0.3">
      <c r="A42" s="21">
        <v>40</v>
      </c>
      <c r="B42" s="22">
        <v>28473.332031000002</v>
      </c>
      <c r="C42" s="22">
        <f t="shared" si="15"/>
        <v>25290.775884026978</v>
      </c>
      <c r="D42" s="22">
        <f t="shared" si="13"/>
        <v>1710.8333484107802</v>
      </c>
      <c r="E42" s="95">
        <f t="shared" si="14"/>
        <v>1.1361880139021805</v>
      </c>
      <c r="F42" s="22">
        <f t="shared" si="2"/>
        <v>29619.565442414103</v>
      </c>
      <c r="G42" s="22">
        <f t="shared" si="3"/>
        <v>1146.2334114141013</v>
      </c>
      <c r="H42" s="22">
        <f t="shared" si="6"/>
        <v>1146.2334114141013</v>
      </c>
      <c r="I42" s="22">
        <f>+SUMSQ($G$3:G42)/A42</f>
        <v>70395050.611258745</v>
      </c>
      <c r="J42" s="22">
        <f>+SUM($H$3:H42)/A42</f>
        <v>5642.5317045696174</v>
      </c>
      <c r="K42" s="96">
        <f t="shared" si="7"/>
        <v>4.0256384822336679</v>
      </c>
      <c r="L42" s="96">
        <f>+AVERAGE($K$3:K42)</f>
        <v>25.266938618197763</v>
      </c>
      <c r="M42" s="95">
        <f>+SUM($G$3:G42)/J42</f>
        <v>0.56450864385846145</v>
      </c>
      <c r="O42" s="70">
        <v>40</v>
      </c>
      <c r="P42" s="86">
        <v>28473.332031000002</v>
      </c>
      <c r="Q42" s="71">
        <f t="shared" si="8"/>
        <v>26507.372314625001</v>
      </c>
      <c r="R42" s="71">
        <f t="shared" si="11"/>
        <v>34107.991857791276</v>
      </c>
      <c r="S42" s="72">
        <f t="shared" si="16"/>
        <v>0.83479942617893665</v>
      </c>
    </row>
    <row r="43" spans="1:19" x14ac:dyDescent="0.3">
      <c r="A43" s="8">
        <v>41</v>
      </c>
      <c r="B43" s="9">
        <v>29227.103515999999</v>
      </c>
      <c r="C43" s="9">
        <f t="shared" si="15"/>
        <v>27218.838269935964</v>
      </c>
      <c r="D43" s="9">
        <f t="shared" si="13"/>
        <v>1810.8611010650702</v>
      </c>
      <c r="E43" s="68">
        <f t="shared" si="14"/>
        <v>1.0712521550543936</v>
      </c>
      <c r="F43" s="9">
        <f t="shared" si="2"/>
        <v>28925.53208018556</v>
      </c>
      <c r="G43" s="9">
        <f t="shared" si="3"/>
        <v>-301.57143581443961</v>
      </c>
      <c r="H43" s="9">
        <f t="shared" si="6"/>
        <v>301.57143581443961</v>
      </c>
      <c r="I43" s="9">
        <f>+SUMSQ($G$3:G43)/A43</f>
        <v>68680316.336128026</v>
      </c>
      <c r="J43" s="9">
        <f>+SUM($H$3:H43)/A43</f>
        <v>5512.2643809414421</v>
      </c>
      <c r="K43" s="69">
        <f t="shared" si="7"/>
        <v>1.0318211506978385</v>
      </c>
      <c r="L43" s="69">
        <f>+AVERAGE($K$3:K43)</f>
        <v>24.67583819216118</v>
      </c>
      <c r="M43" s="68">
        <f>+SUM($G$3:G43)/J43</f>
        <v>0.52314009005642459</v>
      </c>
      <c r="O43" s="73">
        <v>41</v>
      </c>
      <c r="P43" s="87">
        <v>29227.103515999999</v>
      </c>
      <c r="Q43" s="74">
        <f t="shared" si="8"/>
        <v>27932.559082</v>
      </c>
      <c r="R43" s="74">
        <f t="shared" si="11"/>
        <v>34487.8042503826</v>
      </c>
      <c r="S43" s="75">
        <f t="shared" si="16"/>
        <v>0.84746199856071613</v>
      </c>
    </row>
    <row r="44" spans="1:19" x14ac:dyDescent="0.3">
      <c r="A44" s="21">
        <v>42</v>
      </c>
      <c r="B44" s="22">
        <v>27218.412109000001</v>
      </c>
      <c r="C44" s="22">
        <f t="shared" si="15"/>
        <v>27824.882221761043</v>
      </c>
      <c r="D44" s="22">
        <f t="shared" si="13"/>
        <v>1256.0772969025168</v>
      </c>
      <c r="E44" s="95">
        <f t="shared" si="14"/>
        <v>0.99090109311322028</v>
      </c>
      <c r="F44" s="22">
        <f t="shared" si="2"/>
        <v>28765.560839473088</v>
      </c>
      <c r="G44" s="22">
        <f t="shared" si="3"/>
        <v>1547.1487304730872</v>
      </c>
      <c r="H44" s="22">
        <f t="shared" si="6"/>
        <v>1547.1487304730872</v>
      </c>
      <c r="I44" s="22">
        <f>+SUMSQ($G$3:G44)/A44</f>
        <v>67102062.83274889</v>
      </c>
      <c r="J44" s="22">
        <f>+SUM($H$3:H44)/A44</f>
        <v>5417.8568654541004</v>
      </c>
      <c r="K44" s="96">
        <f t="shared" si="7"/>
        <v>5.6841990792016457</v>
      </c>
      <c r="L44" s="96">
        <f>+AVERAGE($K$3:K44)</f>
        <v>24.223656308519288</v>
      </c>
      <c r="M44" s="95">
        <f>+SUM($G$3:G44)/J44</f>
        <v>0.81782064849035874</v>
      </c>
      <c r="O44" s="7">
        <v>42</v>
      </c>
      <c r="P44" s="88">
        <v>27218.412109000001</v>
      </c>
      <c r="Q44" s="77">
        <f t="shared" si="8"/>
        <v>28942.366454999999</v>
      </c>
      <c r="R44" s="77">
        <f t="shared" si="11"/>
        <v>34867.616642973924</v>
      </c>
      <c r="S44" s="78">
        <f t="shared" si="16"/>
        <v>0.7806215259190854</v>
      </c>
    </row>
    <row r="45" spans="1:19" x14ac:dyDescent="0.3">
      <c r="A45" s="8">
        <v>43</v>
      </c>
      <c r="B45" s="9">
        <v>30471.847656000002</v>
      </c>
      <c r="C45" s="9">
        <f t="shared" si="15"/>
        <v>30917.657832411314</v>
      </c>
      <c r="D45" s="9">
        <f t="shared" si="13"/>
        <v>2101.8242870102699</v>
      </c>
      <c r="E45" s="68">
        <f t="shared" si="14"/>
        <v>0.96855365837308027</v>
      </c>
      <c r="F45" s="9">
        <f t="shared" si="2"/>
        <v>28166.469730801044</v>
      </c>
      <c r="G45" s="9">
        <f t="shared" si="3"/>
        <v>-2305.3779251989581</v>
      </c>
      <c r="H45" s="9">
        <f t="shared" si="6"/>
        <v>2305.3779251989581</v>
      </c>
      <c r="I45" s="9">
        <f>+SUMSQ($G$3:G45)/A45</f>
        <v>65665148.984963901</v>
      </c>
      <c r="J45" s="9">
        <f>+SUM($H$3:H45)/A45</f>
        <v>5345.4736342853766</v>
      </c>
      <c r="K45" s="69">
        <f t="shared" si="7"/>
        <v>7.5655994058011187</v>
      </c>
      <c r="L45" s="69">
        <f>+AVERAGE($K$3:K45)</f>
        <v>23.836259636363053</v>
      </c>
      <c r="M45" s="68">
        <f>+SUM($G$3:G45)/J45</f>
        <v>0.39761814113199789</v>
      </c>
      <c r="O45" s="7">
        <v>43</v>
      </c>
      <c r="P45" s="88">
        <v>30471.847656000002</v>
      </c>
      <c r="Q45" s="77">
        <f t="shared" si="8"/>
        <v>28625.423827999999</v>
      </c>
      <c r="R45" s="77">
        <f t="shared" si="11"/>
        <v>35247.429035565256</v>
      </c>
      <c r="S45" s="78">
        <f t="shared" si="16"/>
        <v>0.86451263226187047</v>
      </c>
    </row>
    <row r="46" spans="1:19" x14ac:dyDescent="0.3">
      <c r="A46" s="21">
        <v>44</v>
      </c>
      <c r="B46" s="22">
        <v>29230.873047000001</v>
      </c>
      <c r="C46" s="22">
        <f t="shared" si="15"/>
        <v>27499.906321183298</v>
      </c>
      <c r="D46" s="22">
        <f t="shared" si="13"/>
        <v>-439.78234652897004</v>
      </c>
      <c r="E46" s="95">
        <f t="shared" si="14"/>
        <v>1.1300662159607124</v>
      </c>
      <c r="F46" s="22">
        <f t="shared" si="2"/>
        <v>37314.201211677151</v>
      </c>
      <c r="G46" s="22">
        <f t="shared" si="3"/>
        <v>8083.3281646771502</v>
      </c>
      <c r="H46" s="22">
        <f t="shared" si="6"/>
        <v>8083.3281646771502</v>
      </c>
      <c r="I46" s="22">
        <f>+SUMSQ($G$3:G46)/A46</f>
        <v>65657763.649347976</v>
      </c>
      <c r="J46" s="22">
        <f>+SUM($H$3:H46)/A46</f>
        <v>5407.6976008851898</v>
      </c>
      <c r="K46" s="96">
        <f t="shared" si="7"/>
        <v>27.653392875676534</v>
      </c>
      <c r="L46" s="96">
        <f>+AVERAGE($K$3:K46)</f>
        <v>23.923012664529267</v>
      </c>
      <c r="M46" s="95">
        <f>+SUM($G$3:G46)/J46</f>
        <v>1.887824765375328</v>
      </c>
      <c r="O46" s="70">
        <v>44</v>
      </c>
      <c r="P46" s="86">
        <v>29230.873047000001</v>
      </c>
      <c r="Q46" s="77">
        <f t="shared" si="8"/>
        <v>28182.411620874998</v>
      </c>
      <c r="R46" s="71">
        <f t="shared" si="11"/>
        <v>35627.24142815658</v>
      </c>
      <c r="S46" s="79">
        <f t="shared" si="16"/>
        <v>0.82046411328098334</v>
      </c>
    </row>
    <row r="47" spans="1:19" x14ac:dyDescent="0.3">
      <c r="A47" s="8">
        <v>45</v>
      </c>
      <c r="B47" s="9">
        <v>25934.021484000001</v>
      </c>
      <c r="C47" s="9">
        <f t="shared" si="15"/>
        <v>24834.054512598908</v>
      </c>
      <c r="D47" s="9">
        <f t="shared" si="13"/>
        <v>-1464.8236030119431</v>
      </c>
      <c r="E47" s="68">
        <f t="shared" si="14"/>
        <v>1.0727486963290427</v>
      </c>
      <c r="F47" s="9">
        <f t="shared" si="2"/>
        <v>29028.712716312704</v>
      </c>
      <c r="G47" s="9">
        <f t="shared" si="3"/>
        <v>3094.6912323127035</v>
      </c>
      <c r="H47" s="9">
        <f t="shared" si="6"/>
        <v>3094.6912323127035</v>
      </c>
      <c r="I47" s="9">
        <f>+SUMSQ($G$3:G47)/A47</f>
        <v>64411526.986548096</v>
      </c>
      <c r="J47" s="9">
        <f>+SUM($H$3:H47)/A47</f>
        <v>5356.2974593613571</v>
      </c>
      <c r="K47" s="69">
        <f t="shared" si="7"/>
        <v>11.9329400348572</v>
      </c>
      <c r="L47" s="69">
        <f>+AVERAGE($K$3:K47)</f>
        <v>23.65656660609211</v>
      </c>
      <c r="M47" s="68">
        <f>+SUM($G$3:G47)/J47</f>
        <v>2.4837075961256851</v>
      </c>
      <c r="O47" s="73">
        <v>45</v>
      </c>
      <c r="P47" s="87">
        <v>25934.021484000001</v>
      </c>
      <c r="Q47" s="77">
        <f t="shared" si="8"/>
        <v>28674.212890499999</v>
      </c>
      <c r="R47" s="74">
        <f t="shared" si="11"/>
        <v>36007.053820747911</v>
      </c>
      <c r="S47" s="75">
        <f t="shared" si="16"/>
        <v>0.72024836058806763</v>
      </c>
    </row>
    <row r="48" spans="1:19" x14ac:dyDescent="0.3">
      <c r="A48" s="21">
        <v>46</v>
      </c>
      <c r="B48" s="22">
        <v>26967.396484000001</v>
      </c>
      <c r="C48" s="22">
        <f t="shared" si="15"/>
        <v>26497.216922114188</v>
      </c>
      <c r="D48" s="22">
        <f t="shared" si="13"/>
        <v>-24.475596269354696</v>
      </c>
      <c r="E48" s="95">
        <f t="shared" si="14"/>
        <v>0.98339062838000091</v>
      </c>
      <c r="F48" s="22">
        <f t="shared" si="2"/>
        <v>22981.082668936066</v>
      </c>
      <c r="G48" s="22">
        <f t="shared" si="3"/>
        <v>-3986.3138150639352</v>
      </c>
      <c r="H48" s="22">
        <f t="shared" si="6"/>
        <v>3986.3138150639352</v>
      </c>
      <c r="I48" s="22">
        <f>+SUMSQ($G$3:G48)/A48</f>
        <v>63356726.35275726</v>
      </c>
      <c r="J48" s="22">
        <f>+SUM($H$3:H48)/A48</f>
        <v>5326.515206224457</v>
      </c>
      <c r="K48" s="96">
        <f t="shared" si="7"/>
        <v>14.781975032069006</v>
      </c>
      <c r="L48" s="96">
        <f>+AVERAGE($K$3:K48)</f>
        <v>23.463640702309</v>
      </c>
      <c r="M48" s="95">
        <f>+SUM($G$3:G48)/J48</f>
        <v>1.7492042191060919</v>
      </c>
      <c r="O48" s="7">
        <v>46</v>
      </c>
      <c r="P48" s="88">
        <v>26967.396484000001</v>
      </c>
      <c r="Q48" s="77">
        <f t="shared" si="8"/>
        <v>30258.282959</v>
      </c>
      <c r="R48" s="77">
        <f t="shared" si="11"/>
        <v>36386.866213339235</v>
      </c>
      <c r="S48" s="78">
        <f t="shared" si="16"/>
        <v>0.74112995403033344</v>
      </c>
    </row>
    <row r="49" spans="1:19" x14ac:dyDescent="0.3">
      <c r="A49" s="8">
        <v>47</v>
      </c>
      <c r="B49" s="9">
        <v>34657.273437999997</v>
      </c>
      <c r="C49" s="9">
        <f t="shared" si="15"/>
        <v>33372.432798414047</v>
      </c>
      <c r="D49" s="9">
        <f t="shared" si="13"/>
        <v>3152.6347935640811</v>
      </c>
      <c r="E49" s="68">
        <f t="shared" si="14"/>
        <v>0.9786253779270131</v>
      </c>
      <c r="F49" s="9">
        <f t="shared" si="2"/>
        <v>25906.896484768957</v>
      </c>
      <c r="G49" s="9">
        <f t="shared" si="3"/>
        <v>-8750.3769532310398</v>
      </c>
      <c r="H49" s="9">
        <f t="shared" si="6"/>
        <v>8750.3769532310398</v>
      </c>
      <c r="I49" s="9">
        <f>+SUMSQ($G$3:G49)/A49</f>
        <v>63637840.618095122</v>
      </c>
      <c r="J49" s="9">
        <f>+SUM($H$3:H49)/A49</f>
        <v>5399.363328501192</v>
      </c>
      <c r="K49" s="69">
        <f t="shared" si="7"/>
        <v>25.24831322603896</v>
      </c>
      <c r="L49" s="69">
        <f>+AVERAGE($K$3:K49)</f>
        <v>23.501612458133046</v>
      </c>
      <c r="M49" s="68">
        <f>+SUM($G$3:G49)/J49</f>
        <v>0.10497273181037614</v>
      </c>
      <c r="O49" s="7">
        <v>47</v>
      </c>
      <c r="P49" s="88">
        <v>34657.273437999997</v>
      </c>
      <c r="Q49" s="77">
        <f t="shared" si="8"/>
        <v>33362.451416124997</v>
      </c>
      <c r="R49" s="77">
        <f t="shared" si="11"/>
        <v>36766.67860593056</v>
      </c>
      <c r="S49" s="78">
        <f t="shared" si="16"/>
        <v>0.94262725794354696</v>
      </c>
    </row>
    <row r="50" spans="1:19" x14ac:dyDescent="0.3">
      <c r="A50" s="21">
        <v>48</v>
      </c>
      <c r="B50" s="22">
        <v>37718.007812999997</v>
      </c>
      <c r="C50" s="22">
        <f t="shared" si="15"/>
        <v>35033.543412744802</v>
      </c>
      <c r="D50" s="22">
        <f t="shared" si="13"/>
        <v>2465.830610308994</v>
      </c>
      <c r="E50" s="95">
        <f t="shared" si="14"/>
        <v>1.0903628728673169</v>
      </c>
      <c r="F50" s="22">
        <f t="shared" si="2"/>
        <v>39825.577631262204</v>
      </c>
      <c r="G50" s="22">
        <f t="shared" si="3"/>
        <v>2107.5698182622073</v>
      </c>
      <c r="H50" s="22">
        <f t="shared" si="6"/>
        <v>2107.5698182622073</v>
      </c>
      <c r="I50" s="22">
        <f>+SUMSQ($G$3:G50)/A50</f>
        <v>62404590.824777514</v>
      </c>
      <c r="J50" s="22">
        <f>+SUM($H$3:H50)/A50</f>
        <v>5330.7842970378797</v>
      </c>
      <c r="K50" s="96">
        <f t="shared" si="7"/>
        <v>5.5877018444643465</v>
      </c>
      <c r="L50" s="96">
        <f>+AVERAGE($K$3:K50)</f>
        <v>23.128405987014947</v>
      </c>
      <c r="M50" s="95">
        <f>+SUM($G$3:G50)/J50</f>
        <v>0.50168147647200501</v>
      </c>
      <c r="O50" s="70">
        <v>48</v>
      </c>
      <c r="P50" s="86">
        <v>37718.007812999997</v>
      </c>
      <c r="Q50" s="77">
        <f t="shared" si="8"/>
        <v>37356.023681874998</v>
      </c>
      <c r="R50" s="71">
        <f t="shared" si="11"/>
        <v>37146.490998521884</v>
      </c>
      <c r="S50" s="79">
        <f t="shared" si="16"/>
        <v>1.0153854859265403</v>
      </c>
    </row>
    <row r="51" spans="1:19" x14ac:dyDescent="0.3">
      <c r="A51" s="8">
        <v>49</v>
      </c>
      <c r="B51" s="9">
        <v>42280.234375</v>
      </c>
      <c r="C51" s="9">
        <f t="shared" si="15"/>
        <v>39460.817809930762</v>
      </c>
      <c r="D51" s="9">
        <f t="shared" si="13"/>
        <v>3369.019319418122</v>
      </c>
      <c r="E51" s="68">
        <f t="shared" si="14"/>
        <v>1.0559166167797371</v>
      </c>
      <c r="F51" s="9">
        <f t="shared" si="2"/>
        <v>39596.21214978092</v>
      </c>
      <c r="G51" s="9">
        <f t="shared" si="3"/>
        <v>-2684.0222252190797</v>
      </c>
      <c r="H51" s="9">
        <f t="shared" si="6"/>
        <v>2684.0222252190797</v>
      </c>
      <c r="I51" s="9">
        <f>+SUMSQ($G$3:G51)/A51</f>
        <v>61278047.650914095</v>
      </c>
      <c r="J51" s="9">
        <f>+SUM($H$3:H51)/A51</f>
        <v>5276.7687445517822</v>
      </c>
      <c r="K51" s="69">
        <f t="shared" si="7"/>
        <v>6.3481725323786815</v>
      </c>
      <c r="L51" s="69">
        <f>+AVERAGE($K$3:K51)</f>
        <v>22.785952243042779</v>
      </c>
      <c r="M51" s="68">
        <f>+SUM($G$3:G51)/J51</f>
        <v>-1.8318953881231875E-3</v>
      </c>
      <c r="O51" s="73">
        <v>49</v>
      </c>
      <c r="P51" s="87">
        <v>42280.234375</v>
      </c>
      <c r="Q51" s="77">
        <f t="shared" si="8"/>
        <v>42620.167969000002</v>
      </c>
      <c r="R51" s="74">
        <f t="shared" si="11"/>
        <v>37526.303391113208</v>
      </c>
      <c r="S51" s="75">
        <f t="shared" si="16"/>
        <v>1.1266826346933121</v>
      </c>
    </row>
    <row r="52" spans="1:19" x14ac:dyDescent="0.3">
      <c r="A52" s="21">
        <v>50</v>
      </c>
      <c r="B52" s="22">
        <v>42569.761719000002</v>
      </c>
      <c r="C52" s="22">
        <f t="shared" si="15"/>
        <v>42507.6872101384</v>
      </c>
      <c r="D52" s="22">
        <f t="shared" si="13"/>
        <v>3220.6785045459301</v>
      </c>
      <c r="E52" s="95">
        <f t="shared" si="14"/>
        <v>1.0037113583190043</v>
      </c>
      <c r="F52" s="22">
        <f t="shared" si="2"/>
        <v>42988.794001680486</v>
      </c>
      <c r="G52" s="22">
        <f t="shared" si="3"/>
        <v>419.03228268048406</v>
      </c>
      <c r="H52" s="22">
        <f t="shared" si="6"/>
        <v>419.03228268048406</v>
      </c>
      <c r="I52" s="22">
        <f>+SUMSQ($G$3:G52)/A52</f>
        <v>60055998.458974384</v>
      </c>
      <c r="J52" s="22">
        <f>+SUM($H$3:H52)/A52</f>
        <v>5179.614015314356</v>
      </c>
      <c r="K52" s="96">
        <f t="shared" si="7"/>
        <v>0.98434256091562511</v>
      </c>
      <c r="L52" s="96">
        <f>+AVERAGE($K$3:K52)</f>
        <v>22.349920049400236</v>
      </c>
      <c r="M52" s="95">
        <f>+SUM($G$3:G52)/J52</f>
        <v>7.9034034803132383E-2</v>
      </c>
      <c r="O52" s="7">
        <v>50</v>
      </c>
      <c r="P52" s="88">
        <v>42569.761719000002</v>
      </c>
      <c r="Q52" s="77">
        <f t="shared" si="8"/>
        <v>50135.951172000001</v>
      </c>
      <c r="R52" s="77">
        <f t="shared" si="11"/>
        <v>37906.115783704539</v>
      </c>
      <c r="S52" s="78">
        <f t="shared" si="16"/>
        <v>1.1230314907997068</v>
      </c>
    </row>
    <row r="53" spans="1:19" x14ac:dyDescent="0.3">
      <c r="A53" s="8">
        <v>51</v>
      </c>
      <c r="B53" s="9">
        <v>61168.0625</v>
      </c>
      <c r="C53" s="9">
        <f t="shared" si="15"/>
        <v>56988.773863223279</v>
      </c>
      <c r="D53" s="9">
        <f t="shared" si="13"/>
        <v>8405.7740794306083</v>
      </c>
      <c r="E53" s="68">
        <f t="shared" si="14"/>
        <v>1.0140419868195858</v>
      </c>
      <c r="F53" s="9">
        <f t="shared" si="2"/>
        <v>46370.482823331127</v>
      </c>
      <c r="G53" s="9">
        <f t="shared" si="3"/>
        <v>-14797.579676668873</v>
      </c>
      <c r="H53" s="9">
        <f t="shared" si="6"/>
        <v>14797.579676668873</v>
      </c>
      <c r="I53" s="9">
        <f>+SUMSQ($G$3:G53)/A53</f>
        <v>63171927.200707503</v>
      </c>
      <c r="J53" s="9">
        <f>+SUM($H$3:H53)/A53</f>
        <v>5368.2015773017001</v>
      </c>
      <c r="K53" s="69">
        <f t="shared" si="7"/>
        <v>24.191676296218915</v>
      </c>
      <c r="L53" s="69">
        <f>+AVERAGE($K$3:K53)</f>
        <v>22.386032916984913</v>
      </c>
      <c r="M53" s="68">
        <f>+SUM($G$3:G53)/J53</f>
        <v>-2.6802670643280666</v>
      </c>
      <c r="O53" s="7">
        <v>51</v>
      </c>
      <c r="P53" s="88">
        <v>61168.0625</v>
      </c>
      <c r="Q53" s="77">
        <f t="shared" si="8"/>
        <v>56629.043457125001</v>
      </c>
      <c r="R53" s="77">
        <f t="shared" si="11"/>
        <v>38285.928176295871</v>
      </c>
      <c r="S53" s="78">
        <f t="shared" si="16"/>
        <v>1.5976643485914295</v>
      </c>
    </row>
    <row r="54" spans="1:19" x14ac:dyDescent="0.3">
      <c r="A54" s="21">
        <v>52</v>
      </c>
      <c r="B54" s="22">
        <v>71333.484375</v>
      </c>
      <c r="C54" s="22">
        <f t="shared" si="15"/>
        <v>65794.60487822094</v>
      </c>
      <c r="D54" s="22">
        <f t="shared" si="13"/>
        <v>8589.9888449122482</v>
      </c>
      <c r="E54" s="95">
        <f t="shared" si="14"/>
        <v>1.0822370755481916</v>
      </c>
      <c r="F54" s="22">
        <f t="shared" si="2"/>
        <v>70772.404322253758</v>
      </c>
      <c r="G54" s="22">
        <f t="shared" si="3"/>
        <v>-561.08005274624156</v>
      </c>
      <c r="H54" s="22">
        <f t="shared" si="6"/>
        <v>561.08005274624156</v>
      </c>
      <c r="I54" s="22">
        <f>+SUMSQ($G$3:G54)/A54</f>
        <v>61963136.501186006</v>
      </c>
      <c r="J54" s="22">
        <f>+SUM($H$3:H54)/A54</f>
        <v>5275.7569325987097</v>
      </c>
      <c r="K54" s="96">
        <f t="shared" si="7"/>
        <v>0.78655915614137784</v>
      </c>
      <c r="L54" s="96">
        <f>+AVERAGE($K$3:K54)</f>
        <v>21.970658421584076</v>
      </c>
      <c r="M54" s="95">
        <f>+SUM($G$3:G54)/J54</f>
        <v>-2.8335827685105857</v>
      </c>
      <c r="O54" s="80">
        <v>52</v>
      </c>
      <c r="P54" s="89">
        <v>71333.484375</v>
      </c>
      <c r="Q54" s="77">
        <f t="shared" si="8"/>
        <v>62035.182129000001</v>
      </c>
      <c r="R54" s="81">
        <f t="shared" si="11"/>
        <v>38665.740568887195</v>
      </c>
      <c r="S54" s="82">
        <f t="shared" si="16"/>
        <v>1.8448756787138654</v>
      </c>
    </row>
    <row r="55" spans="1:19" x14ac:dyDescent="0.3">
      <c r="A55" s="8">
        <v>53</v>
      </c>
      <c r="B55" s="9">
        <v>60609.496094000002</v>
      </c>
      <c r="C55" s="9">
        <f t="shared" si="15"/>
        <v>60896.319875037625</v>
      </c>
      <c r="D55" s="9">
        <f t="shared" si="13"/>
        <v>2379.0248976003049</v>
      </c>
      <c r="E55" s="68">
        <f t="shared" si="14"/>
        <v>1.0651039211953164</v>
      </c>
      <c r="F55" s="9">
        <f t="shared" si="2"/>
        <v>79227.322451029686</v>
      </c>
      <c r="G55" s="9">
        <f t="shared" si="3"/>
        <v>18617.826357029684</v>
      </c>
      <c r="H55" s="9">
        <f t="shared" si="6"/>
        <v>18617.826357029684</v>
      </c>
      <c r="I55" s="9">
        <f>+SUMSQ($G$3:G55)/A55</f>
        <v>67334085.968343049</v>
      </c>
      <c r="J55" s="9">
        <f>+SUM($H$3:H55)/A55</f>
        <v>5527.4940915502375</v>
      </c>
      <c r="K55" s="69">
        <f t="shared" si="7"/>
        <v>30.71767224092256</v>
      </c>
      <c r="L55" s="69">
        <f>+AVERAGE($K$3:K55)</f>
        <v>22.135696418175367</v>
      </c>
      <c r="M55" s="68">
        <f>+SUM($G$3:G55)/J55</f>
        <v>0.6636881670440361</v>
      </c>
      <c r="O55" s="90">
        <v>53</v>
      </c>
      <c r="P55" s="91">
        <v>60609.496094000002</v>
      </c>
      <c r="Q55" s="92">
        <f t="shared" si="8"/>
        <v>65338.355957125001</v>
      </c>
      <c r="R55" s="92">
        <f t="shared" si="11"/>
        <v>39045.552961478519</v>
      </c>
      <c r="S55" s="93">
        <f t="shared" si="16"/>
        <v>1.5522765461612489</v>
      </c>
    </row>
    <row r="56" spans="1:19" x14ac:dyDescent="0.3">
      <c r="A56" s="21">
        <v>54</v>
      </c>
      <c r="B56" s="22">
        <v>67489.609375</v>
      </c>
      <c r="C56" s="22">
        <f t="shared" si="15"/>
        <v>66403.631255433895</v>
      </c>
      <c r="D56" s="22">
        <f t="shared" si="13"/>
        <v>3819.5112622993975</v>
      </c>
      <c r="E56" s="95">
        <f t="shared" si="14"/>
        <v>1.0023798371140544</v>
      </c>
      <c r="F56" s="22">
        <f t="shared" si="2"/>
        <v>63425.929786532448</v>
      </c>
      <c r="G56" s="22">
        <f t="shared" si="3"/>
        <v>-4063.6795884675521</v>
      </c>
      <c r="H56" s="22">
        <f t="shared" si="6"/>
        <v>4063.6795884675521</v>
      </c>
      <c r="I56" s="22">
        <f>+SUMSQ($G$3:G56)/A56</f>
        <v>66392963.854072385</v>
      </c>
      <c r="J56" s="22">
        <f>+SUM($H$3:H56)/A56</f>
        <v>5500.3864155672254</v>
      </c>
      <c r="K56" s="96">
        <f t="shared" si="7"/>
        <v>6.0211929304377483</v>
      </c>
      <c r="L56" s="96">
        <f>+AVERAGE($K$3:K56)</f>
        <v>21.837279686920969</v>
      </c>
      <c r="M56" s="95">
        <f>+SUM($G$3:G56)/J56</f>
        <v>-7.1839892081306783E-2</v>
      </c>
      <c r="O56" s="90">
        <v>54</v>
      </c>
      <c r="P56" s="91">
        <v>67489.609375</v>
      </c>
      <c r="Q56" s="92">
        <f t="shared" si="8"/>
        <v>64688.093261875001</v>
      </c>
      <c r="R56" s="92">
        <f t="shared" si="11"/>
        <v>39425.365354069843</v>
      </c>
      <c r="S56" s="94">
        <f t="shared" si="16"/>
        <v>1.7118321864335777</v>
      </c>
    </row>
    <row r="57" spans="1:19" x14ac:dyDescent="0.3">
      <c r="A57" s="8">
        <v>55</v>
      </c>
      <c r="B57" s="9">
        <v>62673.605469000002</v>
      </c>
      <c r="C57" s="9">
        <f t="shared" si="15"/>
        <v>62133.47078611538</v>
      </c>
      <c r="D57" s="9">
        <f t="shared" si="13"/>
        <v>94.449031466830775</v>
      </c>
      <c r="E57" s="68">
        <f t="shared" si="14"/>
        <v>1.0491147073448039</v>
      </c>
      <c r="F57" s="9">
        <f>(C56+D56)*E57</f>
        <v>73672.131611324221</v>
      </c>
      <c r="G57" s="9">
        <f t="shared" si="3"/>
        <v>10998.526142324219</v>
      </c>
      <c r="H57" s="9">
        <f t="shared" si="6"/>
        <v>10998.526142324219</v>
      </c>
      <c r="I57" s="9">
        <f>+SUMSQ($G$3:G57)/A57</f>
        <v>67385229.553150877</v>
      </c>
      <c r="J57" s="9">
        <f>+SUM($H$3:H57)/A57</f>
        <v>5600.3525924173518</v>
      </c>
      <c r="K57" s="69">
        <f t="shared" si="7"/>
        <v>17.548896477264861</v>
      </c>
      <c r="L57" s="69">
        <f>+AVERAGE($K$3:K57)</f>
        <v>21.759309083109041</v>
      </c>
      <c r="M57" s="68">
        <f>+SUM($G$3:G57)/J57</f>
        <v>1.8933413210769845</v>
      </c>
      <c r="O57" s="90">
        <v>55</v>
      </c>
      <c r="P57" s="91">
        <v>62673.605469000002</v>
      </c>
      <c r="Q57" s="92">
        <f t="shared" si="8"/>
        <v>63644.675781375001</v>
      </c>
      <c r="R57" s="92">
        <f t="shared" si="11"/>
        <v>39805.177746661167</v>
      </c>
      <c r="S57" s="94">
        <f t="shared" si="16"/>
        <v>1.5745088708781616</v>
      </c>
    </row>
    <row r="58" spans="1:19" x14ac:dyDescent="0.3">
      <c r="A58" s="21">
        <v>56</v>
      </c>
      <c r="B58" s="22">
        <v>64625.839844000002</v>
      </c>
      <c r="C58" s="22">
        <f t="shared" si="15"/>
        <v>60239.875733071305</v>
      </c>
      <c r="D58" s="22">
        <f t="shared" si="13"/>
        <v>-820.98835315502777</v>
      </c>
      <c r="E58" s="95">
        <f t="shared" si="14"/>
        <v>1.0833889433180313</v>
      </c>
      <c r="F58" s="22">
        <f>(C57+D57)*E58</f>
        <v>67417.04029604957</v>
      </c>
      <c r="G58" s="22">
        <f t="shared" si="3"/>
        <v>2791.2004520495684</v>
      </c>
      <c r="H58" s="22">
        <f t="shared" si="6"/>
        <v>2791.2004520495684</v>
      </c>
      <c r="I58" s="22">
        <f>+SUMSQ($G$3:G58)/A58</f>
        <v>66321043.310478918</v>
      </c>
      <c r="J58" s="22">
        <f>+SUM($H$3:H58)/A58</f>
        <v>5550.1891613393555</v>
      </c>
      <c r="K58" s="96">
        <f t="shared" si="7"/>
        <v>4.319016137797564</v>
      </c>
      <c r="L58" s="96">
        <f>+AVERAGE($K$3:K58)</f>
        <v>21.447875280514189</v>
      </c>
      <c r="M58" s="95">
        <f>+SUM($G$3:G58)/J58</f>
        <v>2.4133554800574784</v>
      </c>
      <c r="O58" s="90">
        <v>56</v>
      </c>
      <c r="P58" s="91">
        <v>64625.839844000002</v>
      </c>
      <c r="Q58" s="92">
        <f t="shared" si="8"/>
        <v>55003.512695375</v>
      </c>
      <c r="R58" s="92">
        <f t="shared" si="11"/>
        <v>40184.990139252499</v>
      </c>
      <c r="S58" s="94">
        <f t="shared" si="16"/>
        <v>1.608208428571289</v>
      </c>
    </row>
    <row r="59" spans="1:19" x14ac:dyDescent="0.3">
      <c r="A59" s="8">
        <v>57</v>
      </c>
      <c r="B59" s="9">
        <v>58969.800780999998</v>
      </c>
      <c r="C59" s="9">
        <f t="shared" si="15"/>
        <v>58014.180626013811</v>
      </c>
      <c r="D59" s="9">
        <f t="shared" si="13"/>
        <v>-1467.8155975667098</v>
      </c>
      <c r="E59" s="68">
        <f t="shared" si="14"/>
        <v>1.0238081093779501</v>
      </c>
      <c r="F59" s="9">
        <f>(C58+D58)*E59</f>
        <v>60833.538749773419</v>
      </c>
      <c r="G59" s="9">
        <f t="shared" si="3"/>
        <v>1863.737968773421</v>
      </c>
      <c r="H59" s="9">
        <f t="shared" si="6"/>
        <v>1863.737968773421</v>
      </c>
      <c r="I59" s="9">
        <f>+SUMSQ($G$3:G59)/A59</f>
        <v>65218455.16847486</v>
      </c>
      <c r="J59" s="9">
        <f>+SUM($H$3:H59)/A59</f>
        <v>5485.5145790136376</v>
      </c>
      <c r="K59" s="69">
        <f t="shared" si="7"/>
        <v>3.1604956165527955</v>
      </c>
      <c r="L59" s="69">
        <f>+AVERAGE($K$3:K59)</f>
        <v>21.127044058339433</v>
      </c>
      <c r="M59" s="68">
        <f>+SUM($G$3:G59)/J59</f>
        <v>2.7815653712820878</v>
      </c>
      <c r="O59" s="90">
        <v>57</v>
      </c>
      <c r="P59" s="91">
        <v>58969.800780999998</v>
      </c>
      <c r="Q59" s="92">
        <f t="shared" si="8"/>
        <v>38733.110839875</v>
      </c>
      <c r="R59" s="92">
        <f t="shared" si="11"/>
        <v>40564.80253184383</v>
      </c>
      <c r="S59" s="94">
        <f t="shared" si="16"/>
        <v>1.4537184233722829</v>
      </c>
    </row>
    <row r="60" spans="1:19" x14ac:dyDescent="0.3">
      <c r="E60" s="68">
        <f t="shared" si="14"/>
        <v>1.0106458429747258</v>
      </c>
      <c r="F60" s="9">
        <f>(C59+D59)*E60</f>
        <v>57148.348751331476</v>
      </c>
    </row>
    <row r="61" spans="1:19" x14ac:dyDescent="0.3">
      <c r="S61" s="84">
        <f>+AVERAGE(S3,S7,S11,S16,S20,S24,S29,S33,S37,S42,S46,S50)</f>
        <v>0.93062051041435989</v>
      </c>
    </row>
    <row r="62" spans="1:19" x14ac:dyDescent="0.3">
      <c r="S62" s="84">
        <f>+AVERAGE(S4,S8,S12,S17,S21,S25,S30,S34,S38,S43,S47,S51)</f>
        <v>1.0253256438126521</v>
      </c>
    </row>
    <row r="63" spans="1:19" x14ac:dyDescent="0.3">
      <c r="S63" s="84">
        <f>+AVERAGE(S5,S9,S13,S18,S22,S26,S31,S35,S39,S44,S48,S52)</f>
        <v>1.0371348971462719</v>
      </c>
    </row>
    <row r="64" spans="1:19" x14ac:dyDescent="0.3">
      <c r="S64" s="84">
        <f>+AVERAGE(S6,S10,S14,S19,S23,S27,S32,S36,S40,S45,S49,S53)</f>
        <v>1.0901228111539873</v>
      </c>
    </row>
  </sheetData>
  <conditionalFormatting sqref="M3:M59">
    <cfRule type="dataBar" priority="1">
      <dataBar>
        <cfvo type="min"/>
        <cfvo type="max"/>
        <color rgb="FF008AEF"/>
      </dataBar>
      <extLst>
        <ext xmlns:x14="http://schemas.microsoft.com/office/spreadsheetml/2009/9/main" uri="{B025F937-C7B1-47D3-B67F-A62EFF666E3E}">
          <x14:id>{FD7E7988-DCBE-4889-8F92-F8D7121ECF73}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D7E7988-DCBE-4889-8F92-F8D7121ECF73}">
            <x14:dataBar minLength="0" maxLength="100" border="1" negativeBarBorderColorSameAsPositive="0">
              <x14:cfvo type="autoMin"/>
              <x14:cfvo type="autoMax"/>
              <x14:borderColor rgb="FF008AEF"/>
              <x14:negativeFillColor rgb="FFFF0000"/>
              <x14:negativeBorderColor rgb="FFFF0000"/>
              <x14:axisColor rgb="FF000000"/>
            </x14:dataBar>
          </x14:cfRule>
          <xm:sqref>M3:M59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60F70-036D-47F2-BAA5-03A2C7CB63CB}">
  <sheetPr>
    <tabColor theme="9" tint="-0.499984740745262"/>
  </sheetPr>
  <dimension ref="A2:Y60"/>
  <sheetViews>
    <sheetView showGridLines="0" topLeftCell="G1" zoomScale="80" zoomScaleNormal="80" workbookViewId="0">
      <pane ySplit="3" topLeftCell="A4" activePane="bottomLeft" state="frozen"/>
      <selection pane="bottomLeft" activeCell="W25" sqref="W25"/>
    </sheetView>
  </sheetViews>
  <sheetFormatPr baseColWidth="10" defaultRowHeight="14.4" x14ac:dyDescent="0.3"/>
  <cols>
    <col min="1" max="4" width="11.5546875" style="126"/>
    <col min="5" max="5" width="0" style="126" hidden="1" customWidth="1"/>
    <col min="6" max="6" width="11.5546875" style="126"/>
    <col min="7" max="8" width="19.33203125" style="126" bestFit="1" customWidth="1"/>
    <col min="9" max="9" width="11.21875" style="126" bestFit="1" customWidth="1"/>
    <col min="10" max="16" width="13.88671875" style="126" bestFit="1" customWidth="1"/>
    <col min="17" max="16384" width="11.5546875" style="126"/>
  </cols>
  <sheetData>
    <row r="2" spans="1:23" x14ac:dyDescent="0.3">
      <c r="G2" s="144" t="s">
        <v>129</v>
      </c>
      <c r="H2" s="145" t="s">
        <v>128</v>
      </c>
      <c r="I2" s="146" t="s">
        <v>38</v>
      </c>
      <c r="J2" s="146" t="s">
        <v>39</v>
      </c>
      <c r="K2" s="146" t="s">
        <v>40</v>
      </c>
      <c r="L2" s="146" t="s">
        <v>41</v>
      </c>
      <c r="M2" s="146" t="s">
        <v>42</v>
      </c>
      <c r="N2" s="146" t="s">
        <v>43</v>
      </c>
      <c r="O2" s="146" t="s">
        <v>44</v>
      </c>
      <c r="P2" s="146" t="s">
        <v>91</v>
      </c>
    </row>
    <row r="3" spans="1:23" x14ac:dyDescent="0.3">
      <c r="A3" s="15" t="s">
        <v>7</v>
      </c>
      <c r="B3" s="15" t="s">
        <v>8</v>
      </c>
      <c r="C3" s="15" t="s">
        <v>36</v>
      </c>
      <c r="D3" s="127" t="s">
        <v>127</v>
      </c>
      <c r="G3" s="145" t="s">
        <v>128</v>
      </c>
      <c r="H3" s="15" t="s">
        <v>37</v>
      </c>
      <c r="I3" s="15">
        <v>1</v>
      </c>
      <c r="J3" s="15">
        <f>+I3+1</f>
        <v>2</v>
      </c>
      <c r="K3" s="15">
        <f t="shared" ref="K3:P3" si="0">+J3+1</f>
        <v>3</v>
      </c>
      <c r="L3" s="15">
        <f t="shared" si="0"/>
        <v>4</v>
      </c>
      <c r="M3" s="15">
        <f t="shared" si="0"/>
        <v>5</v>
      </c>
      <c r="N3" s="15">
        <f t="shared" si="0"/>
        <v>6</v>
      </c>
      <c r="O3" s="15">
        <f t="shared" si="0"/>
        <v>7</v>
      </c>
      <c r="P3" s="15">
        <f t="shared" si="0"/>
        <v>8</v>
      </c>
      <c r="Q3" s="15" t="s">
        <v>68</v>
      </c>
    </row>
    <row r="4" spans="1:23" x14ac:dyDescent="0.3">
      <c r="A4" s="128">
        <v>1</v>
      </c>
      <c r="B4" s="129">
        <f>+data!B2</f>
        <v>7194.8920900000003</v>
      </c>
      <c r="C4" s="129">
        <f>+IF(B4&lt;10000,1,IF(B4&lt;20000,2,IF(B4&lt;30000,3,IF(B4&lt;40000,4,IF(B4&lt;50000,5,IF(B4&lt;60000,6,IF(B4&lt;70000,7,8)))))))</f>
        <v>1</v>
      </c>
      <c r="D4" s="129"/>
      <c r="G4" s="145" t="s">
        <v>38</v>
      </c>
      <c r="H4" s="130">
        <v>1</v>
      </c>
      <c r="I4" s="131">
        <f>+COUNTIF($E:$E,$H4&amp;I$3)</f>
        <v>6</v>
      </c>
      <c r="J4" s="131">
        <f>+COUNTIF($E:$E,$H4&amp;J$3)</f>
        <v>1</v>
      </c>
      <c r="K4" s="131">
        <f>+COUNTIF($E:$E,$H4&amp;K$3)</f>
        <v>0</v>
      </c>
      <c r="L4" s="131">
        <f>+COUNTIF($E:$E,$H4&amp;L$3)</f>
        <v>0</v>
      </c>
      <c r="M4" s="131">
        <f>+COUNTIF($E:$E,$H4&amp;M$3)</f>
        <v>0</v>
      </c>
      <c r="N4" s="131">
        <f>+COUNTIF($E:$E,$H4&amp;N$3)</f>
        <v>0</v>
      </c>
      <c r="O4" s="131">
        <f>+COUNTIF($E:$E,$H4&amp;O$3)</f>
        <v>0</v>
      </c>
      <c r="P4" s="131">
        <f>+COUNTIF($E:$E,$H4&amp;P$3)</f>
        <v>0</v>
      </c>
      <c r="Q4" s="131">
        <f>+SUM(I4:P4)</f>
        <v>7</v>
      </c>
    </row>
    <row r="5" spans="1:23" x14ac:dyDescent="0.3">
      <c r="A5" s="132">
        <f>+A4+1</f>
        <v>2</v>
      </c>
      <c r="B5" s="133">
        <f>+data!B3</f>
        <v>9346.3574219999991</v>
      </c>
      <c r="C5" s="133">
        <f t="shared" ref="C5:C60" si="1">+IF(B5&lt;10000,1,IF(B5&lt;20000,2,IF(B5&lt;30000,3,IF(B5&lt;40000,4,IF(B5&lt;50000,5,IF(B5&lt;60000,6,IF(B5&lt;70000,7,8)))))))</f>
        <v>1</v>
      </c>
      <c r="D5" s="133" t="str">
        <f t="shared" ref="D5:D36" si="2">+C4&amp;" a "&amp;C5</f>
        <v>1 a 1</v>
      </c>
      <c r="E5" s="126" t="str">
        <f>+C4&amp;C5</f>
        <v>11</v>
      </c>
      <c r="G5" s="145" t="s">
        <v>39</v>
      </c>
      <c r="H5" s="147">
        <f>+H4+1</f>
        <v>2</v>
      </c>
      <c r="I5" s="132">
        <f>+COUNTIF($E:$E,$H5&amp;I$3)</f>
        <v>0</v>
      </c>
      <c r="J5" s="132">
        <f>+COUNTIF($E:$E,$H5&amp;J$3)</f>
        <v>5</v>
      </c>
      <c r="K5" s="132">
        <f>+COUNTIF($E:$E,$H5&amp;K$3)</f>
        <v>4</v>
      </c>
      <c r="L5" s="132">
        <f>+COUNTIF($E:$E,$H5&amp;L$3)</f>
        <v>0</v>
      </c>
      <c r="M5" s="132">
        <f>+COUNTIF($E:$E,$H5&amp;M$3)</f>
        <v>0</v>
      </c>
      <c r="N5" s="132">
        <f>+COUNTIF($E:$E,$H5&amp;N$3)</f>
        <v>0</v>
      </c>
      <c r="O5" s="132">
        <f>+COUNTIF($E:$E,$H5&amp;O$3)</f>
        <v>0</v>
      </c>
      <c r="P5" s="132">
        <f>+COUNTIF($E:$E,$H5&amp;P$3)</f>
        <v>0</v>
      </c>
      <c r="Q5" s="132">
        <f t="shared" ref="Q5:Q11" si="3">+SUM(I5:P5)</f>
        <v>9</v>
      </c>
    </row>
    <row r="6" spans="1:23" x14ac:dyDescent="0.3">
      <c r="A6" s="128">
        <f t="shared" ref="A6:A60" si="4">+A5+1</f>
        <v>3</v>
      </c>
      <c r="B6" s="129">
        <f>+data!B4</f>
        <v>8599.7587889999995</v>
      </c>
      <c r="C6" s="129">
        <f t="shared" si="1"/>
        <v>1</v>
      </c>
      <c r="D6" s="129" t="str">
        <f t="shared" si="2"/>
        <v>1 a 1</v>
      </c>
      <c r="E6" s="126" t="str">
        <f t="shared" ref="E6:E60" si="5">+C5&amp;C6</f>
        <v>11</v>
      </c>
      <c r="G6" s="145" t="s">
        <v>40</v>
      </c>
      <c r="H6" s="130">
        <f t="shared" ref="H6:H11" si="6">+H5+1</f>
        <v>3</v>
      </c>
      <c r="I6" s="131">
        <f>+COUNTIF($E:$E,$H6&amp;I$3)</f>
        <v>0</v>
      </c>
      <c r="J6" s="131">
        <f>+COUNTIF($E:$E,$H6&amp;J$3)</f>
        <v>2</v>
      </c>
      <c r="K6" s="131">
        <f>+COUNTIF($E:$E,$H6&amp;K$3)</f>
        <v>7</v>
      </c>
      <c r="L6" s="131">
        <f>+COUNTIF($E:$E,$H6&amp;L$3)</f>
        <v>3</v>
      </c>
      <c r="M6" s="131">
        <f>+COUNTIF($E:$E,$H6&amp;M$3)</f>
        <v>0</v>
      </c>
      <c r="N6" s="131">
        <f>+COUNTIF($E:$E,$H6&amp;N$3)</f>
        <v>0</v>
      </c>
      <c r="O6" s="131">
        <f>+COUNTIF($E:$E,$H6&amp;O$3)</f>
        <v>0</v>
      </c>
      <c r="P6" s="131">
        <f>+COUNTIF($E:$E,$H6&amp;P$3)</f>
        <v>0</v>
      </c>
      <c r="Q6" s="131">
        <f t="shared" si="3"/>
        <v>12</v>
      </c>
    </row>
    <row r="7" spans="1:23" x14ac:dyDescent="0.3">
      <c r="A7" s="132">
        <f t="shared" si="4"/>
        <v>4</v>
      </c>
      <c r="B7" s="133">
        <f>+data!B5</f>
        <v>6437.3193359999996</v>
      </c>
      <c r="C7" s="133">
        <f t="shared" si="1"/>
        <v>1</v>
      </c>
      <c r="D7" s="133" t="str">
        <f t="shared" si="2"/>
        <v>1 a 1</v>
      </c>
      <c r="E7" s="126" t="str">
        <f t="shared" si="5"/>
        <v>11</v>
      </c>
      <c r="G7" s="145" t="s">
        <v>41</v>
      </c>
      <c r="H7" s="147">
        <f t="shared" si="6"/>
        <v>4</v>
      </c>
      <c r="I7" s="132">
        <f>+COUNTIF($E:$E,$H7&amp;I$3)</f>
        <v>0</v>
      </c>
      <c r="J7" s="132">
        <f>+COUNTIF($E:$E,$H7&amp;J$3)</f>
        <v>1</v>
      </c>
      <c r="K7" s="132">
        <f>+COUNTIF($E:$E,$H7&amp;K$3)</f>
        <v>1</v>
      </c>
      <c r="L7" s="132">
        <f>+COUNTIF($E:$E,$H7&amp;L$3)</f>
        <v>3</v>
      </c>
      <c r="M7" s="132">
        <f>+COUNTIF($E:$E,$H7&amp;M$3)</f>
        <v>4</v>
      </c>
      <c r="N7" s="132">
        <f>+COUNTIF($E:$E,$H7&amp;N$3)</f>
        <v>0</v>
      </c>
      <c r="O7" s="132">
        <f>+COUNTIF($E:$E,$H7&amp;O$3)</f>
        <v>0</v>
      </c>
      <c r="P7" s="132">
        <f>+COUNTIF($E:$E,$H7&amp;P$3)</f>
        <v>0</v>
      </c>
      <c r="Q7" s="132">
        <f t="shared" si="3"/>
        <v>9</v>
      </c>
    </row>
    <row r="8" spans="1:23" x14ac:dyDescent="0.3">
      <c r="A8" s="128">
        <f t="shared" si="4"/>
        <v>5</v>
      </c>
      <c r="B8" s="129">
        <f>+data!B6</f>
        <v>8672.7822269999997</v>
      </c>
      <c r="C8" s="129">
        <f t="shared" si="1"/>
        <v>1</v>
      </c>
      <c r="D8" s="129" t="str">
        <f t="shared" si="2"/>
        <v>1 a 1</v>
      </c>
      <c r="E8" s="126" t="str">
        <f t="shared" si="5"/>
        <v>11</v>
      </c>
      <c r="G8" s="145" t="s">
        <v>42</v>
      </c>
      <c r="H8" s="130">
        <f t="shared" si="6"/>
        <v>5</v>
      </c>
      <c r="I8" s="131">
        <f>+COUNTIF($E:$E,$H8&amp;I$3)</f>
        <v>0</v>
      </c>
      <c r="J8" s="131">
        <f>+COUNTIF($E:$E,$H8&amp;J$3)</f>
        <v>0</v>
      </c>
      <c r="K8" s="131">
        <f>+COUNTIF($E:$E,$H8&amp;K$3)</f>
        <v>0</v>
      </c>
      <c r="L8" s="131">
        <f>+COUNTIF($E:$E,$H8&amp;L$3)</f>
        <v>2</v>
      </c>
      <c r="M8" s="131">
        <f>+COUNTIF($E:$E,$H8&amp;M$3)</f>
        <v>4</v>
      </c>
      <c r="N8" s="131">
        <f>+COUNTIF($E:$E,$H8&amp;N$3)</f>
        <v>1</v>
      </c>
      <c r="O8" s="131">
        <f>+COUNTIF($E:$E,$H8&amp;O$3)</f>
        <v>2</v>
      </c>
      <c r="P8" s="131">
        <f>+COUNTIF($E:$E,$H8&amp;P$3)</f>
        <v>0</v>
      </c>
      <c r="Q8" s="131">
        <f t="shared" si="3"/>
        <v>9</v>
      </c>
    </row>
    <row r="9" spans="1:23" x14ac:dyDescent="0.3">
      <c r="A9" s="132">
        <f t="shared" si="4"/>
        <v>6</v>
      </c>
      <c r="B9" s="133">
        <f>+data!B7</f>
        <v>9463.6054690000001</v>
      </c>
      <c r="C9" s="133">
        <f t="shared" si="1"/>
        <v>1</v>
      </c>
      <c r="D9" s="133" t="str">
        <f t="shared" si="2"/>
        <v>1 a 1</v>
      </c>
      <c r="E9" s="126" t="str">
        <f t="shared" si="5"/>
        <v>11</v>
      </c>
      <c r="G9" s="145" t="s">
        <v>43</v>
      </c>
      <c r="H9" s="147">
        <f t="shared" si="6"/>
        <v>6</v>
      </c>
      <c r="I9" s="132">
        <f>+COUNTIF($E:$E,$H9&amp;I$3)</f>
        <v>0</v>
      </c>
      <c r="J9" s="132">
        <f>+COUNTIF($E:$E,$H9&amp;J$3)</f>
        <v>0</v>
      </c>
      <c r="K9" s="132">
        <f>+COUNTIF($E:$E,$H9&amp;K$3)</f>
        <v>0</v>
      </c>
      <c r="L9" s="132">
        <f>+COUNTIF($E:$E,$H9&amp;L$3)</f>
        <v>1</v>
      </c>
      <c r="M9" s="132">
        <f>+COUNTIF($E:$E,$H9&amp;M$3)</f>
        <v>1</v>
      </c>
      <c r="N9" s="132">
        <f>+COUNTIF($E:$E,$H9&amp;N$3)</f>
        <v>1</v>
      </c>
      <c r="O9" s="132">
        <f>+COUNTIF($E:$E,$H9&amp;O$3)</f>
        <v>0</v>
      </c>
      <c r="P9" s="132">
        <f>+COUNTIF($E:$E,$H9&amp;P$3)</f>
        <v>0</v>
      </c>
      <c r="Q9" s="132">
        <f t="shared" si="3"/>
        <v>3</v>
      </c>
    </row>
    <row r="10" spans="1:23" x14ac:dyDescent="0.3">
      <c r="A10" s="128">
        <f t="shared" si="4"/>
        <v>7</v>
      </c>
      <c r="B10" s="129">
        <f>+data!B8</f>
        <v>9145.9853519999997</v>
      </c>
      <c r="C10" s="129">
        <f t="shared" si="1"/>
        <v>1</v>
      </c>
      <c r="D10" s="129" t="str">
        <f t="shared" si="2"/>
        <v>1 a 1</v>
      </c>
      <c r="E10" s="126" t="str">
        <f t="shared" si="5"/>
        <v>11</v>
      </c>
      <c r="G10" s="145" t="s">
        <v>44</v>
      </c>
      <c r="H10" s="130">
        <f t="shared" si="6"/>
        <v>7</v>
      </c>
      <c r="I10" s="131">
        <f>+COUNTIF($E:$E,$H10&amp;I$3)</f>
        <v>0</v>
      </c>
      <c r="J10" s="131">
        <f>+COUNTIF($E:$E,$H10&amp;J$3)</f>
        <v>0</v>
      </c>
      <c r="K10" s="131">
        <f>+COUNTIF($E:$E,$H10&amp;K$3)</f>
        <v>0</v>
      </c>
      <c r="L10" s="131">
        <f>+COUNTIF($E:$E,$H10&amp;L$3)</f>
        <v>0</v>
      </c>
      <c r="M10" s="131">
        <f>+COUNTIF($E:$E,$H10&amp;M$3)</f>
        <v>0</v>
      </c>
      <c r="N10" s="131">
        <f>+COUNTIF($E:$E,$H10&amp;N$3)</f>
        <v>2</v>
      </c>
      <c r="O10" s="131">
        <f>+COUNTIF($E:$E,$H10&amp;O$3)</f>
        <v>3</v>
      </c>
      <c r="P10" s="131">
        <f>+COUNTIF($E:$E,$H10&amp;P$3)</f>
        <v>1</v>
      </c>
      <c r="Q10" s="131">
        <f t="shared" si="3"/>
        <v>6</v>
      </c>
    </row>
    <row r="11" spans="1:23" x14ac:dyDescent="0.3">
      <c r="A11" s="132">
        <f t="shared" si="4"/>
        <v>8</v>
      </c>
      <c r="B11" s="133">
        <f>+data!B9</f>
        <v>11322.570313</v>
      </c>
      <c r="C11" s="133">
        <f t="shared" si="1"/>
        <v>2</v>
      </c>
      <c r="D11" s="133" t="str">
        <f t="shared" si="2"/>
        <v>1 a 2</v>
      </c>
      <c r="E11" s="126" t="str">
        <f t="shared" si="5"/>
        <v>12</v>
      </c>
      <c r="G11" s="145" t="s">
        <v>91</v>
      </c>
      <c r="H11" s="147">
        <f t="shared" si="6"/>
        <v>8</v>
      </c>
      <c r="I11" s="132">
        <f>+COUNTIF($E:$E,$H11&amp;I$3)</f>
        <v>0</v>
      </c>
      <c r="J11" s="132">
        <f>+COUNTIF($E:$E,$H11&amp;J$3)</f>
        <v>0</v>
      </c>
      <c r="K11" s="132">
        <f>+COUNTIF($E:$E,$H11&amp;K$3)</f>
        <v>0</v>
      </c>
      <c r="L11" s="132">
        <f>+COUNTIF($E:$E,$H11&amp;L$3)</f>
        <v>0</v>
      </c>
      <c r="M11" s="132">
        <f>+COUNTIF($E:$E,$H11&amp;M$3)</f>
        <v>0</v>
      </c>
      <c r="N11" s="132">
        <f>+COUNTIF($E:$E,$H11&amp;N$3)</f>
        <v>0</v>
      </c>
      <c r="O11" s="132">
        <f>+COUNTIF($E:$E,$H11&amp;O$3)</f>
        <v>1</v>
      </c>
      <c r="P11" s="132">
        <f>+COUNTIF($E:$E,$H11&amp;P$3)</f>
        <v>0</v>
      </c>
      <c r="Q11" s="132">
        <f t="shared" si="3"/>
        <v>1</v>
      </c>
    </row>
    <row r="12" spans="1:23" x14ac:dyDescent="0.3">
      <c r="A12" s="128">
        <f t="shared" si="4"/>
        <v>9</v>
      </c>
      <c r="B12" s="129">
        <f>+data!B10</f>
        <v>11679.316406</v>
      </c>
      <c r="C12" s="129">
        <f t="shared" si="1"/>
        <v>2</v>
      </c>
      <c r="D12" s="129" t="str">
        <f t="shared" si="2"/>
        <v>2 a 2</v>
      </c>
      <c r="E12" s="126" t="str">
        <f t="shared" si="5"/>
        <v>22</v>
      </c>
      <c r="H12" s="148" t="s">
        <v>68</v>
      </c>
      <c r="I12" s="148">
        <f>+SUM(I4:I11)</f>
        <v>6</v>
      </c>
      <c r="J12" s="148">
        <f t="shared" ref="J12:P12" si="7">+SUM(J4:J11)</f>
        <v>9</v>
      </c>
      <c r="K12" s="148">
        <f t="shared" si="7"/>
        <v>12</v>
      </c>
      <c r="L12" s="148">
        <f t="shared" si="7"/>
        <v>9</v>
      </c>
      <c r="M12" s="148">
        <f t="shared" si="7"/>
        <v>9</v>
      </c>
      <c r="N12" s="148">
        <f t="shared" si="7"/>
        <v>4</v>
      </c>
      <c r="O12" s="148">
        <f t="shared" si="7"/>
        <v>6</v>
      </c>
      <c r="P12" s="148">
        <f t="shared" si="7"/>
        <v>1</v>
      </c>
      <c r="Q12" s="148">
        <f>+SUM(I12:P12)</f>
        <v>56</v>
      </c>
    </row>
    <row r="13" spans="1:23" x14ac:dyDescent="0.3">
      <c r="A13" s="132">
        <f t="shared" si="4"/>
        <v>10</v>
      </c>
      <c r="B13" s="133">
        <f>+data!B11</f>
        <v>10795.254883</v>
      </c>
      <c r="C13" s="133">
        <f t="shared" si="1"/>
        <v>2</v>
      </c>
      <c r="D13" s="133" t="str">
        <f t="shared" si="2"/>
        <v>2 a 2</v>
      </c>
      <c r="E13" s="126" t="str">
        <f t="shared" si="5"/>
        <v>22</v>
      </c>
    </row>
    <row r="14" spans="1:23" x14ac:dyDescent="0.3">
      <c r="A14" s="128">
        <f t="shared" si="4"/>
        <v>11</v>
      </c>
      <c r="B14" s="129">
        <f>+data!B12</f>
        <v>13780.995117</v>
      </c>
      <c r="C14" s="129">
        <f t="shared" si="1"/>
        <v>2</v>
      </c>
      <c r="D14" s="129" t="str">
        <f t="shared" si="2"/>
        <v>2 a 2</v>
      </c>
      <c r="E14" s="126" t="str">
        <f t="shared" si="5"/>
        <v>22</v>
      </c>
      <c r="G14" s="149" t="s">
        <v>77</v>
      </c>
      <c r="H14" s="145" t="s">
        <v>128</v>
      </c>
      <c r="I14" s="146" t="s">
        <v>38</v>
      </c>
      <c r="J14" s="146" t="s">
        <v>39</v>
      </c>
      <c r="K14" s="146" t="s">
        <v>40</v>
      </c>
      <c r="L14" s="146" t="s">
        <v>41</v>
      </c>
      <c r="M14" s="146" t="s">
        <v>42</v>
      </c>
      <c r="N14" s="146" t="s">
        <v>43</v>
      </c>
      <c r="O14" s="146" t="s">
        <v>44</v>
      </c>
      <c r="P14" s="146" t="s">
        <v>91</v>
      </c>
    </row>
    <row r="15" spans="1:23" x14ac:dyDescent="0.3">
      <c r="A15" s="132">
        <f t="shared" si="4"/>
        <v>12</v>
      </c>
      <c r="B15" s="133">
        <f>+data!B13</f>
        <v>19633.769531000002</v>
      </c>
      <c r="C15" s="133">
        <f t="shared" si="1"/>
        <v>2</v>
      </c>
      <c r="D15" s="133" t="str">
        <f t="shared" si="2"/>
        <v>2 a 2</v>
      </c>
      <c r="E15" s="126" t="str">
        <f t="shared" si="5"/>
        <v>22</v>
      </c>
      <c r="G15" s="145" t="s">
        <v>128</v>
      </c>
      <c r="H15" s="15" t="s">
        <v>37</v>
      </c>
      <c r="I15" s="15">
        <v>1</v>
      </c>
      <c r="J15" s="15">
        <f>+I15+1</f>
        <v>2</v>
      </c>
      <c r="K15" s="15">
        <f t="shared" ref="K15:P15" si="8">+J15+1</f>
        <v>3</v>
      </c>
      <c r="L15" s="15">
        <f t="shared" si="8"/>
        <v>4</v>
      </c>
      <c r="M15" s="15">
        <f t="shared" si="8"/>
        <v>5</v>
      </c>
      <c r="N15" s="15">
        <f t="shared" si="8"/>
        <v>6</v>
      </c>
      <c r="O15" s="15">
        <f t="shared" si="8"/>
        <v>7</v>
      </c>
      <c r="P15" s="15">
        <f t="shared" si="8"/>
        <v>8</v>
      </c>
      <c r="T15" s="126" t="s">
        <v>27</v>
      </c>
      <c r="U15" s="126" t="s">
        <v>23</v>
      </c>
      <c r="V15" s="126" t="s">
        <v>77</v>
      </c>
      <c r="W15" s="126" t="s">
        <v>90</v>
      </c>
    </row>
    <row r="16" spans="1:23" x14ac:dyDescent="0.3">
      <c r="A16" s="128">
        <f t="shared" si="4"/>
        <v>13</v>
      </c>
      <c r="B16" s="129">
        <f>+data!B14</f>
        <v>28994.009765999999</v>
      </c>
      <c r="C16" s="129">
        <f t="shared" si="1"/>
        <v>3</v>
      </c>
      <c r="D16" s="129" t="str">
        <f t="shared" si="2"/>
        <v>2 a 3</v>
      </c>
      <c r="E16" s="126" t="str">
        <f t="shared" si="5"/>
        <v>23</v>
      </c>
      <c r="G16" s="145" t="s">
        <v>38</v>
      </c>
      <c r="H16" s="148">
        <v>1</v>
      </c>
      <c r="I16" s="135">
        <f>+I4/$Q4</f>
        <v>0.8571428571428571</v>
      </c>
      <c r="J16" s="135">
        <f>+J4/$Q4</f>
        <v>0.14285714285714285</v>
      </c>
      <c r="K16" s="135">
        <f>+K4/$Q4</f>
        <v>0</v>
      </c>
      <c r="L16" s="135">
        <f>+L4/$Q4</f>
        <v>0</v>
      </c>
      <c r="M16" s="135">
        <f>+M4/$Q4</f>
        <v>0</v>
      </c>
      <c r="N16" s="135">
        <f>+N4/$Q4</f>
        <v>0</v>
      </c>
      <c r="O16" s="135">
        <f>+O4/$Q4</f>
        <v>0</v>
      </c>
      <c r="P16" s="135">
        <f>+P4/$Q4</f>
        <v>0</v>
      </c>
      <c r="Q16" s="136">
        <f>+SUM(I16:P16)</f>
        <v>1</v>
      </c>
      <c r="R16" s="126">
        <v>5000</v>
      </c>
      <c r="T16" s="137">
        <f>+$T$21</f>
        <v>58969.800780999998</v>
      </c>
      <c r="U16" s="126" t="str">
        <f>+$U$21</f>
        <v>50,000-60,000</v>
      </c>
      <c r="V16" s="136">
        <f>+I21</f>
        <v>0</v>
      </c>
      <c r="W16" s="137">
        <f>+V16*T16</f>
        <v>0</v>
      </c>
    </row>
    <row r="17" spans="1:25" x14ac:dyDescent="0.3">
      <c r="A17" s="132">
        <f t="shared" si="4"/>
        <v>14</v>
      </c>
      <c r="B17" s="133">
        <f>+data!B15</f>
        <v>33114.578125</v>
      </c>
      <c r="C17" s="133">
        <f t="shared" si="1"/>
        <v>4</v>
      </c>
      <c r="D17" s="133" t="str">
        <f t="shared" si="2"/>
        <v>3 a 4</v>
      </c>
      <c r="E17" s="126" t="str">
        <f t="shared" si="5"/>
        <v>34</v>
      </c>
      <c r="G17" s="145" t="s">
        <v>39</v>
      </c>
      <c r="H17" s="148">
        <f>+H16+1</f>
        <v>2</v>
      </c>
      <c r="I17" s="135">
        <f>+I5/$Q5</f>
        <v>0</v>
      </c>
      <c r="J17" s="135">
        <f>+J5/$Q5</f>
        <v>0.55555555555555558</v>
      </c>
      <c r="K17" s="135">
        <f>+K5/$Q5</f>
        <v>0.44444444444444442</v>
      </c>
      <c r="L17" s="135">
        <f>+L5/$Q5</f>
        <v>0</v>
      </c>
      <c r="M17" s="135">
        <f>+M5/$Q5</f>
        <v>0</v>
      </c>
      <c r="N17" s="135">
        <f>+N5/$Q5</f>
        <v>0</v>
      </c>
      <c r="O17" s="135">
        <f>+O5/$Q5</f>
        <v>0</v>
      </c>
      <c r="P17" s="135">
        <f>+P5/$Q5</f>
        <v>0</v>
      </c>
      <c r="Q17" s="136">
        <f t="shared" ref="Q17:Q23" si="9">+SUM(I17:P17)</f>
        <v>1</v>
      </c>
      <c r="R17" s="126">
        <v>15000</v>
      </c>
      <c r="T17" s="137">
        <f>+$T$21</f>
        <v>58969.800780999998</v>
      </c>
      <c r="U17" s="126" t="str">
        <f>+$U$21</f>
        <v>50,000-60,000</v>
      </c>
      <c r="V17" s="136">
        <f>+J21</f>
        <v>0</v>
      </c>
      <c r="W17" s="137">
        <f t="shared" ref="W17:W23" si="10">+V17*T17</f>
        <v>0</v>
      </c>
    </row>
    <row r="18" spans="1:25" x14ac:dyDescent="0.3">
      <c r="A18" s="128">
        <f t="shared" si="4"/>
        <v>15</v>
      </c>
      <c r="B18" s="129">
        <f>+data!B16</f>
        <v>45159.503905999998</v>
      </c>
      <c r="C18" s="129">
        <f t="shared" si="1"/>
        <v>5</v>
      </c>
      <c r="D18" s="129" t="str">
        <f t="shared" si="2"/>
        <v>4 a 5</v>
      </c>
      <c r="E18" s="126" t="str">
        <f t="shared" si="5"/>
        <v>45</v>
      </c>
      <c r="G18" s="145" t="s">
        <v>40</v>
      </c>
      <c r="H18" s="148">
        <f t="shared" ref="H18:H23" si="11">+H17+1</f>
        <v>3</v>
      </c>
      <c r="I18" s="135">
        <f>+I6/$Q6</f>
        <v>0</v>
      </c>
      <c r="J18" s="135">
        <f>+J6/$Q6</f>
        <v>0.16666666666666666</v>
      </c>
      <c r="K18" s="135">
        <f>+K6/$Q6</f>
        <v>0.58333333333333337</v>
      </c>
      <c r="L18" s="135">
        <f>+L6/$Q6</f>
        <v>0.25</v>
      </c>
      <c r="M18" s="135">
        <f>+M6/$Q6</f>
        <v>0</v>
      </c>
      <c r="N18" s="135">
        <f>+N6/$Q6</f>
        <v>0</v>
      </c>
      <c r="O18" s="135">
        <f>+O6/$Q6</f>
        <v>0</v>
      </c>
      <c r="P18" s="135">
        <f>+P6/$Q6</f>
        <v>0</v>
      </c>
      <c r="Q18" s="136">
        <f t="shared" si="9"/>
        <v>1</v>
      </c>
      <c r="R18" s="126">
        <v>25000</v>
      </c>
      <c r="T18" s="137">
        <f>+$T$21</f>
        <v>58969.800780999998</v>
      </c>
      <c r="U18" s="126" t="str">
        <f>+$U$21</f>
        <v>50,000-60,000</v>
      </c>
      <c r="V18" s="136">
        <f>+K21</f>
        <v>0</v>
      </c>
      <c r="W18" s="137">
        <f t="shared" si="10"/>
        <v>0</v>
      </c>
    </row>
    <row r="19" spans="1:25" x14ac:dyDescent="0.3">
      <c r="A19" s="132">
        <f t="shared" si="4"/>
        <v>16</v>
      </c>
      <c r="B19" s="133">
        <f>+data!B17</f>
        <v>58926.5625</v>
      </c>
      <c r="C19" s="133">
        <f t="shared" si="1"/>
        <v>6</v>
      </c>
      <c r="D19" s="133" t="str">
        <f t="shared" si="2"/>
        <v>5 a 6</v>
      </c>
      <c r="E19" s="126" t="str">
        <f t="shared" si="5"/>
        <v>56</v>
      </c>
      <c r="G19" s="145" t="s">
        <v>41</v>
      </c>
      <c r="H19" s="148">
        <f t="shared" si="11"/>
        <v>4</v>
      </c>
      <c r="I19" s="135">
        <f>+I7/$Q7</f>
        <v>0</v>
      </c>
      <c r="J19" s="135">
        <f>+J7/$Q7</f>
        <v>0.1111111111111111</v>
      </c>
      <c r="K19" s="135">
        <f>+K7/$Q7</f>
        <v>0.1111111111111111</v>
      </c>
      <c r="L19" s="135">
        <f>+L7/$Q7</f>
        <v>0.33333333333333331</v>
      </c>
      <c r="M19" s="135">
        <f>+M7/$Q7</f>
        <v>0.44444444444444442</v>
      </c>
      <c r="N19" s="135">
        <f>+N7/$Q7</f>
        <v>0</v>
      </c>
      <c r="O19" s="135">
        <f>+O7/$Q7</f>
        <v>0</v>
      </c>
      <c r="P19" s="135">
        <f>+P7/$Q7</f>
        <v>0</v>
      </c>
      <c r="Q19" s="136">
        <f t="shared" si="9"/>
        <v>1</v>
      </c>
      <c r="R19" s="126">
        <v>35000</v>
      </c>
      <c r="T19" s="137">
        <f>+$T$21</f>
        <v>58969.800780999998</v>
      </c>
      <c r="U19" s="126" t="str">
        <f>+$U$21</f>
        <v>50,000-60,000</v>
      </c>
      <c r="V19" s="136">
        <f>+L21</f>
        <v>0.33333333333333331</v>
      </c>
      <c r="W19" s="137">
        <f>+R19</f>
        <v>35000</v>
      </c>
      <c r="X19" s="137"/>
    </row>
    <row r="20" spans="1:25" x14ac:dyDescent="0.3">
      <c r="A20" s="128">
        <f t="shared" si="4"/>
        <v>17</v>
      </c>
      <c r="B20" s="129">
        <f>+data!B18</f>
        <v>57714.664062999997</v>
      </c>
      <c r="C20" s="129">
        <f t="shared" si="1"/>
        <v>6</v>
      </c>
      <c r="D20" s="129" t="str">
        <f t="shared" si="2"/>
        <v>6 a 6</v>
      </c>
      <c r="E20" s="126" t="str">
        <f t="shared" si="5"/>
        <v>66</v>
      </c>
      <c r="G20" s="145" t="s">
        <v>42</v>
      </c>
      <c r="H20" s="148">
        <f t="shared" si="11"/>
        <v>5</v>
      </c>
      <c r="I20" s="135">
        <f>+I8/$Q8</f>
        <v>0</v>
      </c>
      <c r="J20" s="135">
        <f>+J8/$Q8</f>
        <v>0</v>
      </c>
      <c r="K20" s="135">
        <f>+K8/$Q8</f>
        <v>0</v>
      </c>
      <c r="L20" s="135">
        <f>+L8/$Q8</f>
        <v>0.22222222222222221</v>
      </c>
      <c r="M20" s="135">
        <f>+M8/$Q8</f>
        <v>0.44444444444444442</v>
      </c>
      <c r="N20" s="135">
        <f>+N8/$Q8</f>
        <v>0.1111111111111111</v>
      </c>
      <c r="O20" s="135">
        <f>+O8/$Q8</f>
        <v>0.22222222222222221</v>
      </c>
      <c r="P20" s="135">
        <f>+P8/$Q8</f>
        <v>0</v>
      </c>
      <c r="Q20" s="136">
        <f t="shared" si="9"/>
        <v>0.99999999999999989</v>
      </c>
      <c r="R20" s="126">
        <v>45000</v>
      </c>
      <c r="T20" s="137">
        <f>+$T$21</f>
        <v>58969.800780999998</v>
      </c>
      <c r="U20" s="126" t="str">
        <f>+$U$21</f>
        <v>50,000-60,000</v>
      </c>
      <c r="V20" s="136">
        <f>+M21</f>
        <v>0.33333333333333331</v>
      </c>
      <c r="W20" s="137">
        <f>+R20</f>
        <v>45000</v>
      </c>
    </row>
    <row r="21" spans="1:25" x14ac:dyDescent="0.3">
      <c r="A21" s="132">
        <f t="shared" si="4"/>
        <v>18</v>
      </c>
      <c r="B21" s="133">
        <f>+data!B19</f>
        <v>37293.792969000002</v>
      </c>
      <c r="C21" s="133">
        <f t="shared" si="1"/>
        <v>4</v>
      </c>
      <c r="D21" s="133" t="str">
        <f t="shared" si="2"/>
        <v>6 a 4</v>
      </c>
      <c r="E21" s="126" t="str">
        <f t="shared" si="5"/>
        <v>64</v>
      </c>
      <c r="G21" s="145" t="s">
        <v>43</v>
      </c>
      <c r="H21" s="148">
        <f t="shared" si="11"/>
        <v>6</v>
      </c>
      <c r="I21" s="135">
        <f>+I9/$Q9</f>
        <v>0</v>
      </c>
      <c r="J21" s="135">
        <f>+J9/$Q9</f>
        <v>0</v>
      </c>
      <c r="K21" s="135">
        <f>+K9/$Q9</f>
        <v>0</v>
      </c>
      <c r="L21" s="135">
        <f>+L9/$Q9</f>
        <v>0.33333333333333331</v>
      </c>
      <c r="M21" s="135">
        <f>+M9/$Q9</f>
        <v>0.33333333333333331</v>
      </c>
      <c r="N21" s="135">
        <f>+N9/$Q9</f>
        <v>0.33333333333333331</v>
      </c>
      <c r="O21" s="135">
        <f>+O9/$Q9</f>
        <v>0</v>
      </c>
      <c r="P21" s="135">
        <f>+P9/$Q9</f>
        <v>0</v>
      </c>
      <c r="Q21" s="138">
        <f t="shared" si="9"/>
        <v>1</v>
      </c>
      <c r="R21" s="139">
        <v>55000</v>
      </c>
      <c r="S21" s="139"/>
      <c r="T21" s="140">
        <f>+B60</f>
        <v>58969.800780999998</v>
      </c>
      <c r="U21" s="139" t="str">
        <f>+N14</f>
        <v>50,000-60,000</v>
      </c>
      <c r="V21" s="138">
        <f>+N21</f>
        <v>0.33333333333333331</v>
      </c>
      <c r="W21" s="140">
        <f>+T21</f>
        <v>58969.800780999998</v>
      </c>
      <c r="Y21" s="126">
        <f>+L21*R19+M21*R20+N21*R21</f>
        <v>45000</v>
      </c>
    </row>
    <row r="22" spans="1:25" x14ac:dyDescent="0.3">
      <c r="A22" s="128">
        <f t="shared" si="4"/>
        <v>19</v>
      </c>
      <c r="B22" s="129">
        <f>+data!B20</f>
        <v>35035.984375</v>
      </c>
      <c r="C22" s="129">
        <f t="shared" si="1"/>
        <v>4</v>
      </c>
      <c r="D22" s="129" t="str">
        <f t="shared" si="2"/>
        <v>4 a 4</v>
      </c>
      <c r="E22" s="126" t="str">
        <f t="shared" si="5"/>
        <v>44</v>
      </c>
      <c r="G22" s="145" t="s">
        <v>44</v>
      </c>
      <c r="H22" s="148">
        <f t="shared" si="11"/>
        <v>7</v>
      </c>
      <c r="I22" s="135">
        <f>+I10/$Q10</f>
        <v>0</v>
      </c>
      <c r="J22" s="135">
        <f>+J10/$Q10</f>
        <v>0</v>
      </c>
      <c r="K22" s="135">
        <f>+K10/$Q10</f>
        <v>0</v>
      </c>
      <c r="L22" s="135">
        <f>+L10/$Q10</f>
        <v>0</v>
      </c>
      <c r="M22" s="135">
        <f>+M10/$Q10</f>
        <v>0</v>
      </c>
      <c r="N22" s="135">
        <f>+N10/$Q10</f>
        <v>0.33333333333333331</v>
      </c>
      <c r="O22" s="135">
        <f>+O10/$Q10</f>
        <v>0.5</v>
      </c>
      <c r="P22" s="135">
        <f>+P10/$Q10</f>
        <v>0.16666666666666666</v>
      </c>
      <c r="Q22" s="136">
        <f t="shared" si="9"/>
        <v>0.99999999999999989</v>
      </c>
      <c r="R22" s="126">
        <v>55000</v>
      </c>
      <c r="T22" s="137">
        <f>+$T$21</f>
        <v>58969.800780999998</v>
      </c>
      <c r="U22" s="126" t="str">
        <f>+$U$21</f>
        <v>50,000-60,000</v>
      </c>
      <c r="V22" s="136">
        <f>+O21</f>
        <v>0</v>
      </c>
      <c r="W22" s="137">
        <f t="shared" si="10"/>
        <v>0</v>
      </c>
    </row>
    <row r="23" spans="1:25" x14ac:dyDescent="0.3">
      <c r="A23" s="132">
        <f t="shared" si="4"/>
        <v>20</v>
      </c>
      <c r="B23" s="133">
        <f>+data!B21</f>
        <v>41460.84375</v>
      </c>
      <c r="C23" s="133">
        <f t="shared" si="1"/>
        <v>5</v>
      </c>
      <c r="D23" s="133" t="str">
        <f t="shared" si="2"/>
        <v>4 a 5</v>
      </c>
      <c r="E23" s="126" t="str">
        <f t="shared" si="5"/>
        <v>45</v>
      </c>
      <c r="G23" s="145" t="s">
        <v>91</v>
      </c>
      <c r="H23" s="148">
        <f t="shared" si="11"/>
        <v>8</v>
      </c>
      <c r="I23" s="135">
        <f>+I11/$Q11</f>
        <v>0</v>
      </c>
      <c r="J23" s="135">
        <f>+J11/$Q11</f>
        <v>0</v>
      </c>
      <c r="K23" s="135">
        <f>+K11/$Q11</f>
        <v>0</v>
      </c>
      <c r="L23" s="135">
        <f>+L11/$Q11</f>
        <v>0</v>
      </c>
      <c r="M23" s="135">
        <f>+M11/$Q11</f>
        <v>0</v>
      </c>
      <c r="N23" s="135">
        <f>+N11/$Q11</f>
        <v>0</v>
      </c>
      <c r="O23" s="135">
        <f>+O11/$Q11</f>
        <v>1</v>
      </c>
      <c r="P23" s="135">
        <f>+P11/$Q11</f>
        <v>0</v>
      </c>
      <c r="Q23" s="136">
        <f t="shared" si="9"/>
        <v>1</v>
      </c>
      <c r="R23" s="126">
        <v>75000</v>
      </c>
      <c r="T23" s="137">
        <f>+$T$21</f>
        <v>58969.800780999998</v>
      </c>
      <c r="U23" s="126" t="str">
        <f>+$U$21</f>
        <v>50,000-60,000</v>
      </c>
      <c r="V23" s="136">
        <f>+P21</f>
        <v>0</v>
      </c>
      <c r="W23" s="137">
        <f t="shared" si="10"/>
        <v>0</v>
      </c>
    </row>
    <row r="24" spans="1:25" x14ac:dyDescent="0.3">
      <c r="A24" s="128">
        <f t="shared" si="4"/>
        <v>21</v>
      </c>
      <c r="B24" s="129">
        <f>+data!B22</f>
        <v>47099.773437999997</v>
      </c>
      <c r="C24" s="129">
        <f t="shared" si="1"/>
        <v>5</v>
      </c>
      <c r="D24" s="129" t="str">
        <f t="shared" si="2"/>
        <v>5 a 5</v>
      </c>
      <c r="E24" s="126" t="str">
        <f t="shared" si="5"/>
        <v>55</v>
      </c>
      <c r="H24" s="134"/>
      <c r="I24" s="130"/>
      <c r="J24" s="130"/>
      <c r="K24" s="130"/>
      <c r="L24" s="130"/>
      <c r="M24" s="130"/>
      <c r="N24" s="130"/>
      <c r="O24" s="130"/>
      <c r="P24" s="130"/>
    </row>
    <row r="25" spans="1:25" x14ac:dyDescent="0.3">
      <c r="A25" s="132">
        <f t="shared" si="4"/>
        <v>22</v>
      </c>
      <c r="B25" s="133">
        <f>+data!B23</f>
        <v>43816.742187999997</v>
      </c>
      <c r="C25" s="133">
        <f t="shared" si="1"/>
        <v>5</v>
      </c>
      <c r="D25" s="133" t="str">
        <f t="shared" si="2"/>
        <v>5 a 5</v>
      </c>
      <c r="E25" s="126" t="str">
        <f t="shared" si="5"/>
        <v>55</v>
      </c>
      <c r="W25" s="137"/>
    </row>
    <row r="26" spans="1:25" x14ac:dyDescent="0.3">
      <c r="A26" s="128">
        <f t="shared" si="4"/>
        <v>23</v>
      </c>
      <c r="B26" s="129">
        <f>+data!B24</f>
        <v>61320.449219000002</v>
      </c>
      <c r="C26" s="129">
        <f t="shared" si="1"/>
        <v>7</v>
      </c>
      <c r="D26" s="129" t="str">
        <f t="shared" si="2"/>
        <v>5 a 7</v>
      </c>
      <c r="E26" s="126" t="str">
        <f t="shared" si="5"/>
        <v>57</v>
      </c>
      <c r="H26" s="15" t="s">
        <v>37</v>
      </c>
      <c r="I26" s="130">
        <v>1</v>
      </c>
      <c r="J26" s="130">
        <f>+I26+1</f>
        <v>2</v>
      </c>
      <c r="K26" s="130">
        <f t="shared" ref="K26:P26" si="12">+J26+1</f>
        <v>3</v>
      </c>
      <c r="L26" s="130">
        <f t="shared" si="12"/>
        <v>4</v>
      </c>
      <c r="M26" s="130">
        <f t="shared" si="12"/>
        <v>5</v>
      </c>
      <c r="N26" s="130">
        <f t="shared" si="12"/>
        <v>6</v>
      </c>
      <c r="O26" s="130">
        <f t="shared" si="12"/>
        <v>7</v>
      </c>
      <c r="P26" s="130">
        <f t="shared" si="12"/>
        <v>8</v>
      </c>
    </row>
    <row r="27" spans="1:25" x14ac:dyDescent="0.3">
      <c r="A27" s="132">
        <f t="shared" si="4"/>
        <v>24</v>
      </c>
      <c r="B27" s="133">
        <f>+data!B25</f>
        <v>56907.964844000002</v>
      </c>
      <c r="C27" s="133">
        <f t="shared" si="1"/>
        <v>6</v>
      </c>
      <c r="D27" s="133" t="str">
        <f t="shared" si="2"/>
        <v>7 a 6</v>
      </c>
      <c r="E27" s="126" t="str">
        <f t="shared" si="5"/>
        <v>76</v>
      </c>
      <c r="H27" s="130">
        <v>1</v>
      </c>
      <c r="I27" s="135">
        <f>+I4/$Q$12</f>
        <v>0.10714285714285714</v>
      </c>
      <c r="J27" s="135">
        <f>+J4/$Q$12</f>
        <v>1.7857142857142856E-2</v>
      </c>
      <c r="K27" s="135">
        <f>+K4/$Q$12</f>
        <v>0</v>
      </c>
      <c r="L27" s="135">
        <f>+L4/$Q$12</f>
        <v>0</v>
      </c>
      <c r="M27" s="135">
        <f>+M4/$Q$12</f>
        <v>0</v>
      </c>
      <c r="N27" s="135">
        <f>+N4/$Q$12</f>
        <v>0</v>
      </c>
      <c r="O27" s="135">
        <f>+O4/$Q$12</f>
        <v>0</v>
      </c>
      <c r="P27" s="135">
        <f>+P4/$Q$12</f>
        <v>0</v>
      </c>
    </row>
    <row r="28" spans="1:25" x14ac:dyDescent="0.3">
      <c r="A28" s="128">
        <f t="shared" si="4"/>
        <v>25</v>
      </c>
      <c r="B28" s="129">
        <f>+data!B26</f>
        <v>46311.746094000002</v>
      </c>
      <c r="C28" s="129">
        <f t="shared" si="1"/>
        <v>5</v>
      </c>
      <c r="D28" s="129" t="str">
        <f t="shared" si="2"/>
        <v>6 a 5</v>
      </c>
      <c r="E28" s="126" t="str">
        <f t="shared" si="5"/>
        <v>65</v>
      </c>
      <c r="H28" s="130">
        <f>+H27+1</f>
        <v>2</v>
      </c>
      <c r="I28" s="135">
        <f>+I5/$Q$12</f>
        <v>0</v>
      </c>
      <c r="J28" s="135">
        <f>+J5/$Q$12</f>
        <v>8.9285714285714288E-2</v>
      </c>
      <c r="K28" s="135">
        <f>+K5/$Q$12</f>
        <v>7.1428571428571425E-2</v>
      </c>
      <c r="L28" s="135">
        <f>+L5/$Q$12</f>
        <v>0</v>
      </c>
      <c r="M28" s="135">
        <f>+M5/$Q$12</f>
        <v>0</v>
      </c>
      <c r="N28" s="135">
        <f>+N5/$Q$12</f>
        <v>0</v>
      </c>
      <c r="O28" s="135">
        <f>+O5/$Q$12</f>
        <v>0</v>
      </c>
      <c r="P28" s="135">
        <f>+P5/$Q$12</f>
        <v>0</v>
      </c>
    </row>
    <row r="29" spans="1:25" x14ac:dyDescent="0.3">
      <c r="A29" s="132">
        <f t="shared" si="4"/>
        <v>26</v>
      </c>
      <c r="B29" s="133">
        <f>+data!B27</f>
        <v>38481.765625</v>
      </c>
      <c r="C29" s="133">
        <f t="shared" si="1"/>
        <v>4</v>
      </c>
      <c r="D29" s="133" t="str">
        <f t="shared" si="2"/>
        <v>5 a 4</v>
      </c>
      <c r="E29" s="126" t="str">
        <f t="shared" si="5"/>
        <v>54</v>
      </c>
      <c r="H29" s="130">
        <f t="shared" ref="H29:H34" si="13">+H28+1</f>
        <v>3</v>
      </c>
      <c r="I29" s="135">
        <f>+I6/$Q$12</f>
        <v>0</v>
      </c>
      <c r="J29" s="135">
        <f>+J6/$Q$12</f>
        <v>3.5714285714285712E-2</v>
      </c>
      <c r="K29" s="135">
        <f>+K6/$Q$12</f>
        <v>0.125</v>
      </c>
      <c r="L29" s="135">
        <f>+L6/$Q$12</f>
        <v>5.3571428571428568E-2</v>
      </c>
      <c r="M29" s="135">
        <f>+M6/$Q$12</f>
        <v>0</v>
      </c>
      <c r="N29" s="135">
        <f>+N6/$Q$12</f>
        <v>0</v>
      </c>
      <c r="O29" s="135">
        <f>+O6/$Q$12</f>
        <v>0</v>
      </c>
      <c r="P29" s="135">
        <f>+P6/$Q$12</f>
        <v>0</v>
      </c>
    </row>
    <row r="30" spans="1:25" x14ac:dyDescent="0.3">
      <c r="A30" s="128">
        <f t="shared" si="4"/>
        <v>27</v>
      </c>
      <c r="B30" s="129">
        <f>+data!B28</f>
        <v>43194.503905999998</v>
      </c>
      <c r="C30" s="129">
        <f t="shared" si="1"/>
        <v>5</v>
      </c>
      <c r="D30" s="129" t="str">
        <f t="shared" si="2"/>
        <v>4 a 5</v>
      </c>
      <c r="E30" s="126" t="str">
        <f t="shared" si="5"/>
        <v>45</v>
      </c>
      <c r="H30" s="130">
        <f t="shared" si="13"/>
        <v>4</v>
      </c>
      <c r="I30" s="135">
        <f>+I7/$Q$12</f>
        <v>0</v>
      </c>
      <c r="J30" s="135">
        <f>+J7/$Q$12</f>
        <v>1.7857142857142856E-2</v>
      </c>
      <c r="K30" s="135">
        <f>+K7/$Q$12</f>
        <v>1.7857142857142856E-2</v>
      </c>
      <c r="L30" s="135">
        <f>+L7/$Q$12</f>
        <v>5.3571428571428568E-2</v>
      </c>
      <c r="M30" s="135">
        <f>+M7/$Q$12</f>
        <v>7.1428571428571425E-2</v>
      </c>
      <c r="N30" s="135">
        <f>+N7/$Q$12</f>
        <v>0</v>
      </c>
      <c r="O30" s="135">
        <f>+O7/$Q$12</f>
        <v>0</v>
      </c>
      <c r="P30" s="135">
        <f>+P7/$Q$12</f>
        <v>0</v>
      </c>
    </row>
    <row r="31" spans="1:25" x14ac:dyDescent="0.3">
      <c r="A31" s="132">
        <f t="shared" si="4"/>
        <v>28</v>
      </c>
      <c r="B31" s="133">
        <f>+data!B29</f>
        <v>45554.164062999997</v>
      </c>
      <c r="C31" s="133">
        <f t="shared" si="1"/>
        <v>5</v>
      </c>
      <c r="D31" s="133" t="str">
        <f t="shared" si="2"/>
        <v>5 a 5</v>
      </c>
      <c r="E31" s="126" t="str">
        <f t="shared" si="5"/>
        <v>55</v>
      </c>
      <c r="H31" s="130">
        <f t="shared" si="13"/>
        <v>5</v>
      </c>
      <c r="I31" s="135">
        <f>+I8/$Q$12</f>
        <v>0</v>
      </c>
      <c r="J31" s="135">
        <f>+J8/$Q$12</f>
        <v>0</v>
      </c>
      <c r="K31" s="135">
        <f>+K8/$Q$12</f>
        <v>0</v>
      </c>
      <c r="L31" s="135">
        <f>+L8/$Q$12</f>
        <v>3.5714285714285712E-2</v>
      </c>
      <c r="M31" s="135">
        <f>+M8/$Q$12</f>
        <v>7.1428571428571425E-2</v>
      </c>
      <c r="N31" s="135">
        <f>+N8/$Q$12</f>
        <v>1.7857142857142856E-2</v>
      </c>
      <c r="O31" s="135">
        <f>+O8/$Q$12</f>
        <v>3.5714285714285712E-2</v>
      </c>
      <c r="P31" s="135">
        <f>+P8/$Q$12</f>
        <v>0</v>
      </c>
    </row>
    <row r="32" spans="1:25" x14ac:dyDescent="0.3">
      <c r="A32" s="128">
        <f t="shared" si="4"/>
        <v>29</v>
      </c>
      <c r="B32" s="129">
        <f>+data!B30</f>
        <v>37713.265625</v>
      </c>
      <c r="C32" s="129">
        <f t="shared" si="1"/>
        <v>4</v>
      </c>
      <c r="D32" s="129" t="str">
        <f t="shared" si="2"/>
        <v>5 a 4</v>
      </c>
      <c r="E32" s="126" t="str">
        <f t="shared" si="5"/>
        <v>54</v>
      </c>
      <c r="H32" s="130">
        <f t="shared" si="13"/>
        <v>6</v>
      </c>
      <c r="I32" s="135">
        <f>+I9/$Q$12</f>
        <v>0</v>
      </c>
      <c r="J32" s="135">
        <f>+J9/$Q$12</f>
        <v>0</v>
      </c>
      <c r="K32" s="135">
        <f>+K9/$Q$12</f>
        <v>0</v>
      </c>
      <c r="L32" s="135">
        <f>+L9/$Q$12</f>
        <v>1.7857142857142856E-2</v>
      </c>
      <c r="M32" s="135">
        <f>+M9/$Q$12</f>
        <v>1.7857142857142856E-2</v>
      </c>
      <c r="N32" s="135">
        <f>+N9/$Q$12</f>
        <v>1.7857142857142856E-2</v>
      </c>
      <c r="O32" s="135">
        <f>+O9/$Q$12</f>
        <v>0</v>
      </c>
      <c r="P32" s="135">
        <f>+P9/$Q$12</f>
        <v>0</v>
      </c>
    </row>
    <row r="33" spans="1:16" x14ac:dyDescent="0.3">
      <c r="A33" s="132">
        <f t="shared" si="4"/>
        <v>30</v>
      </c>
      <c r="B33" s="133">
        <f>+data!B31</f>
        <v>31792.554688</v>
      </c>
      <c r="C33" s="133">
        <f t="shared" si="1"/>
        <v>4</v>
      </c>
      <c r="D33" s="133" t="str">
        <f t="shared" si="2"/>
        <v>4 a 4</v>
      </c>
      <c r="E33" s="126" t="str">
        <f t="shared" si="5"/>
        <v>44</v>
      </c>
      <c r="H33" s="130">
        <f t="shared" si="13"/>
        <v>7</v>
      </c>
      <c r="I33" s="135">
        <f>+I10/$Q$12</f>
        <v>0</v>
      </c>
      <c r="J33" s="135">
        <f>+J10/$Q$12</f>
        <v>0</v>
      </c>
      <c r="K33" s="135">
        <f>+K10/$Q$12</f>
        <v>0</v>
      </c>
      <c r="L33" s="135">
        <f>+L10/$Q$12</f>
        <v>0</v>
      </c>
      <c r="M33" s="135">
        <f>+M10/$Q$12</f>
        <v>0</v>
      </c>
      <c r="N33" s="135">
        <f>+N10/$Q$12</f>
        <v>3.5714285714285712E-2</v>
      </c>
      <c r="O33" s="135">
        <f>+O10/$Q$12</f>
        <v>5.3571428571428568E-2</v>
      </c>
      <c r="P33" s="135">
        <f>+P10/$Q$12</f>
        <v>1.7857142857142856E-2</v>
      </c>
    </row>
    <row r="34" spans="1:16" x14ac:dyDescent="0.3">
      <c r="A34" s="128">
        <f t="shared" si="4"/>
        <v>31</v>
      </c>
      <c r="B34" s="129">
        <f>+data!B32</f>
        <v>19820.470702999999</v>
      </c>
      <c r="C34" s="129">
        <f t="shared" si="1"/>
        <v>2</v>
      </c>
      <c r="D34" s="129" t="str">
        <f t="shared" si="2"/>
        <v>4 a 2</v>
      </c>
      <c r="E34" s="126" t="str">
        <f t="shared" si="5"/>
        <v>42</v>
      </c>
      <c r="H34" s="130">
        <f t="shared" si="13"/>
        <v>8</v>
      </c>
      <c r="I34" s="135">
        <f>+I11/$Q$12</f>
        <v>0</v>
      </c>
      <c r="J34" s="135">
        <f>+J11/$Q$12</f>
        <v>0</v>
      </c>
      <c r="K34" s="135">
        <f>+K11/$Q$12</f>
        <v>0</v>
      </c>
      <c r="L34" s="135">
        <f>+L11/$Q$12</f>
        <v>0</v>
      </c>
      <c r="M34" s="135">
        <f>+M11/$Q$12</f>
        <v>0</v>
      </c>
      <c r="N34" s="135">
        <f>+N11/$Q$12</f>
        <v>0</v>
      </c>
      <c r="O34" s="135">
        <f>+O11/$Q$12</f>
        <v>1.7857142857142856E-2</v>
      </c>
      <c r="P34" s="135">
        <f>+P11/$Q$12</f>
        <v>0</v>
      </c>
    </row>
    <row r="35" spans="1:16" x14ac:dyDescent="0.3">
      <c r="A35" s="132">
        <f t="shared" si="4"/>
        <v>32</v>
      </c>
      <c r="B35" s="133">
        <f>+data!B33</f>
        <v>23336.71875</v>
      </c>
      <c r="C35" s="133">
        <f t="shared" si="1"/>
        <v>3</v>
      </c>
      <c r="D35" s="133" t="str">
        <f t="shared" si="2"/>
        <v>2 a 3</v>
      </c>
      <c r="E35" s="126" t="str">
        <f t="shared" si="5"/>
        <v>23</v>
      </c>
      <c r="H35" s="134"/>
      <c r="I35" s="141">
        <f>+SUM(I27:I34)</f>
        <v>0.10714285714285714</v>
      </c>
      <c r="J35" s="141">
        <f t="shared" ref="J35" si="14">+SUM(J27:J34)</f>
        <v>0.1607142857142857</v>
      </c>
      <c r="K35" s="141">
        <f t="shared" ref="K35" si="15">+SUM(K27:K34)</f>
        <v>0.21428571428571427</v>
      </c>
      <c r="L35" s="141">
        <f t="shared" ref="L35" si="16">+SUM(L27:L34)</f>
        <v>0.1607142857142857</v>
      </c>
      <c r="M35" s="141">
        <f t="shared" ref="M35" si="17">+SUM(M27:M34)</f>
        <v>0.1607142857142857</v>
      </c>
      <c r="N35" s="141">
        <f t="shared" ref="N35" si="18">+SUM(N27:N34)</f>
        <v>7.1428571428571425E-2</v>
      </c>
      <c r="O35" s="141">
        <f t="shared" ref="O35" si="19">+SUM(O27:O34)</f>
        <v>0.10714285714285712</v>
      </c>
      <c r="P35" s="141">
        <f t="shared" ref="P35" si="20">+SUM(P27:P34)</f>
        <v>1.7857142857142856E-2</v>
      </c>
    </row>
    <row r="36" spans="1:16" x14ac:dyDescent="0.3">
      <c r="A36" s="128">
        <f t="shared" si="4"/>
        <v>33</v>
      </c>
      <c r="B36" s="129">
        <f>+data!B34</f>
        <v>20050.498047000001</v>
      </c>
      <c r="C36" s="129">
        <f t="shared" si="1"/>
        <v>3</v>
      </c>
      <c r="D36" s="129" t="str">
        <f t="shared" si="2"/>
        <v>3 a 3</v>
      </c>
      <c r="E36" s="126" t="str">
        <f t="shared" si="5"/>
        <v>33</v>
      </c>
    </row>
    <row r="37" spans="1:16" x14ac:dyDescent="0.3">
      <c r="A37" s="132">
        <f t="shared" si="4"/>
        <v>34</v>
      </c>
      <c r="B37" s="133">
        <f>+data!B35</f>
        <v>19431.105468999998</v>
      </c>
      <c r="C37" s="133">
        <f t="shared" si="1"/>
        <v>2</v>
      </c>
      <c r="D37" s="133" t="str">
        <f t="shared" ref="D37:D60" si="21">+C36&amp;" a "&amp;C37</f>
        <v>3 a 2</v>
      </c>
      <c r="E37" s="126" t="str">
        <f t="shared" si="5"/>
        <v>32</v>
      </c>
      <c r="I37" s="126">
        <v>5000</v>
      </c>
      <c r="J37" s="126">
        <v>15000</v>
      </c>
      <c r="K37" s="126">
        <v>25000</v>
      </c>
      <c r="L37" s="126">
        <v>35000</v>
      </c>
      <c r="M37" s="126">
        <v>45000</v>
      </c>
      <c r="N37" s="126">
        <v>55000</v>
      </c>
      <c r="O37" s="126">
        <v>55000</v>
      </c>
      <c r="P37" s="126">
        <v>75000</v>
      </c>
    </row>
    <row r="38" spans="1:16" x14ac:dyDescent="0.3">
      <c r="A38" s="128">
        <f t="shared" si="4"/>
        <v>35</v>
      </c>
      <c r="B38" s="129">
        <f>+data!B36</f>
        <v>20494.898438</v>
      </c>
      <c r="C38" s="129">
        <f t="shared" si="1"/>
        <v>3</v>
      </c>
      <c r="D38" s="129" t="str">
        <f t="shared" si="21"/>
        <v>2 a 3</v>
      </c>
      <c r="E38" s="126" t="str">
        <f t="shared" si="5"/>
        <v>23</v>
      </c>
      <c r="I38" s="142">
        <f>+I37*I21</f>
        <v>0</v>
      </c>
      <c r="J38" s="142">
        <f t="shared" ref="J38:K38" si="22">+J37*J21</f>
        <v>0</v>
      </c>
      <c r="K38" s="142">
        <f t="shared" si="22"/>
        <v>0</v>
      </c>
      <c r="L38" s="142">
        <f>+L37*L21</f>
        <v>11666.666666666666</v>
      </c>
      <c r="M38" s="142">
        <f>+M37*M21</f>
        <v>15000</v>
      </c>
      <c r="N38" s="142">
        <f>+N37*N21</f>
        <v>18333.333333333332</v>
      </c>
      <c r="O38" s="142">
        <f>+O37*O21</f>
        <v>0</v>
      </c>
      <c r="P38" s="142">
        <f>+P37*P21</f>
        <v>0</v>
      </c>
    </row>
    <row r="39" spans="1:16" x14ac:dyDescent="0.3">
      <c r="A39" s="132">
        <f t="shared" si="4"/>
        <v>36</v>
      </c>
      <c r="B39" s="133">
        <f>+data!B37</f>
        <v>17168.001952999999</v>
      </c>
      <c r="C39" s="133">
        <f t="shared" si="1"/>
        <v>2</v>
      </c>
      <c r="D39" s="133" t="str">
        <f t="shared" si="21"/>
        <v>3 a 2</v>
      </c>
      <c r="E39" s="126" t="str">
        <f t="shared" si="5"/>
        <v>32</v>
      </c>
      <c r="I39" s="143">
        <f>+SUM(I38:P38)</f>
        <v>45000</v>
      </c>
    </row>
    <row r="40" spans="1:16" x14ac:dyDescent="0.3">
      <c r="A40" s="128">
        <f t="shared" si="4"/>
        <v>37</v>
      </c>
      <c r="B40" s="129">
        <f>+data!B38</f>
        <v>16547.914063</v>
      </c>
      <c r="C40" s="129">
        <f t="shared" si="1"/>
        <v>2</v>
      </c>
      <c r="D40" s="129" t="str">
        <f t="shared" si="21"/>
        <v>2 a 2</v>
      </c>
      <c r="E40" s="126" t="str">
        <f t="shared" si="5"/>
        <v>22</v>
      </c>
    </row>
    <row r="41" spans="1:16" x14ac:dyDescent="0.3">
      <c r="A41" s="132">
        <f t="shared" si="4"/>
        <v>38</v>
      </c>
      <c r="B41" s="133">
        <f>+data!B39</f>
        <v>23137.835938</v>
      </c>
      <c r="C41" s="133">
        <f t="shared" si="1"/>
        <v>3</v>
      </c>
      <c r="D41" s="133" t="str">
        <f t="shared" si="21"/>
        <v>2 a 3</v>
      </c>
      <c r="E41" s="126" t="str">
        <f t="shared" si="5"/>
        <v>23</v>
      </c>
    </row>
    <row r="42" spans="1:16" x14ac:dyDescent="0.3">
      <c r="A42" s="128">
        <f t="shared" si="4"/>
        <v>39</v>
      </c>
      <c r="B42" s="129">
        <f>+data!B40</f>
        <v>23150.929688</v>
      </c>
      <c r="C42" s="129">
        <f t="shared" si="1"/>
        <v>3</v>
      </c>
      <c r="D42" s="129" t="str">
        <f t="shared" si="21"/>
        <v>3 a 3</v>
      </c>
      <c r="E42" s="126" t="str">
        <f t="shared" si="5"/>
        <v>33</v>
      </c>
    </row>
    <row r="43" spans="1:16" x14ac:dyDescent="0.3">
      <c r="A43" s="132">
        <f t="shared" si="4"/>
        <v>40</v>
      </c>
      <c r="B43" s="133">
        <f>+data!B41</f>
        <v>28473.332031000002</v>
      </c>
      <c r="C43" s="133">
        <f t="shared" si="1"/>
        <v>3</v>
      </c>
      <c r="D43" s="133" t="str">
        <f t="shared" si="21"/>
        <v>3 a 3</v>
      </c>
      <c r="E43" s="126" t="str">
        <f t="shared" si="5"/>
        <v>33</v>
      </c>
    </row>
    <row r="44" spans="1:16" x14ac:dyDescent="0.3">
      <c r="A44" s="128">
        <f t="shared" si="4"/>
        <v>41</v>
      </c>
      <c r="B44" s="129">
        <f>+data!B42</f>
        <v>29227.103515999999</v>
      </c>
      <c r="C44" s="129">
        <f t="shared" si="1"/>
        <v>3</v>
      </c>
      <c r="D44" s="129" t="str">
        <f t="shared" si="21"/>
        <v>3 a 3</v>
      </c>
      <c r="E44" s="126" t="str">
        <f t="shared" si="5"/>
        <v>33</v>
      </c>
    </row>
    <row r="45" spans="1:16" x14ac:dyDescent="0.3">
      <c r="A45" s="132">
        <f t="shared" si="4"/>
        <v>42</v>
      </c>
      <c r="B45" s="133">
        <f>+data!B43</f>
        <v>27218.412109000001</v>
      </c>
      <c r="C45" s="133">
        <f t="shared" si="1"/>
        <v>3</v>
      </c>
      <c r="D45" s="133" t="str">
        <f t="shared" si="21"/>
        <v>3 a 3</v>
      </c>
      <c r="E45" s="126" t="str">
        <f t="shared" si="5"/>
        <v>33</v>
      </c>
    </row>
    <row r="46" spans="1:16" x14ac:dyDescent="0.3">
      <c r="A46" s="128">
        <f t="shared" si="4"/>
        <v>43</v>
      </c>
      <c r="B46" s="129">
        <f>+data!B44</f>
        <v>30471.847656000002</v>
      </c>
      <c r="C46" s="129">
        <f t="shared" si="1"/>
        <v>4</v>
      </c>
      <c r="D46" s="129" t="str">
        <f t="shared" si="21"/>
        <v>3 a 4</v>
      </c>
      <c r="E46" s="126" t="str">
        <f t="shared" si="5"/>
        <v>34</v>
      </c>
    </row>
    <row r="47" spans="1:16" x14ac:dyDescent="0.3">
      <c r="A47" s="132">
        <f t="shared" si="4"/>
        <v>44</v>
      </c>
      <c r="B47" s="133">
        <f>+data!B45</f>
        <v>29230.873047000001</v>
      </c>
      <c r="C47" s="133">
        <f t="shared" si="1"/>
        <v>3</v>
      </c>
      <c r="D47" s="133" t="str">
        <f t="shared" si="21"/>
        <v>4 a 3</v>
      </c>
      <c r="E47" s="126" t="str">
        <f t="shared" si="5"/>
        <v>43</v>
      </c>
    </row>
    <row r="48" spans="1:16" x14ac:dyDescent="0.3">
      <c r="A48" s="128">
        <f t="shared" si="4"/>
        <v>45</v>
      </c>
      <c r="B48" s="129">
        <f>+data!B46</f>
        <v>25934.021484000001</v>
      </c>
      <c r="C48" s="129">
        <f t="shared" si="1"/>
        <v>3</v>
      </c>
      <c r="D48" s="129" t="str">
        <f t="shared" si="21"/>
        <v>3 a 3</v>
      </c>
      <c r="E48" s="126" t="str">
        <f t="shared" si="5"/>
        <v>33</v>
      </c>
    </row>
    <row r="49" spans="1:5" x14ac:dyDescent="0.3">
      <c r="A49" s="132">
        <f t="shared" si="4"/>
        <v>46</v>
      </c>
      <c r="B49" s="133">
        <f>+data!B47</f>
        <v>26967.396484000001</v>
      </c>
      <c r="C49" s="133">
        <f t="shared" si="1"/>
        <v>3</v>
      </c>
      <c r="D49" s="133" t="str">
        <f t="shared" si="21"/>
        <v>3 a 3</v>
      </c>
      <c r="E49" s="126" t="str">
        <f t="shared" si="5"/>
        <v>33</v>
      </c>
    </row>
    <row r="50" spans="1:5" x14ac:dyDescent="0.3">
      <c r="A50" s="128">
        <f t="shared" si="4"/>
        <v>47</v>
      </c>
      <c r="B50" s="129">
        <f>+data!B48</f>
        <v>34657.273437999997</v>
      </c>
      <c r="C50" s="129">
        <f t="shared" si="1"/>
        <v>4</v>
      </c>
      <c r="D50" s="129" t="str">
        <f t="shared" si="21"/>
        <v>3 a 4</v>
      </c>
      <c r="E50" s="126" t="str">
        <f t="shared" si="5"/>
        <v>34</v>
      </c>
    </row>
    <row r="51" spans="1:5" x14ac:dyDescent="0.3">
      <c r="A51" s="132">
        <f t="shared" si="4"/>
        <v>48</v>
      </c>
      <c r="B51" s="133">
        <f>+data!B49</f>
        <v>37718.007812999997</v>
      </c>
      <c r="C51" s="133">
        <f t="shared" si="1"/>
        <v>4</v>
      </c>
      <c r="D51" s="133" t="str">
        <f t="shared" si="21"/>
        <v>4 a 4</v>
      </c>
      <c r="E51" s="126" t="str">
        <f t="shared" si="5"/>
        <v>44</v>
      </c>
    </row>
    <row r="52" spans="1:5" x14ac:dyDescent="0.3">
      <c r="A52" s="128">
        <f t="shared" si="4"/>
        <v>49</v>
      </c>
      <c r="B52" s="129">
        <f>+data!B50</f>
        <v>42280.234375</v>
      </c>
      <c r="C52" s="129">
        <f t="shared" si="1"/>
        <v>5</v>
      </c>
      <c r="D52" s="129" t="str">
        <f t="shared" si="21"/>
        <v>4 a 5</v>
      </c>
      <c r="E52" s="126" t="str">
        <f t="shared" si="5"/>
        <v>45</v>
      </c>
    </row>
    <row r="53" spans="1:5" x14ac:dyDescent="0.3">
      <c r="A53" s="132">
        <f t="shared" si="4"/>
        <v>50</v>
      </c>
      <c r="B53" s="133">
        <f>+data!B51</f>
        <v>42569.761719000002</v>
      </c>
      <c r="C53" s="133">
        <f t="shared" si="1"/>
        <v>5</v>
      </c>
      <c r="D53" s="133" t="str">
        <f t="shared" si="21"/>
        <v>5 a 5</v>
      </c>
      <c r="E53" s="126" t="str">
        <f t="shared" si="5"/>
        <v>55</v>
      </c>
    </row>
    <row r="54" spans="1:5" x14ac:dyDescent="0.3">
      <c r="A54" s="128">
        <f t="shared" si="4"/>
        <v>51</v>
      </c>
      <c r="B54" s="129">
        <f>+data!B52</f>
        <v>61168.0625</v>
      </c>
      <c r="C54" s="129">
        <f t="shared" si="1"/>
        <v>7</v>
      </c>
      <c r="D54" s="129" t="str">
        <f t="shared" si="21"/>
        <v>5 a 7</v>
      </c>
      <c r="E54" s="126" t="str">
        <f t="shared" si="5"/>
        <v>57</v>
      </c>
    </row>
    <row r="55" spans="1:5" x14ac:dyDescent="0.3">
      <c r="A55" s="132">
        <f t="shared" si="4"/>
        <v>52</v>
      </c>
      <c r="B55" s="133">
        <f>+data!B53</f>
        <v>71333.484375</v>
      </c>
      <c r="C55" s="133">
        <f t="shared" si="1"/>
        <v>8</v>
      </c>
      <c r="D55" s="133" t="str">
        <f t="shared" si="21"/>
        <v>7 a 8</v>
      </c>
      <c r="E55" s="126" t="str">
        <f t="shared" si="5"/>
        <v>78</v>
      </c>
    </row>
    <row r="56" spans="1:5" x14ac:dyDescent="0.3">
      <c r="A56" s="128">
        <f t="shared" si="4"/>
        <v>53</v>
      </c>
      <c r="B56" s="129">
        <f>+data!B54</f>
        <v>60609.496094000002</v>
      </c>
      <c r="C56" s="129">
        <f t="shared" si="1"/>
        <v>7</v>
      </c>
      <c r="D56" s="129" t="str">
        <f t="shared" si="21"/>
        <v>8 a 7</v>
      </c>
      <c r="E56" s="126" t="str">
        <f t="shared" si="5"/>
        <v>87</v>
      </c>
    </row>
    <row r="57" spans="1:5" x14ac:dyDescent="0.3">
      <c r="A57" s="132">
        <f t="shared" si="4"/>
        <v>54</v>
      </c>
      <c r="B57" s="133">
        <f>+data!B55</f>
        <v>67489.609375</v>
      </c>
      <c r="C57" s="133">
        <f t="shared" si="1"/>
        <v>7</v>
      </c>
      <c r="D57" s="133" t="str">
        <f t="shared" si="21"/>
        <v>7 a 7</v>
      </c>
      <c r="E57" s="126" t="str">
        <f t="shared" si="5"/>
        <v>77</v>
      </c>
    </row>
    <row r="58" spans="1:5" x14ac:dyDescent="0.3">
      <c r="A58" s="128">
        <f t="shared" si="4"/>
        <v>55</v>
      </c>
      <c r="B58" s="129">
        <f>+data!B56</f>
        <v>62673.605469000002</v>
      </c>
      <c r="C58" s="129">
        <f t="shared" si="1"/>
        <v>7</v>
      </c>
      <c r="D58" s="129" t="str">
        <f t="shared" si="21"/>
        <v>7 a 7</v>
      </c>
      <c r="E58" s="126" t="str">
        <f t="shared" si="5"/>
        <v>77</v>
      </c>
    </row>
    <row r="59" spans="1:5" x14ac:dyDescent="0.3">
      <c r="A59" s="132">
        <f t="shared" si="4"/>
        <v>56</v>
      </c>
      <c r="B59" s="133">
        <f>+data!B57</f>
        <v>64625.839844000002</v>
      </c>
      <c r="C59" s="133">
        <f t="shared" si="1"/>
        <v>7</v>
      </c>
      <c r="D59" s="133" t="str">
        <f t="shared" si="21"/>
        <v>7 a 7</v>
      </c>
      <c r="E59" s="126" t="str">
        <f t="shared" si="5"/>
        <v>77</v>
      </c>
    </row>
    <row r="60" spans="1:5" x14ac:dyDescent="0.3">
      <c r="A60" s="128">
        <f t="shared" si="4"/>
        <v>57</v>
      </c>
      <c r="B60" s="129">
        <f>+data!B58</f>
        <v>58969.800780999998</v>
      </c>
      <c r="C60" s="129">
        <f t="shared" si="1"/>
        <v>6</v>
      </c>
      <c r="D60" s="129" t="str">
        <f t="shared" si="21"/>
        <v>7 a 6</v>
      </c>
      <c r="E60" s="126" t="str">
        <f t="shared" si="5"/>
        <v>76</v>
      </c>
    </row>
  </sheetData>
  <conditionalFormatting sqref="I16:P23">
    <cfRule type="colorScale" priority="2">
      <colorScale>
        <cfvo type="min"/>
        <cfvo type="percentile" val="50"/>
        <cfvo type="max"/>
        <color rgb="FFF8696B"/>
        <color rgb="FFFFEB84"/>
        <color rgb="FF63BE7B"/>
      </colorScale>
    </cfRule>
  </conditionalFormatting>
  <conditionalFormatting sqref="I27:P3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5409-04BB-4654-BEF0-63512F60DAF3}">
  <sheetPr>
    <tabColor theme="4" tint="-0.499984740745262"/>
  </sheetPr>
  <dimension ref="A1:O61"/>
  <sheetViews>
    <sheetView zoomScale="70" zoomScaleNormal="70" workbookViewId="0">
      <pane ySplit="1" topLeftCell="A6" activePane="bottomLeft" state="frozen"/>
      <selection pane="bottomLeft" activeCell="N50" sqref="N50"/>
    </sheetView>
  </sheetViews>
  <sheetFormatPr baseColWidth="10" defaultColWidth="9.109375" defaultRowHeight="14.4" x14ac:dyDescent="0.3"/>
  <cols>
    <col min="1" max="1" width="9.109375" style="4"/>
    <col min="2" max="2" width="16" style="4" bestFit="1" customWidth="1"/>
    <col min="3" max="3" width="15.88671875" style="4" customWidth="1"/>
    <col min="4" max="5" width="16.5546875" style="4" bestFit="1" customWidth="1"/>
    <col min="6" max="6" width="14.88671875" style="4" bestFit="1" customWidth="1"/>
    <col min="7" max="7" width="25.44140625" style="4" customWidth="1"/>
    <col min="8" max="8" width="16.109375" style="4" bestFit="1" customWidth="1"/>
    <col min="9" max="9" width="9.44140625" style="4" bestFit="1" customWidth="1"/>
    <col min="10" max="10" width="9.21875" style="4" bestFit="1" customWidth="1"/>
    <col min="11" max="11" width="11.44140625" style="4" customWidth="1"/>
    <col min="12" max="13" width="9.109375" style="4"/>
    <col min="14" max="14" width="14.88671875" style="4" bestFit="1" customWidth="1"/>
    <col min="15" max="15" width="16.21875" style="4" customWidth="1"/>
    <col min="16" max="16" width="14.88671875" style="4" bestFit="1" customWidth="1"/>
    <col min="17" max="17" width="17.5546875" style="4" bestFit="1" customWidth="1"/>
    <col min="18" max="18" width="29.44140625" style="4" bestFit="1" customWidth="1"/>
    <col min="19" max="21" width="9.109375" style="4"/>
    <col min="22" max="22" width="14.88671875" style="4" bestFit="1" customWidth="1"/>
    <col min="23" max="16384" width="9.109375" style="4"/>
  </cols>
  <sheetData>
    <row r="1" spans="1:15" x14ac:dyDescent="0.3">
      <c r="A1" s="3" t="s">
        <v>7</v>
      </c>
      <c r="B1" s="3" t="s">
        <v>8</v>
      </c>
      <c r="C1" s="3" t="s">
        <v>9</v>
      </c>
      <c r="D1" s="3" t="s">
        <v>10</v>
      </c>
      <c r="E1" s="3" t="s">
        <v>11</v>
      </c>
      <c r="F1" s="3" t="s">
        <v>12</v>
      </c>
      <c r="G1" s="3" t="s">
        <v>13</v>
      </c>
      <c r="H1" s="3" t="s">
        <v>14</v>
      </c>
      <c r="I1" s="3" t="s">
        <v>15</v>
      </c>
      <c r="J1" s="3" t="s">
        <v>16</v>
      </c>
      <c r="K1" s="3" t="s">
        <v>17</v>
      </c>
    </row>
    <row r="2" spans="1:15" x14ac:dyDescent="0.3">
      <c r="A2" s="123"/>
      <c r="B2" s="22"/>
      <c r="C2" s="22"/>
      <c r="D2" s="22"/>
      <c r="E2" s="23">
        <f>+D2-B2</f>
        <v>0</v>
      </c>
      <c r="F2" s="22">
        <f>+ABS(E2)</f>
        <v>0</v>
      </c>
      <c r="G2" s="22"/>
      <c r="H2" s="22"/>
      <c r="I2" s="124"/>
      <c r="J2" s="124"/>
      <c r="K2" s="125"/>
    </row>
    <row r="3" spans="1:15" x14ac:dyDescent="0.3">
      <c r="A3" s="8"/>
      <c r="B3" s="9"/>
      <c r="C3" s="9"/>
      <c r="D3" s="9"/>
      <c r="E3" s="11">
        <f t="shared" ref="E3:E58" si="0">+D3-B3</f>
        <v>0</v>
      </c>
      <c r="F3" s="9">
        <f t="shared" ref="F3:F58" si="1">+ABS(E3)</f>
        <v>0</v>
      </c>
      <c r="G3" s="9"/>
      <c r="H3" s="9"/>
      <c r="I3" s="10"/>
      <c r="J3" s="10"/>
      <c r="K3" s="43"/>
    </row>
    <row r="4" spans="1:15" x14ac:dyDescent="0.3">
      <c r="A4" s="123"/>
      <c r="B4" s="22"/>
      <c r="C4" s="22"/>
      <c r="D4" s="22"/>
      <c r="E4" s="23">
        <f t="shared" si="0"/>
        <v>0</v>
      </c>
      <c r="F4" s="22">
        <f t="shared" si="1"/>
        <v>0</v>
      </c>
      <c r="G4" s="22"/>
      <c r="H4" s="22"/>
      <c r="I4" s="124"/>
      <c r="J4" s="124"/>
      <c r="K4" s="125"/>
      <c r="N4" s="4" t="s">
        <v>28</v>
      </c>
      <c r="O4" s="4">
        <f>+SLOPE(B2:B58,A2:A58)</f>
        <v>200.58341927812918</v>
      </c>
    </row>
    <row r="5" spans="1:15" x14ac:dyDescent="0.3">
      <c r="A5" s="8"/>
      <c r="B5" s="9"/>
      <c r="C5" s="9"/>
      <c r="D5" s="9"/>
      <c r="E5" s="11">
        <f t="shared" si="0"/>
        <v>0</v>
      </c>
      <c r="F5" s="9">
        <f t="shared" si="1"/>
        <v>0</v>
      </c>
      <c r="G5" s="9"/>
      <c r="H5" s="9"/>
      <c r="I5" s="10"/>
      <c r="J5" s="10"/>
      <c r="K5" s="43"/>
      <c r="N5" s="4" t="s">
        <v>29</v>
      </c>
      <c r="O5" s="4">
        <f>+INTERCEPT(B2:B58,A2:A58)</f>
        <v>32416.23375422103</v>
      </c>
    </row>
    <row r="6" spans="1:15" x14ac:dyDescent="0.3">
      <c r="A6" s="123"/>
      <c r="B6" s="22"/>
      <c r="C6" s="22"/>
      <c r="D6" s="22"/>
      <c r="E6" s="23">
        <f t="shared" si="0"/>
        <v>0</v>
      </c>
      <c r="F6" s="22">
        <f t="shared" si="1"/>
        <v>0</v>
      </c>
      <c r="G6" s="22"/>
      <c r="H6" s="22"/>
      <c r="I6" s="124"/>
      <c r="J6" s="124"/>
      <c r="K6" s="125"/>
      <c r="N6" s="4" t="s">
        <v>30</v>
      </c>
    </row>
    <row r="7" spans="1:15" x14ac:dyDescent="0.3">
      <c r="A7" s="8"/>
      <c r="B7" s="9"/>
      <c r="C7" s="9"/>
      <c r="D7" s="9"/>
      <c r="E7" s="11">
        <f t="shared" si="0"/>
        <v>0</v>
      </c>
      <c r="F7" s="9">
        <f t="shared" si="1"/>
        <v>0</v>
      </c>
      <c r="G7" s="9"/>
      <c r="H7" s="9"/>
      <c r="I7" s="10"/>
      <c r="J7" s="10"/>
      <c r="K7" s="43"/>
      <c r="N7" s="4" t="s">
        <v>31</v>
      </c>
    </row>
    <row r="8" spans="1:15" x14ac:dyDescent="0.3">
      <c r="A8" s="123"/>
      <c r="B8" s="22"/>
      <c r="C8" s="22"/>
      <c r="D8" s="22"/>
      <c r="E8" s="23">
        <f t="shared" si="0"/>
        <v>0</v>
      </c>
      <c r="F8" s="22">
        <f t="shared" si="1"/>
        <v>0</v>
      </c>
      <c r="G8" s="22"/>
      <c r="H8" s="22"/>
      <c r="I8" s="124"/>
      <c r="J8" s="124"/>
      <c r="K8" s="125"/>
    </row>
    <row r="9" spans="1:15" x14ac:dyDescent="0.3">
      <c r="A9" s="8"/>
      <c r="B9" s="9"/>
      <c r="C9" s="9"/>
      <c r="D9" s="9"/>
      <c r="E9" s="11">
        <f t="shared" si="0"/>
        <v>0</v>
      </c>
      <c r="F9" s="9">
        <f t="shared" si="1"/>
        <v>0</v>
      </c>
      <c r="G9" s="9"/>
      <c r="H9" s="9"/>
      <c r="I9" s="10"/>
      <c r="J9" s="10"/>
      <c r="K9" s="43"/>
    </row>
    <row r="10" spans="1:15" x14ac:dyDescent="0.3">
      <c r="A10" s="123"/>
      <c r="B10" s="22"/>
      <c r="C10" s="22"/>
      <c r="D10" s="22"/>
      <c r="E10" s="23">
        <f t="shared" si="0"/>
        <v>0</v>
      </c>
      <c r="F10" s="22">
        <f t="shared" si="1"/>
        <v>0</v>
      </c>
      <c r="G10" s="22"/>
      <c r="H10" s="22"/>
      <c r="I10" s="124"/>
      <c r="J10" s="124"/>
      <c r="K10" s="125"/>
    </row>
    <row r="11" spans="1:15" x14ac:dyDescent="0.3">
      <c r="A11" s="8"/>
      <c r="B11" s="9"/>
      <c r="C11" s="9"/>
      <c r="D11" s="9"/>
      <c r="E11" s="11">
        <f t="shared" si="0"/>
        <v>0</v>
      </c>
      <c r="F11" s="9">
        <f t="shared" si="1"/>
        <v>0</v>
      </c>
      <c r="G11" s="9"/>
      <c r="H11" s="9"/>
      <c r="I11" s="10"/>
      <c r="J11" s="10"/>
      <c r="K11" s="43"/>
    </row>
    <row r="12" spans="1:15" x14ac:dyDescent="0.3">
      <c r="A12" s="123"/>
      <c r="B12" s="22"/>
      <c r="C12" s="22"/>
      <c r="D12" s="22"/>
      <c r="E12" s="23">
        <f t="shared" si="0"/>
        <v>0</v>
      </c>
      <c r="F12" s="22">
        <f t="shared" si="1"/>
        <v>0</v>
      </c>
      <c r="G12" s="22"/>
      <c r="H12" s="22"/>
      <c r="I12" s="124"/>
      <c r="J12" s="124"/>
      <c r="K12" s="125"/>
    </row>
    <row r="13" spans="1:15" x14ac:dyDescent="0.3">
      <c r="A13" s="8"/>
      <c r="B13" s="9"/>
      <c r="C13" s="9"/>
      <c r="D13" s="9"/>
      <c r="E13" s="11">
        <f t="shared" si="0"/>
        <v>0</v>
      </c>
      <c r="F13" s="9">
        <f t="shared" si="1"/>
        <v>0</v>
      </c>
      <c r="G13" s="9"/>
      <c r="H13" s="9"/>
      <c r="I13" s="10"/>
      <c r="J13" s="10"/>
      <c r="K13" s="43"/>
    </row>
    <row r="14" spans="1:15" x14ac:dyDescent="0.3">
      <c r="A14" s="123">
        <v>13</v>
      </c>
      <c r="B14" s="22">
        <f>+data!B14</f>
        <v>28994.009765999999</v>
      </c>
      <c r="C14" s="22"/>
      <c r="D14" s="22">
        <v>27053.014299999999</v>
      </c>
      <c r="E14" s="23">
        <f>+D14-B14</f>
        <v>-1940.9954660000003</v>
      </c>
      <c r="F14" s="22">
        <f>+ABS(E14)</f>
        <v>1940.9954660000003</v>
      </c>
      <c r="G14" s="22">
        <f>+SUMSQ($E$14:E14)/(A14-12)</f>
        <v>3767463.3990325583</v>
      </c>
      <c r="H14" s="22">
        <f>+SUM($F$14:F14)/(A14-12)</f>
        <v>1940.9954660000003</v>
      </c>
      <c r="I14" s="124">
        <f>+(F14/B14)*100</f>
        <v>6.6944706222597752</v>
      </c>
      <c r="J14" s="124">
        <f>+AVERAGE($I$14:I14)</f>
        <v>6.6944706222597752</v>
      </c>
      <c r="K14" s="125">
        <f>+SUM($E$14:E14)/H14</f>
        <v>-1</v>
      </c>
    </row>
    <row r="15" spans="1:15" x14ac:dyDescent="0.3">
      <c r="A15" s="8">
        <f t="shared" ref="A4:A58" si="2">+A14+1</f>
        <v>14</v>
      </c>
      <c r="B15" s="9">
        <f>+data!B15</f>
        <v>33114.578125</v>
      </c>
      <c r="C15" s="9"/>
      <c r="D15" s="9">
        <v>30564.8586</v>
      </c>
      <c r="E15" s="11">
        <f t="shared" ref="E15:E58" si="3">+D15-B15</f>
        <v>-2549.7195250000004</v>
      </c>
      <c r="F15" s="9">
        <f>+ABS(E15)</f>
        <v>2549.7195250000004</v>
      </c>
      <c r="G15" s="9">
        <f>+SUMSQ($E$14:E15)/(A15-12)</f>
        <v>5134266.5275993925</v>
      </c>
      <c r="H15" s="9">
        <f>+SUM($F$14:F15)/(A15-12)</f>
        <v>2245.3574955000004</v>
      </c>
      <c r="I15" s="10">
        <f t="shared" ref="I15:I58" si="4">+(F15/B15)*100</f>
        <v>7.6996889870539471</v>
      </c>
      <c r="J15" s="10">
        <f>+AVERAGE($I$14:I15)</f>
        <v>7.1970798046568607</v>
      </c>
      <c r="K15" s="43">
        <f>+SUM($E$14:E15)/H15</f>
        <v>-2</v>
      </c>
    </row>
    <row r="16" spans="1:15" x14ac:dyDescent="0.3">
      <c r="A16" s="123">
        <f t="shared" si="2"/>
        <v>15</v>
      </c>
      <c r="B16" s="22">
        <f>+data!B16</f>
        <v>45159.503905999998</v>
      </c>
      <c r="C16" s="22"/>
      <c r="D16" s="22">
        <v>40289.777099999999</v>
      </c>
      <c r="E16" s="23">
        <f t="shared" si="3"/>
        <v>-4869.7268059999988</v>
      </c>
      <c r="F16" s="22">
        <f>+ABS(E16)</f>
        <v>4869.7268059999988</v>
      </c>
      <c r="G16" s="22">
        <f>+SUMSQ($E$14:E16)/(A16-12)</f>
        <v>11327590.740091244</v>
      </c>
      <c r="H16" s="22">
        <f>+SUM($F$14:F16)/(A16-12)</f>
        <v>3120.1472656666665</v>
      </c>
      <c r="I16" s="124">
        <f t="shared" si="4"/>
        <v>10.783393050854563</v>
      </c>
      <c r="J16" s="124">
        <f>+AVERAGE($I$14:I16)</f>
        <v>8.3925175533894283</v>
      </c>
      <c r="K16" s="125">
        <f>+SUM($E$14:E16)/H16</f>
        <v>-3</v>
      </c>
    </row>
    <row r="17" spans="1:11" x14ac:dyDescent="0.3">
      <c r="A17" s="8">
        <f t="shared" si="2"/>
        <v>16</v>
      </c>
      <c r="B17" s="9">
        <f>+data!B17</f>
        <v>58926.5625</v>
      </c>
      <c r="C17" s="9"/>
      <c r="D17" s="9">
        <v>51966.866099999999</v>
      </c>
      <c r="E17" s="11">
        <f t="shared" si="3"/>
        <v>-6959.6964000000007</v>
      </c>
      <c r="F17" s="9">
        <f>+ABS(E17)</f>
        <v>6959.6964000000007</v>
      </c>
      <c r="G17" s="9">
        <f>+SUMSQ($E$14:E17)/(A17-12)</f>
        <v>20605036.550111674</v>
      </c>
      <c r="H17" s="9">
        <f>+SUM($F$14:F17)/(A17-12)</f>
        <v>4080.0345492500001</v>
      </c>
      <c r="I17" s="10">
        <f t="shared" si="4"/>
        <v>11.810796531699944</v>
      </c>
      <c r="J17" s="10">
        <f>+AVERAGE($I$14:I17)</f>
        <v>9.2470872979670578</v>
      </c>
      <c r="K17" s="43">
        <f>+SUM($E$14:E17)/H17</f>
        <v>-4</v>
      </c>
    </row>
    <row r="18" spans="1:11" x14ac:dyDescent="0.3">
      <c r="A18" s="123">
        <f t="shared" si="2"/>
        <v>17</v>
      </c>
      <c r="B18" s="22">
        <f>+data!B18</f>
        <v>57714.664062999997</v>
      </c>
      <c r="C18" s="22"/>
      <c r="D18" s="22">
        <v>53836.189599999998</v>
      </c>
      <c r="E18" s="23">
        <f t="shared" si="3"/>
        <v>-3878.4744629999987</v>
      </c>
      <c r="F18" s="22">
        <f>+ABS(E18)</f>
        <v>3878.4744629999987</v>
      </c>
      <c r="G18" s="22">
        <f>+SUMSQ($E$14:E18)/(A18-12)</f>
        <v>19492542.072117962</v>
      </c>
      <c r="H18" s="22">
        <f>+SUM($F$14:F18)/(A18-12)</f>
        <v>4039.7225319999998</v>
      </c>
      <c r="I18" s="124">
        <f t="shared" si="4"/>
        <v>6.7200849662164632</v>
      </c>
      <c r="J18" s="124">
        <f>+AVERAGE($I$14:I18)</f>
        <v>8.7416868316169385</v>
      </c>
      <c r="K18" s="125">
        <f>+SUM($E$14:E18)/H18</f>
        <v>-5</v>
      </c>
    </row>
    <row r="19" spans="1:11" x14ac:dyDescent="0.3">
      <c r="A19" s="8">
        <f t="shared" si="2"/>
        <v>18</v>
      </c>
      <c r="B19" s="9">
        <f>+data!B19</f>
        <v>37293.792969000002</v>
      </c>
      <c r="C19" s="9"/>
      <c r="D19" s="9">
        <v>41517.229299999999</v>
      </c>
      <c r="E19" s="11">
        <f t="shared" si="3"/>
        <v>4223.4363309999972</v>
      </c>
      <c r="F19" s="9">
        <f t="shared" si="1"/>
        <v>4223.4363309999972</v>
      </c>
      <c r="G19" s="9">
        <f>+SUMSQ($E$14:E19)/(A19-12)</f>
        <v>19216687.467100088</v>
      </c>
      <c r="H19" s="9">
        <f>+SUM($F$14:F19)/(A19-12)</f>
        <v>4070.3414984999995</v>
      </c>
      <c r="I19" s="10">
        <f t="shared" si="4"/>
        <v>11.324770142073442</v>
      </c>
      <c r="J19" s="10">
        <f>+AVERAGE($I$14:I19)</f>
        <v>9.1722007166930215</v>
      </c>
      <c r="K19" s="43">
        <f>+SUM($E$14:E19)/H19</f>
        <v>-3.9247754358908624</v>
      </c>
    </row>
    <row r="20" spans="1:11" x14ac:dyDescent="0.3">
      <c r="A20" s="123">
        <f t="shared" si="2"/>
        <v>19</v>
      </c>
      <c r="B20" s="22">
        <f>+data!B20</f>
        <v>35035.984375</v>
      </c>
      <c r="C20" s="22"/>
      <c r="D20" s="22">
        <v>37749.506200000003</v>
      </c>
      <c r="E20" s="23">
        <f t="shared" si="3"/>
        <v>2713.5218250000034</v>
      </c>
      <c r="F20" s="22">
        <f t="shared" si="1"/>
        <v>2713.5218250000034</v>
      </c>
      <c r="G20" s="22">
        <f>+SUMSQ($E$14:E20)/(A20-12)</f>
        <v>17523332.213907413</v>
      </c>
      <c r="H20" s="22">
        <f>+SUM($F$14:F20)/(A20-12)</f>
        <v>3876.5101165714286</v>
      </c>
      <c r="I20" s="124">
        <f t="shared" si="4"/>
        <v>7.7449567163759863</v>
      </c>
      <c r="J20" s="124">
        <f>+AVERAGE($I$14:I20)</f>
        <v>8.9683087166477318</v>
      </c>
      <c r="K20" s="125">
        <f>+SUM($E$14:E20)/H20</f>
        <v>-3.4210292518801011</v>
      </c>
    </row>
    <row r="21" spans="1:11" x14ac:dyDescent="0.3">
      <c r="A21" s="8">
        <f t="shared" si="2"/>
        <v>20</v>
      </c>
      <c r="B21" s="9">
        <f>+data!B21</f>
        <v>41460.84375</v>
      </c>
      <c r="C21" s="9"/>
      <c r="D21" s="9">
        <v>41408.516100000001</v>
      </c>
      <c r="E21" s="11">
        <f t="shared" si="3"/>
        <v>-52.327649999999267</v>
      </c>
      <c r="F21" s="9">
        <f t="shared" si="1"/>
        <v>52.327649999999267</v>
      </c>
      <c r="G21" s="9">
        <f>+SUMSQ($E$14:E21)/(A21-12)</f>
        <v>15333257.960038301</v>
      </c>
      <c r="H21" s="9">
        <f>+SUM($F$14:F21)/(A21-12)</f>
        <v>3398.4873082499998</v>
      </c>
      <c r="I21" s="10">
        <f t="shared" si="4"/>
        <v>0.12620980488367237</v>
      </c>
      <c r="J21" s="10">
        <f>+AVERAGE($I$14:I21)</f>
        <v>7.8630463526772241</v>
      </c>
      <c r="K21" s="43">
        <f>+SUM($E$14:E21)/H21</f>
        <v>-3.9176200898792919</v>
      </c>
    </row>
    <row r="22" spans="1:11" x14ac:dyDescent="0.3">
      <c r="A22" s="123">
        <f t="shared" si="2"/>
        <v>21</v>
      </c>
      <c r="B22" s="22">
        <f>+data!B22</f>
        <v>47099.773437999997</v>
      </c>
      <c r="C22" s="22"/>
      <c r="D22" s="22">
        <v>46144.305899999999</v>
      </c>
      <c r="E22" s="23">
        <f t="shared" si="3"/>
        <v>-955.46753799999715</v>
      </c>
      <c r="F22" s="22">
        <f t="shared" si="1"/>
        <v>955.46753799999715</v>
      </c>
      <c r="G22" s="22">
        <f>+SUMSQ($E$14:E22)/(A22-12)</f>
        <v>13730997.988497576</v>
      </c>
      <c r="H22" s="22">
        <f>+SUM($F$14:F22)/(A22-12)</f>
        <v>3127.0406671111105</v>
      </c>
      <c r="I22" s="124">
        <f t="shared" si="4"/>
        <v>2.0286032569938603</v>
      </c>
      <c r="J22" s="124">
        <f>+AVERAGE($I$14:I22)</f>
        <v>7.214774897601294</v>
      </c>
      <c r="K22" s="125">
        <f>+SUM($E$14:E22)/H22</f>
        <v>-4.5632440415885931</v>
      </c>
    </row>
    <row r="23" spans="1:11" x14ac:dyDescent="0.3">
      <c r="A23" s="8">
        <f t="shared" si="2"/>
        <v>22</v>
      </c>
      <c r="B23" s="9">
        <f>+data!B23</f>
        <v>43816.742187999997</v>
      </c>
      <c r="C23" s="9"/>
      <c r="D23" s="9">
        <v>45072.987999999998</v>
      </c>
      <c r="E23" s="11">
        <f t="shared" si="3"/>
        <v>1256.245812000001</v>
      </c>
      <c r="F23" s="9">
        <f t="shared" si="1"/>
        <v>1256.245812000001</v>
      </c>
      <c r="G23" s="9">
        <f>+SUMSQ($E$14:E23)/(A23-12)</f>
        <v>12515713.543664571</v>
      </c>
      <c r="H23" s="9">
        <f>+SUM($F$14:F23)/(A23-12)</f>
        <v>2939.9611815999997</v>
      </c>
      <c r="I23" s="10">
        <f t="shared" si="4"/>
        <v>2.8670452189484013</v>
      </c>
      <c r="J23" s="10">
        <f>+AVERAGE($I$14:I23)</f>
        <v>6.780001929736005</v>
      </c>
      <c r="K23" s="43">
        <f>+SUM($E$14:E23)/H23</f>
        <v>-4.4263182661880878</v>
      </c>
    </row>
    <row r="24" spans="1:11" x14ac:dyDescent="0.3">
      <c r="A24" s="123">
        <f t="shared" si="2"/>
        <v>23</v>
      </c>
      <c r="B24" s="22">
        <f>+data!B24</f>
        <v>61320.449219000002</v>
      </c>
      <c r="C24" s="22"/>
      <c r="D24" s="22">
        <v>54235.794999999998</v>
      </c>
      <c r="E24" s="23">
        <f t="shared" si="3"/>
        <v>-7084.6542190000036</v>
      </c>
      <c r="F24" s="22">
        <f t="shared" si="1"/>
        <v>7084.6542190000036</v>
      </c>
      <c r="G24" s="22">
        <f>+SUMSQ($E$14:E24)/(A24-12)</f>
        <v>15940860.076312752</v>
      </c>
      <c r="H24" s="22">
        <f>+SUM($F$14:F24)/(A24-12)</f>
        <v>3316.7514577272727</v>
      </c>
      <c r="I24" s="124">
        <f t="shared" si="4"/>
        <v>11.55349367010971</v>
      </c>
      <c r="J24" s="124">
        <f>+AVERAGE($I$14:I24)</f>
        <v>7.213955724315432</v>
      </c>
      <c r="K24" s="125">
        <f>+SUM($E$14:E24)/H24</f>
        <v>-6.0595007962313794</v>
      </c>
    </row>
    <row r="25" spans="1:11" x14ac:dyDescent="0.3">
      <c r="A25" s="8">
        <f t="shared" si="2"/>
        <v>24</v>
      </c>
      <c r="B25" s="9">
        <f>+data!B25</f>
        <v>56907.964844000002</v>
      </c>
      <c r="C25" s="9"/>
      <c r="D25" s="9">
        <v>53709.585500000001</v>
      </c>
      <c r="E25" s="11">
        <f t="shared" si="3"/>
        <v>-3198.3793440000009</v>
      </c>
      <c r="F25" s="9">
        <f t="shared" si="1"/>
        <v>3198.3793440000009</v>
      </c>
      <c r="G25" s="9">
        <f>+SUMSQ($E$14:E25)/(A25-12)</f>
        <v>15464924.272297181</v>
      </c>
      <c r="H25" s="9">
        <f>+SUM($F$14:F25)/(A25-12)</f>
        <v>3306.8871149166666</v>
      </c>
      <c r="I25" s="10">
        <f t="shared" si="4"/>
        <v>5.6202666055052513</v>
      </c>
      <c r="J25" s="10">
        <f>+AVERAGE($I$14:I25)</f>
        <v>7.0811482977479168</v>
      </c>
      <c r="K25" s="43">
        <f>+SUM($E$14:E25)/H25</f>
        <v>-7.044763438677907</v>
      </c>
    </row>
    <row r="26" spans="1:11" x14ac:dyDescent="0.3">
      <c r="A26" s="123">
        <f t="shared" si="2"/>
        <v>25</v>
      </c>
      <c r="B26" s="22">
        <f>+data!B26</f>
        <v>46311.746094000002</v>
      </c>
      <c r="C26" s="22"/>
      <c r="D26" s="22">
        <v>44929.974699999999</v>
      </c>
      <c r="E26" s="23">
        <f t="shared" si="3"/>
        <v>-1381.7713940000031</v>
      </c>
      <c r="F26" s="22">
        <f t="shared" si="1"/>
        <v>1381.7713940000031</v>
      </c>
      <c r="G26" s="22">
        <f>+SUMSQ($E$14:E26)/(A26-12)</f>
        <v>14422183.342526376</v>
      </c>
      <c r="H26" s="22">
        <f>+SUM($F$14:F26)/(A26-12)</f>
        <v>3158.8012902307696</v>
      </c>
      <c r="I26" s="124">
        <f t="shared" si="4"/>
        <v>2.983630526897842</v>
      </c>
      <c r="J26" s="124">
        <f>+AVERAGE($I$14:I26)</f>
        <v>6.7659546230671417</v>
      </c>
      <c r="K26" s="125">
        <f>+SUM($E$14:E26)/H26</f>
        <v>-7.8124600345459285</v>
      </c>
    </row>
    <row r="27" spans="1:11" x14ac:dyDescent="0.3">
      <c r="A27" s="8">
        <f t="shared" si="2"/>
        <v>26</v>
      </c>
      <c r="B27" s="9">
        <f>+data!B27</f>
        <v>38481.765625</v>
      </c>
      <c r="C27" s="9"/>
      <c r="D27" s="9">
        <v>39633.495999999999</v>
      </c>
      <c r="E27" s="11">
        <f t="shared" si="3"/>
        <v>1151.7303749999992</v>
      </c>
      <c r="F27" s="9">
        <f t="shared" si="1"/>
        <v>1151.7303749999992</v>
      </c>
      <c r="G27" s="9">
        <f>+SUMSQ($E$14:E27)/(A27-12)</f>
        <v>13486776.164967181</v>
      </c>
      <c r="H27" s="9">
        <f>+SUM($F$14:F27)/(A27-12)</f>
        <v>3015.4390820000003</v>
      </c>
      <c r="I27" s="10">
        <f t="shared" si="4"/>
        <v>2.9929249770487871</v>
      </c>
      <c r="J27" s="10">
        <f>+AVERAGE($I$14:I27)</f>
        <v>6.4964525054944025</v>
      </c>
      <c r="K27" s="43">
        <f>+SUM($E$14:E27)/H27</f>
        <v>-7.8019412172625016</v>
      </c>
    </row>
    <row r="28" spans="1:11" x14ac:dyDescent="0.3">
      <c r="A28" s="123">
        <f t="shared" si="2"/>
        <v>27</v>
      </c>
      <c r="B28" s="22">
        <f>+data!B28</f>
        <v>43194.503905999998</v>
      </c>
      <c r="C28" s="22"/>
      <c r="D28" s="22">
        <v>42070.012699999999</v>
      </c>
      <c r="E28" s="23">
        <f t="shared" si="3"/>
        <v>-1124.4912059999988</v>
      </c>
      <c r="F28" s="22">
        <f t="shared" si="1"/>
        <v>1124.4912059999988</v>
      </c>
      <c r="G28" s="22">
        <f>+SUMSQ($E$14:E28)/(A28-12)</f>
        <v>12671956.452127459</v>
      </c>
      <c r="H28" s="22">
        <f>+SUM($F$14:F28)/(A28-12)</f>
        <v>2889.3758902666668</v>
      </c>
      <c r="I28" s="124">
        <f t="shared" si="4"/>
        <v>2.6033201086117801</v>
      </c>
      <c r="J28" s="124">
        <f>+AVERAGE($I$14:I28)</f>
        <v>6.2369103457022277</v>
      </c>
      <c r="K28" s="125">
        <f>+SUM($E$14:E28)/H28</f>
        <v>-8.5315205096851994</v>
      </c>
    </row>
    <row r="29" spans="1:11" x14ac:dyDescent="0.3">
      <c r="A29" s="8">
        <f t="shared" si="2"/>
        <v>28</v>
      </c>
      <c r="B29" s="9">
        <f>+data!B29</f>
        <v>45554.164062999997</v>
      </c>
      <c r="C29" s="9"/>
      <c r="D29" s="9">
        <v>42727.052000000003</v>
      </c>
      <c r="E29" s="11">
        <f t="shared" si="3"/>
        <v>-2827.1120629999932</v>
      </c>
      <c r="F29" s="9">
        <f t="shared" si="1"/>
        <v>2827.1120629999932</v>
      </c>
      <c r="G29" s="9">
        <f>+SUMSQ($E$14:E29)/(A29-12)</f>
        <v>12379494.337416997</v>
      </c>
      <c r="H29" s="9">
        <f>+SUM($F$14:F29)/(A29-12)</f>
        <v>2885.4844010624997</v>
      </c>
      <c r="I29" s="10">
        <f t="shared" si="4"/>
        <v>6.2060453114454806</v>
      </c>
      <c r="J29" s="10">
        <f>+AVERAGE($I$14:I29)</f>
        <v>6.2349812810611809</v>
      </c>
      <c r="K29" s="43">
        <f>+SUM($E$14:E29)/H29</f>
        <v>-9.5227968381606996</v>
      </c>
    </row>
    <row r="30" spans="1:11" x14ac:dyDescent="0.3">
      <c r="A30" s="123">
        <f t="shared" si="2"/>
        <v>29</v>
      </c>
      <c r="B30" s="22">
        <f>+data!B30</f>
        <v>37713.265625</v>
      </c>
      <c r="C30" s="22"/>
      <c r="D30" s="22">
        <v>39281.647299999997</v>
      </c>
      <c r="E30" s="23">
        <f t="shared" si="3"/>
        <v>1568.3816749999969</v>
      </c>
      <c r="F30" s="22">
        <f t="shared" si="1"/>
        <v>1568.3816749999969</v>
      </c>
      <c r="G30" s="22">
        <f>+SUMSQ($E$14:E30)/(A30-12)</f>
        <v>11795984.145714574</v>
      </c>
      <c r="H30" s="22">
        <f>+SUM($F$14:F30)/(A30-12)</f>
        <v>2808.0077701176465</v>
      </c>
      <c r="I30" s="124">
        <f t="shared" si="4"/>
        <v>4.1587002584054185</v>
      </c>
      <c r="J30" s="124">
        <f>+AVERAGE($I$14:I30)</f>
        <v>6.1128471032579004</v>
      </c>
      <c r="K30" s="125">
        <f>+SUM($E$14:E30)/H30</f>
        <v>-9.2270044020976734</v>
      </c>
    </row>
    <row r="31" spans="1:11" x14ac:dyDescent="0.3">
      <c r="A31" s="8">
        <f t="shared" si="2"/>
        <v>30</v>
      </c>
      <c r="B31" s="9">
        <f>+data!B31</f>
        <v>31792.554688</v>
      </c>
      <c r="C31" s="9"/>
      <c r="D31" s="9">
        <v>37064.970500000003</v>
      </c>
      <c r="E31" s="11">
        <f t="shared" si="3"/>
        <v>5272.4158120000029</v>
      </c>
      <c r="F31" s="9">
        <f t="shared" si="1"/>
        <v>5272.4158120000029</v>
      </c>
      <c r="G31" s="9">
        <f>+SUMSQ($E$14:E31)/(A31-12)</f>
        <v>12685005.498431968</v>
      </c>
      <c r="H31" s="9">
        <f>+SUM($F$14:F31)/(A31-12)</f>
        <v>2944.9193279999995</v>
      </c>
      <c r="I31" s="10">
        <f t="shared" si="4"/>
        <v>16.583806692294718</v>
      </c>
      <c r="J31" s="10">
        <f>+AVERAGE($I$14:I31)</f>
        <v>6.6945670804266122</v>
      </c>
      <c r="K31" s="43">
        <f>+SUM($E$14:E31)/H31</f>
        <v>-7.0076908551567625</v>
      </c>
    </row>
    <row r="32" spans="1:11" x14ac:dyDescent="0.3">
      <c r="A32" s="123">
        <f t="shared" si="2"/>
        <v>31</v>
      </c>
      <c r="B32" s="22">
        <f>+data!B32</f>
        <v>19820.470702999999</v>
      </c>
      <c r="C32" s="22"/>
      <c r="D32" s="22">
        <v>28230.183700000001</v>
      </c>
      <c r="E32" s="23">
        <f t="shared" si="3"/>
        <v>8409.7129970000024</v>
      </c>
      <c r="F32" s="22">
        <f t="shared" si="1"/>
        <v>8409.7129970000024</v>
      </c>
      <c r="G32" s="22">
        <f>+SUMSQ($E$14:E32)/(A32-12)</f>
        <v>15739651.140194008</v>
      </c>
      <c r="H32" s="22">
        <f>+SUM($F$14:F32)/(A32-12)</f>
        <v>3232.5400474210523</v>
      </c>
      <c r="I32" s="124">
        <f t="shared" si="4"/>
        <v>42.429431283522042</v>
      </c>
      <c r="J32" s="124">
        <f>+AVERAGE($I$14:I32)</f>
        <v>8.5753494069053193</v>
      </c>
      <c r="K32" s="125">
        <f>+SUM($E$14:E32)/H32</f>
        <v>-3.7825892541548223</v>
      </c>
    </row>
    <row r="33" spans="1:11" x14ac:dyDescent="0.3">
      <c r="A33" s="8">
        <f t="shared" si="2"/>
        <v>32</v>
      </c>
      <c r="B33" s="9">
        <f>+data!B33</f>
        <v>23336.71875</v>
      </c>
      <c r="C33" s="9"/>
      <c r="D33" s="9">
        <v>24586.650600000001</v>
      </c>
      <c r="E33" s="11">
        <f t="shared" si="3"/>
        <v>1249.9318500000008</v>
      </c>
      <c r="F33" s="9">
        <f t="shared" si="1"/>
        <v>1249.9318500000008</v>
      </c>
      <c r="G33" s="9">
        <f>+SUMSQ($E$14:E33)/(A33-12)</f>
        <v>15030785.06466653</v>
      </c>
      <c r="H33" s="9">
        <f>+SUM($F$14:F33)/(A33-12)</f>
        <v>3133.4096375499998</v>
      </c>
      <c r="I33" s="10">
        <f t="shared" si="4"/>
        <v>5.3560736768102881</v>
      </c>
      <c r="J33" s="10">
        <f>+AVERAGE($I$14:I33)</f>
        <v>8.4143856204005694</v>
      </c>
      <c r="K33" s="43">
        <f>+SUM($E$14:E33)/H33</f>
        <v>-3.5033527903434951</v>
      </c>
    </row>
    <row r="34" spans="1:11" x14ac:dyDescent="0.3">
      <c r="A34" s="123">
        <f t="shared" si="2"/>
        <v>33</v>
      </c>
      <c r="B34" s="22">
        <f>+data!B34</f>
        <v>20050.498047000001</v>
      </c>
      <c r="C34" s="22"/>
      <c r="D34" s="22">
        <v>20109.884900000001</v>
      </c>
      <c r="E34" s="23">
        <f t="shared" si="3"/>
        <v>59.386852999999974</v>
      </c>
      <c r="F34" s="22">
        <f t="shared" si="1"/>
        <v>59.386852999999974</v>
      </c>
      <c r="G34" s="22">
        <f>+SUMSQ($E$14:E34)/(A34-12)</f>
        <v>14315201.337697137</v>
      </c>
      <c r="H34" s="22">
        <f>+SUM($F$14:F34)/(A34-12)</f>
        <v>2987.0276001904763</v>
      </c>
      <c r="I34" s="124">
        <f t="shared" si="4"/>
        <v>0.29618642320401395</v>
      </c>
      <c r="J34" s="124">
        <f>+AVERAGE($I$14:I34)</f>
        <v>8.027804706248352</v>
      </c>
      <c r="K34" s="125">
        <f>+SUM($E$14:E34)/H34</f>
        <v>-3.6551562306634766</v>
      </c>
    </row>
    <row r="35" spans="1:11" x14ac:dyDescent="0.3">
      <c r="A35" s="8">
        <f t="shared" si="2"/>
        <v>34</v>
      </c>
      <c r="B35" s="9">
        <f>+data!B35</f>
        <v>19431.105468999998</v>
      </c>
      <c r="C35" s="9"/>
      <c r="D35" s="9">
        <v>20921.736199999999</v>
      </c>
      <c r="E35" s="11">
        <f t="shared" si="3"/>
        <v>1490.6307310000011</v>
      </c>
      <c r="F35" s="9">
        <f t="shared" si="1"/>
        <v>1490.6307310000011</v>
      </c>
      <c r="G35" s="9">
        <f>+SUMSQ($E$14:E35)/(A35-12)</f>
        <v>13765509.457629157</v>
      </c>
      <c r="H35" s="9">
        <f>+SUM($F$14:F35)/(A35-12)</f>
        <v>2919.0095606818181</v>
      </c>
      <c r="I35" s="10">
        <f t="shared" si="4"/>
        <v>7.6713634917896147</v>
      </c>
      <c r="J35" s="10">
        <f>+AVERAGE($I$14:I35)</f>
        <v>8.0116028328638631</v>
      </c>
      <c r="K35" s="43">
        <f>+SUM($E$14:E35)/H35</f>
        <v>-3.2296645889703584</v>
      </c>
    </row>
    <row r="36" spans="1:11" x14ac:dyDescent="0.3">
      <c r="A36" s="123">
        <f t="shared" si="2"/>
        <v>35</v>
      </c>
      <c r="B36" s="22">
        <f>+data!B36</f>
        <v>20494.898438</v>
      </c>
      <c r="C36" s="22"/>
      <c r="D36" s="22">
        <v>20133.0707</v>
      </c>
      <c r="E36" s="23">
        <f t="shared" si="3"/>
        <v>-361.82773799999995</v>
      </c>
      <c r="F36" s="22">
        <f t="shared" si="1"/>
        <v>361.82773799999995</v>
      </c>
      <c r="G36" s="22">
        <f>+SUMSQ($E$14:E36)/(A36-12)</f>
        <v>13172701.19042729</v>
      </c>
      <c r="H36" s="22">
        <f>+SUM($F$14:F36)/(A36-12)</f>
        <v>2807.8277423043478</v>
      </c>
      <c r="I36" s="124">
        <f t="shared" si="4"/>
        <v>1.7654527008005461</v>
      </c>
      <c r="J36" s="124">
        <f>+AVERAGE($I$14:I36)</f>
        <v>7.7400310879915448</v>
      </c>
      <c r="K36" s="125">
        <f>+SUM($E$14:E36)/H36</f>
        <v>-3.4864138577696648</v>
      </c>
    </row>
    <row r="37" spans="1:11" x14ac:dyDescent="0.3">
      <c r="A37" s="8">
        <f t="shared" si="2"/>
        <v>36</v>
      </c>
      <c r="B37" s="9">
        <f>+data!B37</f>
        <v>17168.001952999999</v>
      </c>
      <c r="C37" s="9"/>
      <c r="D37" s="9">
        <v>19014.504400000002</v>
      </c>
      <c r="E37" s="11">
        <f t="shared" si="3"/>
        <v>1846.5024470000026</v>
      </c>
      <c r="F37" s="9">
        <f t="shared" si="1"/>
        <v>1846.5024470000026</v>
      </c>
      <c r="G37" s="9">
        <f>+SUMSQ($E$14:E37)/(A37-12)</f>
        <v>12765904.111108528</v>
      </c>
      <c r="H37" s="9">
        <f>+SUM($F$14:F37)/(A37-12)</f>
        <v>2767.7725216666663</v>
      </c>
      <c r="I37" s="10">
        <f t="shared" si="4"/>
        <v>10.755488332626488</v>
      </c>
      <c r="J37" s="10">
        <f>+AVERAGE($I$14:I37)</f>
        <v>7.8656751398513345</v>
      </c>
      <c r="K37" s="43">
        <f>+SUM($E$14:E37)/H37</f>
        <v>-2.8697253989706901</v>
      </c>
    </row>
    <row r="38" spans="1:11" x14ac:dyDescent="0.3">
      <c r="A38" s="123">
        <f t="shared" si="2"/>
        <v>37</v>
      </c>
      <c r="B38" s="22">
        <f>+data!B38</f>
        <v>16547.914063</v>
      </c>
      <c r="C38" s="22"/>
      <c r="D38" s="22">
        <v>18807.179199999999</v>
      </c>
      <c r="E38" s="23">
        <f t="shared" si="3"/>
        <v>2259.2651369999985</v>
      </c>
      <c r="F38" s="22">
        <f t="shared" si="1"/>
        <v>2259.2651369999985</v>
      </c>
      <c r="G38" s="22">
        <f>+SUMSQ($E$14:E38)/(A38-12)</f>
        <v>12459439.105034733</v>
      </c>
      <c r="H38" s="22">
        <f>+SUM($F$14:F38)/(A38-12)</f>
        <v>2747.4322262799997</v>
      </c>
      <c r="I38" s="124">
        <f t="shared" si="4"/>
        <v>13.652869651115484</v>
      </c>
      <c r="J38" s="124">
        <f>+AVERAGE($I$14:I38)</f>
        <v>8.0971629203019013</v>
      </c>
      <c r="K38" s="125">
        <f>+SUM($E$14:E38)/H38</f>
        <v>-2.0686522901769178</v>
      </c>
    </row>
    <row r="39" spans="1:11" x14ac:dyDescent="0.3">
      <c r="A39" s="8">
        <f t="shared" si="2"/>
        <v>38</v>
      </c>
      <c r="B39" s="9">
        <f>+data!B39</f>
        <v>23137.835938</v>
      </c>
      <c r="C39" s="9"/>
      <c r="D39" s="9">
        <v>23197.661800000002</v>
      </c>
      <c r="E39" s="11">
        <f t="shared" si="3"/>
        <v>59.825862000001507</v>
      </c>
      <c r="F39" s="9">
        <f t="shared" si="1"/>
        <v>59.825862000001507</v>
      </c>
      <c r="G39" s="9">
        <f>+SUMSQ($E$14:E39)/(A39-12)</f>
        <v>11980367.567678167</v>
      </c>
      <c r="H39" s="9">
        <f>+SUM($F$14:F39)/(A39-12)</f>
        <v>2644.0627507307686</v>
      </c>
      <c r="I39" s="10">
        <f t="shared" si="4"/>
        <v>0.25856291037895901</v>
      </c>
      <c r="J39" s="10">
        <f>+AVERAGE($I$14:I39)</f>
        <v>7.7956783045356337</v>
      </c>
      <c r="K39" s="43">
        <f>+SUM($E$14:E39)/H39</f>
        <v>-2.1268996371004114</v>
      </c>
    </row>
    <row r="40" spans="1:11" x14ac:dyDescent="0.3">
      <c r="A40" s="123">
        <f t="shared" si="2"/>
        <v>39</v>
      </c>
      <c r="B40" s="22">
        <f>+data!B40</f>
        <v>23150.929688</v>
      </c>
      <c r="C40" s="22"/>
      <c r="D40" s="22">
        <v>23158.320899999999</v>
      </c>
      <c r="E40" s="23">
        <f t="shared" si="3"/>
        <v>7.3912119999986317</v>
      </c>
      <c r="F40" s="22">
        <f t="shared" si="1"/>
        <v>7.3912119999986317</v>
      </c>
      <c r="G40" s="22">
        <f>+SUMSQ($E$14:E40)/(A40-12)</f>
        <v>11536652.273690637</v>
      </c>
      <c r="H40" s="22">
        <f>+SUM($F$14:F40)/(A40-12)</f>
        <v>2546.4082492962957</v>
      </c>
      <c r="I40" s="124">
        <f t="shared" si="4"/>
        <v>3.192619950735618E-2</v>
      </c>
      <c r="J40" s="124">
        <f>+AVERAGE($I$14:I40)</f>
        <v>7.5081319302753275</v>
      </c>
      <c r="K40" s="125">
        <f>+SUM($E$14:E40)/H40</f>
        <v>-2.2055634223428444</v>
      </c>
    </row>
    <row r="41" spans="1:11" x14ac:dyDescent="0.3">
      <c r="A41" s="8">
        <f t="shared" si="2"/>
        <v>40</v>
      </c>
      <c r="B41" s="9">
        <f>+data!B41</f>
        <v>28473.332031000002</v>
      </c>
      <c r="C41" s="9"/>
      <c r="D41" s="9">
        <v>26649.2179</v>
      </c>
      <c r="E41" s="11">
        <f t="shared" si="3"/>
        <v>-1824.1141310000021</v>
      </c>
      <c r="F41" s="9">
        <f t="shared" si="1"/>
        <v>1824.1141310000021</v>
      </c>
      <c r="G41" s="9">
        <f>+SUMSQ($E$14:E41)/(A41-12)</f>
        <v>11243464.419734325</v>
      </c>
      <c r="H41" s="9">
        <f>+SUM($F$14:F41)/(A41-12)</f>
        <v>2520.6120307857136</v>
      </c>
      <c r="I41" s="10">
        <f t="shared" si="4"/>
        <v>6.4063950401520255</v>
      </c>
      <c r="J41" s="10">
        <f>+AVERAGE($I$14:I41)</f>
        <v>7.4687841841994951</v>
      </c>
      <c r="K41" s="43">
        <f>+SUM($E$14:E41)/H41</f>
        <v>-2.9518144534447495</v>
      </c>
    </row>
    <row r="42" spans="1:11" x14ac:dyDescent="0.3">
      <c r="A42" s="123">
        <f t="shared" si="2"/>
        <v>41</v>
      </c>
      <c r="B42" s="22">
        <f>+data!B42</f>
        <v>29227.103515999999</v>
      </c>
      <c r="C42" s="22"/>
      <c r="D42" s="22">
        <v>28644.4954</v>
      </c>
      <c r="E42" s="23">
        <f t="shared" si="3"/>
        <v>-582.60811599999943</v>
      </c>
      <c r="F42" s="22">
        <f t="shared" si="1"/>
        <v>582.60811599999943</v>
      </c>
      <c r="G42" s="22">
        <f>+SUMSQ($E$14:E42)/(A42-12)</f>
        <v>10867463.309289316</v>
      </c>
      <c r="H42" s="22">
        <f>+SUM($F$14:F42)/(A42-12)</f>
        <v>2453.7843095862063</v>
      </c>
      <c r="I42" s="124">
        <f t="shared" si="4"/>
        <v>1.9933830106738362</v>
      </c>
      <c r="J42" s="124">
        <f>+AVERAGE($I$14:I42)</f>
        <v>7.2799772471813693</v>
      </c>
      <c r="K42" s="125">
        <f>+SUM($E$14:E42)/H42</f>
        <v>-3.2696382924353062</v>
      </c>
    </row>
    <row r="43" spans="1:11" x14ac:dyDescent="0.3">
      <c r="A43" s="8">
        <f t="shared" si="2"/>
        <v>42</v>
      </c>
      <c r="B43" s="9">
        <f>+data!B43</f>
        <v>27218.412109000001</v>
      </c>
      <c r="C43" s="9"/>
      <c r="D43" s="9">
        <v>27124.383399999999</v>
      </c>
      <c r="E43" s="11">
        <f t="shared" si="3"/>
        <v>-94.028709000001982</v>
      </c>
      <c r="F43" s="9">
        <f t="shared" si="1"/>
        <v>94.028709000001982</v>
      </c>
      <c r="G43" s="9">
        <f>+SUMSQ($E$14:E43)/(A43-12)</f>
        <v>10505509.245583545</v>
      </c>
      <c r="H43" s="9">
        <f>+SUM($F$14:F43)/(A43-12)</f>
        <v>2375.1257895666663</v>
      </c>
      <c r="I43" s="10">
        <f t="shared" si="4"/>
        <v>0.34545993580907897</v>
      </c>
      <c r="J43" s="10">
        <f>+AVERAGE($I$14:I43)</f>
        <v>7.0488266701356261</v>
      </c>
      <c r="K43" s="43">
        <f>+SUM($E$14:E43)/H43</f>
        <v>-3.4175098787003253</v>
      </c>
    </row>
    <row r="44" spans="1:11" x14ac:dyDescent="0.3">
      <c r="A44" s="123">
        <f t="shared" si="2"/>
        <v>43</v>
      </c>
      <c r="B44" s="22">
        <f>+data!B44</f>
        <v>30471.847656000002</v>
      </c>
      <c r="C44" s="22"/>
      <c r="D44" s="22">
        <v>30266.625700000001</v>
      </c>
      <c r="E44" s="23">
        <f t="shared" si="3"/>
        <v>-205.22195600000123</v>
      </c>
      <c r="F44" s="22">
        <f t="shared" si="1"/>
        <v>205.22195600000123</v>
      </c>
      <c r="G44" s="22">
        <f>+SUMSQ($E$14:E44)/(A44-12)</f>
        <v>10167980.432862286</v>
      </c>
      <c r="H44" s="22">
        <f>+SUM($F$14:F44)/(A44-12)</f>
        <v>2305.1288917096776</v>
      </c>
      <c r="I44" s="124">
        <f t="shared" si="4"/>
        <v>0.67348051328155145</v>
      </c>
      <c r="J44" s="124">
        <f>+AVERAGE($I$14:I44)</f>
        <v>6.8431703424951724</v>
      </c>
      <c r="K44" s="125">
        <f>+SUM($E$14:E44)/H44</f>
        <v>-3.6103134340689822</v>
      </c>
    </row>
    <row r="45" spans="1:11" x14ac:dyDescent="0.3">
      <c r="A45" s="8">
        <f t="shared" si="2"/>
        <v>44</v>
      </c>
      <c r="B45" s="9">
        <f>+data!B45</f>
        <v>29230.873047000001</v>
      </c>
      <c r="C45" s="9"/>
      <c r="D45" s="9">
        <v>29339.1083</v>
      </c>
      <c r="E45" s="11">
        <f t="shared" si="3"/>
        <v>108.23525299999892</v>
      </c>
      <c r="F45" s="9">
        <f t="shared" si="1"/>
        <v>108.23525299999892</v>
      </c>
      <c r="G45" s="9">
        <f>+SUMSQ($E$14:E45)/(A45-12)</f>
        <v>9850597.1340225879</v>
      </c>
      <c r="H45" s="9">
        <f>+SUM($F$14:F45)/(A45-12)</f>
        <v>2236.4759654999998</v>
      </c>
      <c r="I45" s="10">
        <f t="shared" si="4"/>
        <v>0.37027718202589655</v>
      </c>
      <c r="J45" s="10">
        <f>+AVERAGE($I$14:I45)</f>
        <v>6.6408924312305073</v>
      </c>
      <c r="K45" s="43">
        <f>+SUM($E$14:E45)/H45</f>
        <v>-3.6727434940994876</v>
      </c>
    </row>
    <row r="46" spans="1:11" x14ac:dyDescent="0.3">
      <c r="A46" s="123">
        <f t="shared" si="2"/>
        <v>45</v>
      </c>
      <c r="B46" s="22">
        <f>+data!B46</f>
        <v>25934.021484000001</v>
      </c>
      <c r="C46" s="22"/>
      <c r="D46" s="22">
        <v>27749.089400000001</v>
      </c>
      <c r="E46" s="23">
        <f t="shared" si="3"/>
        <v>1815.067916</v>
      </c>
      <c r="F46" s="22">
        <f t="shared" si="1"/>
        <v>1815.067916</v>
      </c>
      <c r="G46" s="22">
        <f>+SUMSQ($E$14:E46)/(A46-12)</f>
        <v>9651926.6614671331</v>
      </c>
      <c r="H46" s="22">
        <f>+SUM($F$14:F46)/(A46-12)</f>
        <v>2223.7060246060605</v>
      </c>
      <c r="I46" s="124">
        <f t="shared" si="4"/>
        <v>6.9987908243224304</v>
      </c>
      <c r="J46" s="124">
        <f>+AVERAGE($I$14:I46)</f>
        <v>6.6517378370817779</v>
      </c>
      <c r="K46" s="125">
        <f>+SUM($E$14:E46)/H46</f>
        <v>-2.8775991813637303</v>
      </c>
    </row>
    <row r="47" spans="1:11" x14ac:dyDescent="0.3">
      <c r="A47" s="8">
        <f t="shared" si="2"/>
        <v>46</v>
      </c>
      <c r="B47" s="9">
        <f>+data!B47</f>
        <v>26967.396484000001</v>
      </c>
      <c r="C47" s="9"/>
      <c r="D47" s="9">
        <v>28877.090199999999</v>
      </c>
      <c r="E47" s="11">
        <f t="shared" si="3"/>
        <v>1909.6937159999979</v>
      </c>
      <c r="F47" s="9">
        <f t="shared" si="1"/>
        <v>1909.6937159999979</v>
      </c>
      <c r="G47" s="9">
        <f>+SUMSQ($E$14:E47)/(A47-12)</f>
        <v>9475309.1152160373</v>
      </c>
      <c r="H47" s="9">
        <f>+SUM($F$14:F47)/(A47-12)</f>
        <v>2214.4703684705878</v>
      </c>
      <c r="I47" s="10">
        <f t="shared" si="4"/>
        <v>7.0814908555708618</v>
      </c>
      <c r="J47" s="10">
        <f>+AVERAGE($I$14:I47)</f>
        <v>6.6643776317432213</v>
      </c>
      <c r="K47" s="43">
        <f>+SUM($E$14:E47)/H47</f>
        <v>-2.0272300699604604</v>
      </c>
    </row>
    <row r="48" spans="1:11" x14ac:dyDescent="0.3">
      <c r="A48" s="123">
        <f t="shared" si="2"/>
        <v>47</v>
      </c>
      <c r="B48" s="22">
        <f>+data!B48</f>
        <v>34657.273437999997</v>
      </c>
      <c r="C48" s="22"/>
      <c r="D48" s="22">
        <v>32850.315999999999</v>
      </c>
      <c r="E48" s="23">
        <f t="shared" si="3"/>
        <v>-1806.9574379999976</v>
      </c>
      <c r="F48" s="22">
        <f t="shared" si="1"/>
        <v>1806.9574379999976</v>
      </c>
      <c r="G48" s="22">
        <f>+SUMSQ($E$14:E48)/(A48-12)</f>
        <v>9297874.4314311072</v>
      </c>
      <c r="H48" s="22">
        <f>+SUM($F$14:F48)/(A48-12)</f>
        <v>2202.8271418857139</v>
      </c>
      <c r="I48" s="124">
        <f t="shared" si="4"/>
        <v>5.2137899458032892</v>
      </c>
      <c r="J48" s="124">
        <f>+AVERAGE($I$14:I48)</f>
        <v>6.6229322692877943</v>
      </c>
      <c r="K48" s="125">
        <f>+SUM($E$14:E48)/H48</f>
        <v>-2.8582353278115957</v>
      </c>
    </row>
    <row r="49" spans="1:11" x14ac:dyDescent="0.3">
      <c r="A49" s="8">
        <f t="shared" si="2"/>
        <v>48</v>
      </c>
      <c r="B49" s="9">
        <f>+data!B49</f>
        <v>37718.007812999997</v>
      </c>
      <c r="C49" s="9"/>
      <c r="D49" s="9">
        <v>38084.326200000003</v>
      </c>
      <c r="E49" s="11">
        <f t="shared" si="3"/>
        <v>366.31838700000662</v>
      </c>
      <c r="F49" s="9">
        <f t="shared" si="1"/>
        <v>366.31838700000662</v>
      </c>
      <c r="G49" s="9">
        <f>+SUMSQ($E$14:E49)/(A49-12)</f>
        <v>9043327.6183539741</v>
      </c>
      <c r="H49" s="9">
        <f>+SUM($F$14:F49)/(A49-12)</f>
        <v>2151.8130098055553</v>
      </c>
      <c r="I49" s="10">
        <f t="shared" si="4"/>
        <v>0.9712029034411257</v>
      </c>
      <c r="J49" s="10">
        <f>+AVERAGE($I$14:I49)</f>
        <v>6.4659397869031654</v>
      </c>
      <c r="K49" s="43">
        <f>+SUM($E$14:E49)/H49</f>
        <v>-2.7557598843292754</v>
      </c>
    </row>
    <row r="50" spans="1:11" x14ac:dyDescent="0.3">
      <c r="A50" s="123">
        <f t="shared" si="2"/>
        <v>49</v>
      </c>
      <c r="B50" s="22">
        <f>+data!B50</f>
        <v>42280.234375</v>
      </c>
      <c r="C50" s="22"/>
      <c r="D50" s="22">
        <v>40819.020600000003</v>
      </c>
      <c r="E50" s="23">
        <f t="shared" si="3"/>
        <v>-1461.2137749999965</v>
      </c>
      <c r="F50" s="22">
        <f t="shared" si="1"/>
        <v>1461.2137749999965</v>
      </c>
      <c r="G50" s="22">
        <f>+SUMSQ($E$14:E50)/(A50-12)</f>
        <v>8856619.9988376442</v>
      </c>
      <c r="H50" s="22">
        <f>+SUM($F$14:F50)/(A50-12)</f>
        <v>2133.1481656216215</v>
      </c>
      <c r="I50" s="124">
        <f t="shared" si="4"/>
        <v>3.4560209908959298</v>
      </c>
      <c r="J50" s="124">
        <f>+AVERAGE($I$14:I50)</f>
        <v>6.3845906302543209</v>
      </c>
      <c r="K50" s="125">
        <f>+SUM($E$14:E50)/H50</f>
        <v>-3.4648759355382812</v>
      </c>
    </row>
    <row r="51" spans="1:11" x14ac:dyDescent="0.3">
      <c r="A51" s="8">
        <f t="shared" si="2"/>
        <v>50</v>
      </c>
      <c r="B51" s="9">
        <f>+data!B51</f>
        <v>42569.761719000002</v>
      </c>
      <c r="C51" s="9"/>
      <c r="D51" s="9">
        <v>45745.782800000001</v>
      </c>
      <c r="E51" s="11">
        <f t="shared" si="3"/>
        <v>3176.021080999999</v>
      </c>
      <c r="F51" s="9">
        <f t="shared" si="1"/>
        <v>3176.021080999999</v>
      </c>
      <c r="G51" s="9">
        <f>+SUMSQ($E$14:E51)/(A51-12)</f>
        <v>8889001.3122091889</v>
      </c>
      <c r="H51" s="9">
        <f>+SUM($F$14:F51)/(A51-12)</f>
        <v>2160.5921897105259</v>
      </c>
      <c r="I51" s="10">
        <f t="shared" si="4"/>
        <v>7.4607443235522206</v>
      </c>
      <c r="J51" s="10">
        <f>+AVERAGE($I$14:I51)</f>
        <v>6.4129104642884762</v>
      </c>
      <c r="K51" s="43">
        <f>+SUM($E$14:E51)/H51</f>
        <v>-1.9508876710161194</v>
      </c>
    </row>
    <row r="52" spans="1:11" x14ac:dyDescent="0.3">
      <c r="A52" s="123">
        <f t="shared" si="2"/>
        <v>51</v>
      </c>
      <c r="B52" s="22">
        <f>+data!B52</f>
        <v>61168.0625</v>
      </c>
      <c r="C52" s="22"/>
      <c r="D52" s="22">
        <v>57285.6446</v>
      </c>
      <c r="E52" s="23">
        <f t="shared" si="3"/>
        <v>-3882.4179000000004</v>
      </c>
      <c r="F52" s="22">
        <f t="shared" si="1"/>
        <v>3882.4179000000004</v>
      </c>
      <c r="G52" s="22">
        <f>+SUMSQ($E$14:E52)/(A52-12)</f>
        <v>9047569.7080561426</v>
      </c>
      <c r="H52" s="22">
        <f>+SUM($F$14:F52)/(A52-12)</f>
        <v>2204.7415668974354</v>
      </c>
      <c r="I52" s="124">
        <f t="shared" si="4"/>
        <v>6.3471323781099001</v>
      </c>
      <c r="J52" s="124">
        <f>+AVERAGE($I$14:I52)</f>
        <v>6.4112238466941545</v>
      </c>
      <c r="K52" s="125">
        <f>+SUM($E$14:E52)/H52</f>
        <v>-3.6727617815066491</v>
      </c>
    </row>
    <row r="53" spans="1:11" x14ac:dyDescent="0.3">
      <c r="A53" s="8">
        <f t="shared" si="2"/>
        <v>52</v>
      </c>
      <c r="B53" s="9">
        <f>+data!B53</f>
        <v>71333.484375</v>
      </c>
      <c r="C53" s="9"/>
      <c r="D53" s="9">
        <v>67354.626999999993</v>
      </c>
      <c r="E53" s="11">
        <f t="shared" si="3"/>
        <v>-3978.8573750000069</v>
      </c>
      <c r="F53" s="9">
        <f t="shared" si="1"/>
        <v>3978.8573750000069</v>
      </c>
      <c r="G53" s="9">
        <f>+SUMSQ($E$14:E53)/(A53-12)</f>
        <v>9217163.1156195365</v>
      </c>
      <c r="H53" s="9">
        <f>+SUM($F$14:F53)/(A53-12)</f>
        <v>2249.0944620999999</v>
      </c>
      <c r="I53" s="10">
        <f t="shared" si="4"/>
        <v>5.5778256310643126</v>
      </c>
      <c r="J53" s="10">
        <f>+AVERAGE($I$14:I53)</f>
        <v>6.3903888913034077</v>
      </c>
      <c r="K53" s="43">
        <f>+SUM($E$14:E53)/H53</f>
        <v>-5.3694267375164833</v>
      </c>
    </row>
    <row r="54" spans="1:11" x14ac:dyDescent="0.3">
      <c r="A54" s="123">
        <f t="shared" si="2"/>
        <v>53</v>
      </c>
      <c r="B54" s="22">
        <f>+data!B54</f>
        <v>60609.496094000002</v>
      </c>
      <c r="C54" s="22"/>
      <c r="D54" s="22">
        <v>62528.359799999998</v>
      </c>
      <c r="E54" s="23">
        <f t="shared" si="3"/>
        <v>1918.8637059999965</v>
      </c>
      <c r="F54" s="22">
        <f t="shared" si="1"/>
        <v>1918.8637059999965</v>
      </c>
      <c r="G54" s="22">
        <f>+SUMSQ($E$14:E54)/(A54-12)</f>
        <v>9082160.062121598</v>
      </c>
      <c r="H54" s="22">
        <f>+SUM($F$14:F54)/(A54-12)</f>
        <v>2241.0400534146338</v>
      </c>
      <c r="I54" s="124">
        <f t="shared" si="4"/>
        <v>3.1659456515263016</v>
      </c>
      <c r="J54" s="124">
        <f>+AVERAGE($I$14:I54)</f>
        <v>6.3117439342356745</v>
      </c>
      <c r="K54" s="125">
        <f>+SUM($E$14:E54)/H54</f>
        <v>-4.5324866989874693</v>
      </c>
    </row>
    <row r="55" spans="1:11" x14ac:dyDescent="0.3">
      <c r="A55" s="8">
        <f t="shared" si="2"/>
        <v>54</v>
      </c>
      <c r="B55" s="9">
        <f>+data!B55</f>
        <v>67489.609375</v>
      </c>
      <c r="C55" s="9"/>
      <c r="D55" s="9">
        <v>65305.807099999998</v>
      </c>
      <c r="E55" s="11">
        <f t="shared" si="3"/>
        <v>-2183.8022750000018</v>
      </c>
      <c r="F55" s="9">
        <f t="shared" si="1"/>
        <v>2183.8022750000018</v>
      </c>
      <c r="G55" s="9">
        <f>+SUMSQ($E$14:E55)/(A55-12)</f>
        <v>8979465.5934114456</v>
      </c>
      <c r="H55" s="9">
        <f>+SUM($F$14:F55)/(A55-12)</f>
        <v>2239.6772491666661</v>
      </c>
      <c r="I55" s="10">
        <f t="shared" si="4"/>
        <v>3.2357607270563666</v>
      </c>
      <c r="J55" s="10">
        <f>+AVERAGE($I$14:I55)</f>
        <v>6.238506238826643</v>
      </c>
      <c r="K55" s="43">
        <f>+SUM($E$14:E55)/H55</f>
        <v>-5.5102968579923353</v>
      </c>
    </row>
    <row r="56" spans="1:11" x14ac:dyDescent="0.3">
      <c r="A56" s="123">
        <f t="shared" si="2"/>
        <v>55</v>
      </c>
      <c r="B56" s="22">
        <f>+data!B56</f>
        <v>62673.605469000002</v>
      </c>
      <c r="C56" s="22"/>
      <c r="D56" s="22">
        <v>62587.965799999998</v>
      </c>
      <c r="E56" s="23">
        <f t="shared" si="3"/>
        <v>-85.639669000003778</v>
      </c>
      <c r="F56" s="22">
        <f t="shared" si="1"/>
        <v>85.639669000003778</v>
      </c>
      <c r="G56" s="22">
        <f>+SUMSQ($E$14:E56)/(A56-12)</f>
        <v>8770811.3738648165</v>
      </c>
      <c r="H56" s="22">
        <f>+SUM($F$14:F56)/(A56-12)</f>
        <v>2189.5833519534876</v>
      </c>
      <c r="I56" s="124">
        <f t="shared" si="4"/>
        <v>0.13664391630119857</v>
      </c>
      <c r="J56" s="124">
        <f>+AVERAGE($I$14:I56)</f>
        <v>6.0966024638841905</v>
      </c>
      <c r="K56" s="125">
        <f>+SUM($E$14:E56)/H56</f>
        <v>-5.6754752756559963</v>
      </c>
    </row>
    <row r="57" spans="1:11" x14ac:dyDescent="0.3">
      <c r="A57" s="8">
        <f t="shared" si="2"/>
        <v>56</v>
      </c>
      <c r="B57" s="9">
        <f>+data!B57</f>
        <v>64625.839844000002</v>
      </c>
      <c r="C57" s="9"/>
      <c r="D57" s="9">
        <v>63326.4761</v>
      </c>
      <c r="E57" s="11">
        <f t="shared" si="3"/>
        <v>-1299.363744000002</v>
      </c>
      <c r="F57" s="9">
        <f t="shared" si="1"/>
        <v>1299.363744000002</v>
      </c>
      <c r="G57" s="9">
        <f>+SUMSQ($E$14:E57)/(A57-12)</f>
        <v>8609846.2548956554</v>
      </c>
      <c r="H57" s="9">
        <f>+SUM($F$14:F57)/(A57-12)</f>
        <v>2169.3510881363632</v>
      </c>
      <c r="I57" s="10">
        <f t="shared" si="4"/>
        <v>2.0105947514748435</v>
      </c>
      <c r="J57" s="10">
        <f>+AVERAGE($I$14:I57)</f>
        <v>6.0037386522385239</v>
      </c>
      <c r="K57" s="43">
        <f>+SUM($E$14:E57)/H57</f>
        <v>-6.3273713494628137</v>
      </c>
    </row>
    <row r="58" spans="1:11" x14ac:dyDescent="0.3">
      <c r="A58" s="123">
        <f t="shared" si="2"/>
        <v>57</v>
      </c>
      <c r="B58" s="22">
        <f>+data!B58</f>
        <v>58969.800780999998</v>
      </c>
      <c r="C58" s="22"/>
      <c r="D58" s="22">
        <v>60615.266600000003</v>
      </c>
      <c r="E58" s="23">
        <f t="shared" si="3"/>
        <v>1645.4658190000046</v>
      </c>
      <c r="F58" s="22">
        <f t="shared" si="1"/>
        <v>1645.4658190000046</v>
      </c>
      <c r="G58" s="22">
        <f>+SUMSQ($E$14:E58)/(A58-12)</f>
        <v>8478684.2883756943</v>
      </c>
      <c r="H58" s="22">
        <f>+SUM($F$14:F58)/(A58-12)</f>
        <v>2157.7091932666663</v>
      </c>
      <c r="I58" s="124">
        <f t="shared" si="4"/>
        <v>2.7903533625810923</v>
      </c>
      <c r="J58" s="124">
        <f>+AVERAGE($I$14:I58)</f>
        <v>5.9323300902461353</v>
      </c>
      <c r="K58" s="125">
        <f>+SUM($E$14:E58)/H58</f>
        <v>-5.5989120965417136</v>
      </c>
    </row>
    <row r="59" spans="1:11" x14ac:dyDescent="0.3">
      <c r="A59" s="8">
        <v>58</v>
      </c>
      <c r="B59" s="9"/>
      <c r="C59" s="9"/>
      <c r="D59" s="9"/>
      <c r="E59" s="11"/>
      <c r="F59" s="9"/>
      <c r="G59" s="9"/>
      <c r="H59" s="9"/>
      <c r="I59" s="10"/>
      <c r="J59" s="10"/>
      <c r="K59" s="43"/>
    </row>
    <row r="61" spans="1:11" x14ac:dyDescent="0.3">
      <c r="H61" s="4">
        <f>+H58*1.25</f>
        <v>2697.1364915833328</v>
      </c>
    </row>
  </sheetData>
  <conditionalFormatting sqref="K2:K59">
    <cfRule type="dataBar" priority="1">
      <dataBar>
        <cfvo type="min"/>
        <cfvo type="max"/>
        <color rgb="FF008AEF"/>
      </dataBar>
      <extLst>
        <ext xmlns:x14="http://schemas.microsoft.com/office/spreadsheetml/2009/9/main" uri="{B025F937-C7B1-47D3-B67F-A62EFF666E3E}">
          <x14:id>{CEF1CA42-6873-410C-9864-BA5266CCA1E7}</x14:id>
        </ext>
      </extLst>
    </cfRule>
  </conditionalFormatting>
  <conditionalFormatting sqref="K5:K58">
    <cfRule type="dataBar" priority="2">
      <dataBar>
        <cfvo type="min"/>
        <cfvo type="max"/>
        <color rgb="FF008AEF"/>
      </dataBar>
      <extLst>
        <ext xmlns:x14="http://schemas.microsoft.com/office/spreadsheetml/2009/9/main" uri="{B025F937-C7B1-47D3-B67F-A62EFF666E3E}">
          <x14:id>{6A727D22-2987-4131-94AF-3B333E1DF1DE}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EF1CA42-6873-410C-9864-BA5266CCA1E7}">
            <x14:dataBar minLength="0" maxLength="100" border="1" negativeBarBorderColorSameAsPositive="0">
              <x14:cfvo type="autoMin"/>
              <x14:cfvo type="autoMax"/>
              <x14:borderColor rgb="FF008AEF"/>
              <x14:negativeFillColor rgb="FFFF0000"/>
              <x14:negativeBorderColor rgb="FFFF0000"/>
              <x14:axisColor rgb="FF000000"/>
            </x14:dataBar>
          </x14:cfRule>
          <xm:sqref>K2:K59</xm:sqref>
        </x14:conditionalFormatting>
        <x14:conditionalFormatting xmlns:xm="http://schemas.microsoft.com/office/excel/2006/main">
          <x14:cfRule type="dataBar" id="{6A727D22-2987-4131-94AF-3B333E1DF1DE}">
            <x14:dataBar minLength="0" maxLength="100" border="1" negativeBarBorderColorSameAsPositive="0">
              <x14:cfvo type="autoMin"/>
              <x14:cfvo type="autoMax"/>
              <x14:borderColor rgb="FF008AEF"/>
              <x14:negativeFillColor rgb="FFFF0000"/>
              <x14:negativeBorderColor rgb="FFFF0000"/>
              <x14:axisColor rgb="FF000000"/>
            </x14:dataBar>
          </x14:cfRule>
          <xm:sqref>K5:K58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214C9-20E0-42F6-827E-4402070C1C8D}">
  <sheetPr>
    <tabColor theme="4" tint="-0.499984740745262"/>
  </sheetPr>
  <dimension ref="A1:O61"/>
  <sheetViews>
    <sheetView zoomScale="70" zoomScaleNormal="70" workbookViewId="0">
      <pane ySplit="1" topLeftCell="A7" activePane="bottomLeft" state="frozen"/>
      <selection activeCell="N50" sqref="N50"/>
      <selection pane="bottomLeft" activeCell="N50" sqref="N50"/>
    </sheetView>
  </sheetViews>
  <sheetFormatPr baseColWidth="10" defaultColWidth="9.109375" defaultRowHeight="14.4" x14ac:dyDescent="0.3"/>
  <cols>
    <col min="1" max="1" width="9.109375" style="4"/>
    <col min="2" max="2" width="16" style="4" bestFit="1" customWidth="1"/>
    <col min="3" max="3" width="15.88671875" style="4" customWidth="1"/>
    <col min="4" max="5" width="16.5546875" style="4" bestFit="1" customWidth="1"/>
    <col min="6" max="6" width="14.88671875" style="4" bestFit="1" customWidth="1"/>
    <col min="7" max="7" width="25.44140625" style="4" customWidth="1"/>
    <col min="8" max="8" width="16.109375" style="4" bestFit="1" customWidth="1"/>
    <col min="9" max="9" width="9.44140625" style="4" bestFit="1" customWidth="1"/>
    <col min="10" max="10" width="9.21875" style="4" bestFit="1" customWidth="1"/>
    <col min="11" max="11" width="11.44140625" style="4" customWidth="1"/>
    <col min="12" max="13" width="9.109375" style="4"/>
    <col min="14" max="14" width="14.88671875" style="4" bestFit="1" customWidth="1"/>
    <col min="15" max="15" width="16.21875" style="4" customWidth="1"/>
    <col min="16" max="16" width="14.88671875" style="4" bestFit="1" customWidth="1"/>
    <col min="17" max="17" width="17.5546875" style="4" bestFit="1" customWidth="1"/>
    <col min="18" max="18" width="29.44140625" style="4" bestFit="1" customWidth="1"/>
    <col min="19" max="21" width="9.109375" style="4"/>
    <col min="22" max="22" width="14.88671875" style="4" bestFit="1" customWidth="1"/>
    <col min="23" max="16384" width="9.109375" style="4"/>
  </cols>
  <sheetData>
    <row r="1" spans="1:15" x14ac:dyDescent="0.3">
      <c r="A1" s="3" t="s">
        <v>7</v>
      </c>
      <c r="B1" s="3" t="s">
        <v>8</v>
      </c>
      <c r="C1" s="3" t="s">
        <v>9</v>
      </c>
      <c r="D1" s="3" t="s">
        <v>10</v>
      </c>
      <c r="E1" s="3" t="s">
        <v>11</v>
      </c>
      <c r="F1" s="3" t="s">
        <v>12</v>
      </c>
      <c r="G1" s="3" t="s">
        <v>13</v>
      </c>
      <c r="H1" s="3" t="s">
        <v>14</v>
      </c>
      <c r="I1" s="3" t="s">
        <v>15</v>
      </c>
      <c r="J1" s="3" t="s">
        <v>16</v>
      </c>
      <c r="K1" s="3" t="s">
        <v>17</v>
      </c>
    </row>
    <row r="2" spans="1:15" x14ac:dyDescent="0.3">
      <c r="A2" s="123"/>
      <c r="B2" s="22"/>
      <c r="C2" s="22"/>
      <c r="D2" s="22"/>
      <c r="E2" s="23">
        <f>+D2-B2</f>
        <v>0</v>
      </c>
      <c r="F2" s="22">
        <f>+ABS(E2)</f>
        <v>0</v>
      </c>
      <c r="G2" s="22"/>
      <c r="H2" s="22"/>
      <c r="I2" s="124"/>
      <c r="J2" s="124"/>
      <c r="K2" s="125"/>
    </row>
    <row r="3" spans="1:15" x14ac:dyDescent="0.3">
      <c r="A3" s="8"/>
      <c r="B3" s="9"/>
      <c r="C3" s="9"/>
      <c r="D3" s="9"/>
      <c r="E3" s="11">
        <f t="shared" ref="E3:E58" si="0">+D3-B3</f>
        <v>0</v>
      </c>
      <c r="F3" s="9">
        <f t="shared" ref="F3:F58" si="1">+ABS(E3)</f>
        <v>0</v>
      </c>
      <c r="G3" s="9"/>
      <c r="H3" s="9"/>
      <c r="I3" s="10"/>
      <c r="J3" s="10"/>
      <c r="K3" s="43"/>
    </row>
    <row r="4" spans="1:15" x14ac:dyDescent="0.3">
      <c r="A4" s="123"/>
      <c r="B4" s="22"/>
      <c r="C4" s="22"/>
      <c r="D4" s="22"/>
      <c r="E4" s="23">
        <f t="shared" si="0"/>
        <v>0</v>
      </c>
      <c r="F4" s="22">
        <f t="shared" si="1"/>
        <v>0</v>
      </c>
      <c r="G4" s="22"/>
      <c r="H4" s="22"/>
      <c r="I4" s="124"/>
      <c r="J4" s="124"/>
      <c r="K4" s="125"/>
      <c r="N4" s="4" t="s">
        <v>28</v>
      </c>
      <c r="O4" s="4">
        <f>+SLOPE(B2:B58,A2:A58)</f>
        <v>200.58341927812918</v>
      </c>
    </row>
    <row r="5" spans="1:15" x14ac:dyDescent="0.3">
      <c r="A5" s="8"/>
      <c r="B5" s="9"/>
      <c r="C5" s="9"/>
      <c r="D5" s="9"/>
      <c r="E5" s="11">
        <f t="shared" si="0"/>
        <v>0</v>
      </c>
      <c r="F5" s="9">
        <f t="shared" si="1"/>
        <v>0</v>
      </c>
      <c r="G5" s="9"/>
      <c r="H5" s="9"/>
      <c r="I5" s="10"/>
      <c r="J5" s="10"/>
      <c r="K5" s="43"/>
      <c r="N5" s="4" t="s">
        <v>29</v>
      </c>
      <c r="O5" s="4">
        <f>+INTERCEPT(B2:B58,A2:A58)</f>
        <v>32416.23375422103</v>
      </c>
    </row>
    <row r="6" spans="1:15" x14ac:dyDescent="0.3">
      <c r="A6" s="123"/>
      <c r="B6" s="22"/>
      <c r="C6" s="22"/>
      <c r="D6" s="22"/>
      <c r="E6" s="23">
        <f t="shared" si="0"/>
        <v>0</v>
      </c>
      <c r="F6" s="22">
        <f t="shared" si="1"/>
        <v>0</v>
      </c>
      <c r="G6" s="22"/>
      <c r="H6" s="22"/>
      <c r="I6" s="124"/>
      <c r="J6" s="124"/>
      <c r="K6" s="125"/>
      <c r="N6" s="4" t="s">
        <v>30</v>
      </c>
    </row>
    <row r="7" spans="1:15" x14ac:dyDescent="0.3">
      <c r="A7" s="8"/>
      <c r="B7" s="9"/>
      <c r="C7" s="9"/>
      <c r="D7" s="9"/>
      <c r="E7" s="11">
        <f t="shared" si="0"/>
        <v>0</v>
      </c>
      <c r="F7" s="9">
        <f t="shared" si="1"/>
        <v>0</v>
      </c>
      <c r="G7" s="9"/>
      <c r="H7" s="9"/>
      <c r="I7" s="10"/>
      <c r="J7" s="10"/>
      <c r="K7" s="43"/>
      <c r="N7" s="4" t="s">
        <v>31</v>
      </c>
    </row>
    <row r="8" spans="1:15" x14ac:dyDescent="0.3">
      <c r="A8" s="123"/>
      <c r="B8" s="22"/>
      <c r="C8" s="22"/>
      <c r="D8" s="22"/>
      <c r="E8" s="23">
        <f t="shared" si="0"/>
        <v>0</v>
      </c>
      <c r="F8" s="22">
        <f t="shared" si="1"/>
        <v>0</v>
      </c>
      <c r="G8" s="22"/>
      <c r="H8" s="22"/>
      <c r="I8" s="124"/>
      <c r="J8" s="124"/>
      <c r="K8" s="125"/>
    </row>
    <row r="9" spans="1:15" x14ac:dyDescent="0.3">
      <c r="A9" s="8"/>
      <c r="B9" s="9"/>
      <c r="C9" s="9"/>
      <c r="D9" s="9"/>
      <c r="E9" s="11">
        <f t="shared" si="0"/>
        <v>0</v>
      </c>
      <c r="F9" s="9">
        <f t="shared" si="1"/>
        <v>0</v>
      </c>
      <c r="G9" s="9"/>
      <c r="H9" s="9"/>
      <c r="I9" s="10"/>
      <c r="J9" s="10"/>
      <c r="K9" s="43"/>
    </row>
    <row r="10" spans="1:15" x14ac:dyDescent="0.3">
      <c r="A10" s="123"/>
      <c r="B10" s="22"/>
      <c r="C10" s="22"/>
      <c r="D10" s="22"/>
      <c r="E10" s="23">
        <f t="shared" si="0"/>
        <v>0</v>
      </c>
      <c r="F10" s="22">
        <f t="shared" si="1"/>
        <v>0</v>
      </c>
      <c r="G10" s="22"/>
      <c r="H10" s="22"/>
      <c r="I10" s="124"/>
      <c r="J10" s="124"/>
      <c r="K10" s="125"/>
    </row>
    <row r="11" spans="1:15" x14ac:dyDescent="0.3">
      <c r="A11" s="8"/>
      <c r="B11" s="9"/>
      <c r="C11" s="9"/>
      <c r="D11" s="9"/>
      <c r="E11" s="11">
        <f t="shared" si="0"/>
        <v>0</v>
      </c>
      <c r="F11" s="9">
        <f t="shared" si="1"/>
        <v>0</v>
      </c>
      <c r="G11" s="9"/>
      <c r="H11" s="9"/>
      <c r="I11" s="10"/>
      <c r="J11" s="10"/>
      <c r="K11" s="43"/>
    </row>
    <row r="12" spans="1:15" x14ac:dyDescent="0.3">
      <c r="A12" s="123"/>
      <c r="B12" s="22"/>
      <c r="C12" s="22"/>
      <c r="D12" s="22"/>
      <c r="E12" s="23">
        <f t="shared" si="0"/>
        <v>0</v>
      </c>
      <c r="F12" s="22">
        <f t="shared" si="1"/>
        <v>0</v>
      </c>
      <c r="G12" s="22"/>
      <c r="H12" s="22"/>
      <c r="I12" s="124"/>
      <c r="J12" s="124"/>
      <c r="K12" s="125"/>
    </row>
    <row r="13" spans="1:15" x14ac:dyDescent="0.3">
      <c r="A13" s="8"/>
      <c r="B13" s="9"/>
      <c r="C13" s="9"/>
      <c r="D13" s="9"/>
      <c r="E13" s="11">
        <f t="shared" si="0"/>
        <v>0</v>
      </c>
      <c r="F13" s="9">
        <f t="shared" si="1"/>
        <v>0</v>
      </c>
      <c r="G13" s="9"/>
      <c r="H13" s="9"/>
      <c r="I13" s="10"/>
      <c r="J13" s="10"/>
      <c r="K13" s="43"/>
    </row>
    <row r="14" spans="1:15" x14ac:dyDescent="0.3">
      <c r="A14" s="123">
        <v>13</v>
      </c>
      <c r="B14" s="22">
        <f>+data!B14</f>
        <v>28994.009765999999</v>
      </c>
      <c r="C14" s="22"/>
      <c r="D14" s="22">
        <v>38324.997600000002</v>
      </c>
      <c r="E14" s="23">
        <f>+D14-B14</f>
        <v>9330.9878340000032</v>
      </c>
      <c r="F14" s="22">
        <f>+ABS(E14)</f>
        <v>9330.9878340000032</v>
      </c>
      <c r="G14" s="22">
        <f>+SUMSQ($E$14:E14)/(A14-12)</f>
        <v>87067333.958256066</v>
      </c>
      <c r="H14" s="22">
        <f>+SUM($F$14:F14)/(A14-12)</f>
        <v>9330.9878340000032</v>
      </c>
      <c r="I14" s="124">
        <f>+(F14/B14)*100</f>
        <v>32.182467721115422</v>
      </c>
      <c r="J14" s="124">
        <f>+AVERAGE($I$14:I14)</f>
        <v>32.182467721115422</v>
      </c>
      <c r="K14" s="125">
        <f>+SUM($E$14:E14)/H14</f>
        <v>1</v>
      </c>
    </row>
    <row r="15" spans="1:15" x14ac:dyDescent="0.3">
      <c r="A15" s="8">
        <f t="shared" ref="A15:A58" si="2">+A14+1</f>
        <v>14</v>
      </c>
      <c r="B15" s="9">
        <f>+data!B15</f>
        <v>33114.578125</v>
      </c>
      <c r="C15" s="9"/>
      <c r="D15" s="9">
        <v>41033.042800000003</v>
      </c>
      <c r="E15" s="11">
        <f t="shared" ref="E15:E58" si="3">+D15-B15</f>
        <v>7918.4646750000029</v>
      </c>
      <c r="F15" s="9">
        <f>+ABS(E15)</f>
        <v>7918.4646750000029</v>
      </c>
      <c r="G15" s="9">
        <f>+SUMSQ($E$14:E15)/(A15-12)</f>
        <v>74884708.383739486</v>
      </c>
      <c r="H15" s="9">
        <f>+SUM($F$14:F15)/(A15-12)</f>
        <v>8624.7262545000031</v>
      </c>
      <c r="I15" s="10">
        <f t="shared" ref="I15:I58" si="4">+(F15/B15)*100</f>
        <v>23.912322376898778</v>
      </c>
      <c r="J15" s="10">
        <f>+AVERAGE($I$14:I15)</f>
        <v>28.0473950490071</v>
      </c>
      <c r="K15" s="43">
        <f>+SUM($E$14:E15)/H15</f>
        <v>2</v>
      </c>
    </row>
    <row r="16" spans="1:15" x14ac:dyDescent="0.3">
      <c r="A16" s="123">
        <f t="shared" si="2"/>
        <v>15</v>
      </c>
      <c r="B16" s="22">
        <f>+data!B16</f>
        <v>45159.503905999998</v>
      </c>
      <c r="C16" s="22"/>
      <c r="D16" s="22">
        <v>43043.5628</v>
      </c>
      <c r="E16" s="23">
        <f t="shared" si="3"/>
        <v>-2115.9411059999984</v>
      </c>
      <c r="F16" s="22">
        <f>+ABS(E16)</f>
        <v>2115.9411059999984</v>
      </c>
      <c r="G16" s="22">
        <f>+SUMSQ($E$14:E16)/(A16-12)</f>
        <v>51415541.177179821</v>
      </c>
      <c r="H16" s="22">
        <f>+SUM($F$14:F16)/(A16-12)</f>
        <v>6455.1312050000015</v>
      </c>
      <c r="I16" s="124">
        <f t="shared" si="4"/>
        <v>4.6854835039914366</v>
      </c>
      <c r="J16" s="124">
        <f>+AVERAGE($I$14:I16)</f>
        <v>20.260091200668544</v>
      </c>
      <c r="K16" s="125">
        <f>+SUM($E$14:E16)/H16</f>
        <v>2.3444157713290048</v>
      </c>
    </row>
    <row r="17" spans="1:11" x14ac:dyDescent="0.3">
      <c r="A17" s="8">
        <f t="shared" si="2"/>
        <v>16</v>
      </c>
      <c r="B17" s="9">
        <f>+data!B17</f>
        <v>58926.5625</v>
      </c>
      <c r="C17" s="9"/>
      <c r="D17" s="9">
        <v>47784.233399999997</v>
      </c>
      <c r="E17" s="11">
        <f t="shared" si="3"/>
        <v>-11142.329100000003</v>
      </c>
      <c r="F17" s="9">
        <f>+ABS(E17)</f>
        <v>11142.329100000003</v>
      </c>
      <c r="G17" s="9">
        <f>+SUMSQ($E$14:E17)/(A17-12)</f>
        <v>69599530.326061577</v>
      </c>
      <c r="H17" s="9">
        <f>+SUM($F$14:F17)/(A17-12)</f>
        <v>7626.9306787500018</v>
      </c>
      <c r="I17" s="10">
        <f t="shared" si="4"/>
        <v>18.908839455890547</v>
      </c>
      <c r="J17" s="10">
        <f>+AVERAGE($I$14:I17)</f>
        <v>19.922278264474045</v>
      </c>
      <c r="K17" s="43">
        <f>+SUM($E$14:E17)/H17</f>
        <v>0.5233012428079562</v>
      </c>
    </row>
    <row r="18" spans="1:11" x14ac:dyDescent="0.3">
      <c r="A18" s="123">
        <f t="shared" si="2"/>
        <v>17</v>
      </c>
      <c r="B18" s="22">
        <f>+data!B18</f>
        <v>57714.664062999997</v>
      </c>
      <c r="C18" s="22"/>
      <c r="D18" s="22">
        <v>52486.004099999998</v>
      </c>
      <c r="E18" s="23">
        <f t="shared" si="3"/>
        <v>-5228.6599629999982</v>
      </c>
      <c r="F18" s="22">
        <f>+ABS(E18)</f>
        <v>5228.6599629999982</v>
      </c>
      <c r="G18" s="22">
        <f>+SUMSQ($E$14:E18)/(A18-12)</f>
        <v>61147401.262585089</v>
      </c>
      <c r="H18" s="22">
        <f>+SUM($F$14:F18)/(A18-12)</f>
        <v>7147.2765356000018</v>
      </c>
      <c r="I18" s="124">
        <f t="shared" si="4"/>
        <v>9.059499951853681</v>
      </c>
      <c r="J18" s="124">
        <f>+AVERAGE($I$14:I18)</f>
        <v>17.749722601949973</v>
      </c>
      <c r="K18" s="125">
        <f>+SUM($E$14:E18)/H18</f>
        <v>-0.17313974824343481</v>
      </c>
    </row>
    <row r="19" spans="1:11" x14ac:dyDescent="0.3">
      <c r="A19" s="8">
        <f t="shared" si="2"/>
        <v>18</v>
      </c>
      <c r="B19" s="9">
        <f>+data!B19</f>
        <v>37293.792969000002</v>
      </c>
      <c r="C19" s="9"/>
      <c r="D19" s="9">
        <v>53061.642200000002</v>
      </c>
      <c r="E19" s="11">
        <f t="shared" si="3"/>
        <v>15767.849231</v>
      </c>
      <c r="F19" s="9">
        <f t="shared" si="1"/>
        <v>15767.849231</v>
      </c>
      <c r="G19" s="9">
        <f>+SUMSQ($E$14:E19)/(A19-12)</f>
        <v>92393679.280745462</v>
      </c>
      <c r="H19" s="9">
        <f>+SUM($F$14:F19)/(A19-12)</f>
        <v>8584.0386515000009</v>
      </c>
      <c r="I19" s="10">
        <f t="shared" si="4"/>
        <v>42.280089998104579</v>
      </c>
      <c r="J19" s="10">
        <f>+AVERAGE($I$14:I19)</f>
        <v>21.838117167975739</v>
      </c>
      <c r="K19" s="43">
        <f>+SUM($E$14:E19)/H19</f>
        <v>1.692719727964054</v>
      </c>
    </row>
    <row r="20" spans="1:11" x14ac:dyDescent="0.3">
      <c r="A20" s="123">
        <f t="shared" si="2"/>
        <v>19</v>
      </c>
      <c r="B20" s="22">
        <f>+data!B20</f>
        <v>35035.984375</v>
      </c>
      <c r="C20" s="22"/>
      <c r="D20" s="22">
        <v>47550.694199999998</v>
      </c>
      <c r="E20" s="23">
        <f t="shared" si="3"/>
        <v>12514.709824999998</v>
      </c>
      <c r="F20" s="22">
        <f t="shared" si="1"/>
        <v>12514.709824999998</v>
      </c>
      <c r="G20" s="22">
        <f>+SUMSQ($E$14:E20)/(A20-12)</f>
        <v>101568576.81263205</v>
      </c>
      <c r="H20" s="22">
        <f>+SUM($F$14:F20)/(A20-12)</f>
        <v>9145.5631048571431</v>
      </c>
      <c r="I20" s="124">
        <f t="shared" si="4"/>
        <v>35.719589582674594</v>
      </c>
      <c r="J20" s="124">
        <f>+AVERAGE($I$14:I20)</f>
        <v>23.82118465578986</v>
      </c>
      <c r="K20" s="125">
        <f>+SUM($E$14:E20)/H20</f>
        <v>2.9571805569453189</v>
      </c>
    </row>
    <row r="21" spans="1:11" x14ac:dyDescent="0.3">
      <c r="A21" s="8">
        <f t="shared" si="2"/>
        <v>20</v>
      </c>
      <c r="B21" s="9">
        <f>+data!B21</f>
        <v>41460.84375</v>
      </c>
      <c r="C21" s="9"/>
      <c r="D21" s="9">
        <v>45741.2333</v>
      </c>
      <c r="E21" s="11">
        <f t="shared" si="3"/>
        <v>4280.3895499999999</v>
      </c>
      <c r="F21" s="9">
        <f t="shared" si="1"/>
        <v>4280.3895499999999</v>
      </c>
      <c r="G21" s="9">
        <f>+SUMSQ($E$14:E21)/(A21-12)</f>
        <v>91162721.548521698</v>
      </c>
      <c r="H21" s="9">
        <f>+SUM($F$14:F21)/(A21-12)</f>
        <v>8537.4164105000018</v>
      </c>
      <c r="I21" s="10">
        <f t="shared" si="4"/>
        <v>10.323932565892365</v>
      </c>
      <c r="J21" s="10">
        <f>+AVERAGE($I$14:I21)</f>
        <v>22.134028144552673</v>
      </c>
      <c r="K21" s="43">
        <f>+SUM($E$14:E21)/H21</f>
        <v>3.6691979680730369</v>
      </c>
    </row>
    <row r="22" spans="1:11" x14ac:dyDescent="0.3">
      <c r="A22" s="123">
        <f t="shared" si="2"/>
        <v>21</v>
      </c>
      <c r="B22" s="22">
        <f>+data!B22</f>
        <v>47099.773437999997</v>
      </c>
      <c r="C22" s="22"/>
      <c r="D22" s="22">
        <v>46723.981599999999</v>
      </c>
      <c r="E22" s="23">
        <f t="shared" si="3"/>
        <v>-375.79183799999737</v>
      </c>
      <c r="F22" s="22">
        <f t="shared" si="1"/>
        <v>375.79183799999737</v>
      </c>
      <c r="G22" s="22">
        <f>+SUMSQ($E$14:E22)/(A22-12)</f>
        <v>81049221.32152012</v>
      </c>
      <c r="H22" s="22">
        <f>+SUM($F$14:F22)/(A22-12)</f>
        <v>7630.5692357777798</v>
      </c>
      <c r="I22" s="124">
        <f t="shared" si="4"/>
        <v>0.79786336657154555</v>
      </c>
      <c r="J22" s="124">
        <f>+AVERAGE($I$14:I22)</f>
        <v>19.763343169221436</v>
      </c>
      <c r="K22" s="125">
        <f>+SUM($E$14:E22)/H22</f>
        <v>4.0560118323656527</v>
      </c>
    </row>
    <row r="23" spans="1:11" x14ac:dyDescent="0.3">
      <c r="A23" s="8">
        <f t="shared" si="2"/>
        <v>22</v>
      </c>
      <c r="B23" s="9">
        <f>+data!B23</f>
        <v>43816.742187999997</v>
      </c>
      <c r="C23" s="9"/>
      <c r="D23" s="9">
        <v>48014.711199999998</v>
      </c>
      <c r="E23" s="11">
        <f t="shared" si="3"/>
        <v>4197.9690120000014</v>
      </c>
      <c r="F23" s="9">
        <f t="shared" si="1"/>
        <v>4197.9690120000014</v>
      </c>
      <c r="G23" s="9">
        <f>+SUMSQ($E$14:E23)/(A23-12)</f>
        <v>74706593.571939334</v>
      </c>
      <c r="H23" s="9">
        <f>+SUM($F$14:F23)/(A23-12)</f>
        <v>7287.3092134000017</v>
      </c>
      <c r="I23" s="10">
        <f t="shared" si="4"/>
        <v>9.5807419775486888</v>
      </c>
      <c r="J23" s="10">
        <f>+AVERAGE($I$14:I23)</f>
        <v>18.745083050054159</v>
      </c>
      <c r="K23" s="43">
        <f>+SUM($E$14:E23)/H23</f>
        <v>4.8231311572960358</v>
      </c>
    </row>
    <row r="24" spans="1:11" x14ac:dyDescent="0.3">
      <c r="A24" s="123">
        <f t="shared" si="2"/>
        <v>23</v>
      </c>
      <c r="B24" s="22">
        <f>+data!B24</f>
        <v>61320.449219000002</v>
      </c>
      <c r="C24" s="22"/>
      <c r="D24" s="22">
        <v>46523.0144</v>
      </c>
      <c r="E24" s="23">
        <f t="shared" si="3"/>
        <v>-14797.434819000002</v>
      </c>
      <c r="F24" s="22">
        <f t="shared" si="1"/>
        <v>14797.434819000002</v>
      </c>
      <c r="G24" s="22">
        <f>+SUMSQ($E$14:E24)/(A24-12)</f>
        <v>87820910.267449722</v>
      </c>
      <c r="H24" s="22">
        <f>+SUM($F$14:F24)/(A24-12)</f>
        <v>7970.0479048181842</v>
      </c>
      <c r="I24" s="124">
        <f t="shared" si="4"/>
        <v>24.131321618588288</v>
      </c>
      <c r="J24" s="124">
        <f>+AVERAGE($I$14:I24)</f>
        <v>19.234741101739079</v>
      </c>
      <c r="K24" s="125">
        <f>+SUM($E$14:E24)/H24</f>
        <v>2.5533363844271961</v>
      </c>
    </row>
    <row r="25" spans="1:11" x14ac:dyDescent="0.3">
      <c r="A25" s="8">
        <f t="shared" si="2"/>
        <v>24</v>
      </c>
      <c r="B25" s="9">
        <f>+data!B25</f>
        <v>56907.964844000002</v>
      </c>
      <c r="C25" s="9"/>
      <c r="D25" s="9">
        <v>50195.479099999997</v>
      </c>
      <c r="E25" s="11">
        <f t="shared" si="3"/>
        <v>-6712.4857440000051</v>
      </c>
      <c r="F25" s="9">
        <f t="shared" si="1"/>
        <v>6712.4857440000051</v>
      </c>
      <c r="G25" s="9">
        <f>+SUMSQ($E$14:E25)/(A25-12)</f>
        <v>84257289.81711252</v>
      </c>
      <c r="H25" s="9">
        <f>+SUM($F$14:F25)/(A25-12)</f>
        <v>7865.2510580833359</v>
      </c>
      <c r="I25" s="10">
        <f t="shared" si="4"/>
        <v>11.795336140381631</v>
      </c>
      <c r="J25" s="10">
        <f>+AVERAGE($I$14:I25)</f>
        <v>18.614790688292626</v>
      </c>
      <c r="K25" s="43">
        <f>+SUM($E$14:E25)/H25</f>
        <v>1.7339214548001156</v>
      </c>
    </row>
    <row r="26" spans="1:11" x14ac:dyDescent="0.3">
      <c r="A26" s="123">
        <f t="shared" si="2"/>
        <v>25</v>
      </c>
      <c r="B26" s="22">
        <f>+data!B26</f>
        <v>46311.746094000002</v>
      </c>
      <c r="C26" s="22"/>
      <c r="D26" s="22">
        <v>44407.6976</v>
      </c>
      <c r="E26" s="23">
        <f t="shared" si="3"/>
        <v>-1904.0484940000024</v>
      </c>
      <c r="F26" s="22">
        <f t="shared" si="1"/>
        <v>1904.0484940000024</v>
      </c>
      <c r="G26" s="22">
        <f>+SUMSQ($E$14:E26)/(A26-12)</f>
        <v>78054836.80560416</v>
      </c>
      <c r="H26" s="22">
        <f>+SUM($F$14:F26)/(A26-12)</f>
        <v>7406.6970146923104</v>
      </c>
      <c r="I26" s="124">
        <f t="shared" si="4"/>
        <v>4.1113727177017081</v>
      </c>
      <c r="J26" s="124">
        <f>+AVERAGE($I$14:I26)</f>
        <v>17.499143152093325</v>
      </c>
      <c r="K26" s="125">
        <f>+SUM($E$14:E26)/H26</f>
        <v>1.5841986029298167</v>
      </c>
    </row>
    <row r="27" spans="1:11" x14ac:dyDescent="0.3">
      <c r="A27" s="8">
        <f t="shared" si="2"/>
        <v>26</v>
      </c>
      <c r="B27" s="9">
        <f>+data!B27</f>
        <v>38481.765625</v>
      </c>
      <c r="C27" s="9"/>
      <c r="D27" s="9">
        <v>37140.363100000002</v>
      </c>
      <c r="E27" s="11">
        <f t="shared" si="3"/>
        <v>-1341.4025249999977</v>
      </c>
      <c r="F27" s="9">
        <f t="shared" si="1"/>
        <v>1341.4025249999977</v>
      </c>
      <c r="G27" s="9">
        <f>+SUMSQ($E$14:E27)/(A27-12)</f>
        <v>72608017.086209312</v>
      </c>
      <c r="H27" s="9">
        <f>+SUM($F$14:F27)/(A27-12)</f>
        <v>6973.4616940000024</v>
      </c>
      <c r="I27" s="10">
        <f t="shared" si="4"/>
        <v>3.4858133539708076</v>
      </c>
      <c r="J27" s="10">
        <f>+AVERAGE($I$14:I27)</f>
        <v>16.498191023656002</v>
      </c>
      <c r="K27" s="43">
        <f>+SUM($E$14:E27)/H27</f>
        <v>1.4902607906976195</v>
      </c>
    </row>
    <row r="28" spans="1:11" x14ac:dyDescent="0.3">
      <c r="A28" s="123">
        <f t="shared" si="2"/>
        <v>27</v>
      </c>
      <c r="B28" s="22">
        <f>+data!B28</f>
        <v>43194.503905999998</v>
      </c>
      <c r="C28" s="22"/>
      <c r="D28" s="22">
        <v>31485.8966</v>
      </c>
      <c r="E28" s="23">
        <f t="shared" si="3"/>
        <v>-11708.607305999998</v>
      </c>
      <c r="F28" s="22">
        <f t="shared" si="1"/>
        <v>11708.607305999998</v>
      </c>
      <c r="G28" s="22">
        <f>+SUMSQ($E$14:E28)/(A28-12)</f>
        <v>76906914.950203136</v>
      </c>
      <c r="H28" s="22">
        <f>+SUM($F$14:F28)/(A28-12)</f>
        <v>7289.1380681333349</v>
      </c>
      <c r="I28" s="124">
        <f t="shared" si="4"/>
        <v>27.10670628717094</v>
      </c>
      <c r="J28" s="124">
        <f>+AVERAGE($I$14:I28)</f>
        <v>17.205425374556999</v>
      </c>
      <c r="K28" s="125">
        <f>+SUM($E$14:E28)/H28</f>
        <v>-0.18058798663105716</v>
      </c>
    </row>
    <row r="29" spans="1:11" x14ac:dyDescent="0.3">
      <c r="A29" s="8">
        <f t="shared" si="2"/>
        <v>28</v>
      </c>
      <c r="B29" s="9">
        <f>+data!B29</f>
        <v>45554.164062999997</v>
      </c>
      <c r="C29" s="9"/>
      <c r="D29" s="9">
        <v>30307.368699999999</v>
      </c>
      <c r="E29" s="11">
        <f t="shared" si="3"/>
        <v>-15246.795362999997</v>
      </c>
      <c r="F29" s="9">
        <f t="shared" si="1"/>
        <v>15246.795362999997</v>
      </c>
      <c r="G29" s="9">
        <f>+SUMSQ($E$14:E29)/(A29-12)</f>
        <v>86629280.818390325</v>
      </c>
      <c r="H29" s="9">
        <f>+SUM($F$14:F29)/(A29-12)</f>
        <v>7786.491649062501</v>
      </c>
      <c r="I29" s="10">
        <f t="shared" si="4"/>
        <v>33.469597514541491</v>
      </c>
      <c r="J29" s="10">
        <f>+AVERAGE($I$14:I29)</f>
        <v>18.221936133306027</v>
      </c>
      <c r="K29" s="43">
        <f>+SUM($E$14:E29)/H29</f>
        <v>-2.1271616123795885</v>
      </c>
    </row>
    <row r="30" spans="1:11" x14ac:dyDescent="0.3">
      <c r="A30" s="123">
        <f t="shared" si="2"/>
        <v>29</v>
      </c>
      <c r="B30" s="22">
        <f>+data!B30</f>
        <v>37713.265625</v>
      </c>
      <c r="C30" s="22"/>
      <c r="D30" s="22">
        <v>31025.455699999999</v>
      </c>
      <c r="E30" s="23">
        <f t="shared" si="3"/>
        <v>-6687.8099250000014</v>
      </c>
      <c r="F30" s="22">
        <f t="shared" si="1"/>
        <v>6687.8099250000014</v>
      </c>
      <c r="G30" s="22">
        <f>+SUMSQ($E$14:E30)/(A30-12)</f>
        <v>84164429.099245504</v>
      </c>
      <c r="H30" s="22">
        <f>+SUM($F$14:F30)/(A30-12)</f>
        <v>7721.8633123529416</v>
      </c>
      <c r="I30" s="124">
        <f t="shared" si="4"/>
        <v>17.733308993975516</v>
      </c>
      <c r="J30" s="124">
        <f>+AVERAGE($I$14:I30)</f>
        <v>18.193193360404234</v>
      </c>
      <c r="K30" s="125">
        <f>+SUM($E$14:E30)/H30</f>
        <v>-3.0110525290967836</v>
      </c>
    </row>
    <row r="31" spans="1:11" x14ac:dyDescent="0.3">
      <c r="A31" s="8">
        <f t="shared" si="2"/>
        <v>30</v>
      </c>
      <c r="B31" s="9">
        <f>+data!B31</f>
        <v>31792.554688</v>
      </c>
      <c r="C31" s="9"/>
      <c r="D31" s="9">
        <v>33734.589699999997</v>
      </c>
      <c r="E31" s="11">
        <f t="shared" si="3"/>
        <v>1942.0350119999966</v>
      </c>
      <c r="F31" s="9">
        <f t="shared" si="1"/>
        <v>1942.0350119999966</v>
      </c>
      <c r="G31" s="9">
        <f>+SUMSQ($E$14:E31)/(A31-12)</f>
        <v>79698155.259722635</v>
      </c>
      <c r="H31" s="9">
        <f>+SUM($F$14:F31)/(A31-12)</f>
        <v>7400.761740111112</v>
      </c>
      <c r="I31" s="10">
        <f t="shared" si="4"/>
        <v>6.108458508787316</v>
      </c>
      <c r="J31" s="10">
        <f>+AVERAGE($I$14:I31)</f>
        <v>17.521819201981071</v>
      </c>
      <c r="K31" s="43">
        <f>+SUM($E$14:E31)/H31</f>
        <v>-2.8792848347635189</v>
      </c>
    </row>
    <row r="32" spans="1:11" x14ac:dyDescent="0.3">
      <c r="A32" s="123">
        <f t="shared" si="2"/>
        <v>31</v>
      </c>
      <c r="B32" s="22">
        <f>+data!B32</f>
        <v>19820.470702999999</v>
      </c>
      <c r="C32" s="22"/>
      <c r="D32" s="22">
        <v>31211.900099999999</v>
      </c>
      <c r="E32" s="23">
        <f t="shared" si="3"/>
        <v>11391.429397</v>
      </c>
      <c r="F32" s="22">
        <f t="shared" si="1"/>
        <v>11391.429397</v>
      </c>
      <c r="G32" s="22">
        <f>+SUMSQ($E$14:E32)/(A32-12)</f>
        <v>82333234.651675954</v>
      </c>
      <c r="H32" s="22">
        <f>+SUM($F$14:F32)/(A32-12)</f>
        <v>7610.7968799473692</v>
      </c>
      <c r="I32" s="124">
        <f t="shared" si="4"/>
        <v>57.473051814434506</v>
      </c>
      <c r="J32" s="124">
        <f>+AVERAGE($I$14:I32)</f>
        <v>19.624515655268091</v>
      </c>
      <c r="K32" s="125">
        <f>+SUM($E$14:E32)/H32</f>
        <v>-1.3030792705991356</v>
      </c>
    </row>
    <row r="33" spans="1:11" x14ac:dyDescent="0.3">
      <c r="A33" s="8">
        <f t="shared" si="2"/>
        <v>32</v>
      </c>
      <c r="B33" s="9">
        <f>+data!B33</f>
        <v>23336.71875</v>
      </c>
      <c r="C33" s="9"/>
      <c r="D33" s="9">
        <v>22049.160899999999</v>
      </c>
      <c r="E33" s="11">
        <f t="shared" si="3"/>
        <v>-1287.5578500000011</v>
      </c>
      <c r="F33" s="9">
        <f t="shared" si="1"/>
        <v>1287.5578500000011</v>
      </c>
      <c r="G33" s="9">
        <f>+SUMSQ($E$14:E33)/(A33-12)</f>
        <v>78299463.179946989</v>
      </c>
      <c r="H33" s="9">
        <f>+SUM($F$14:F33)/(A33-12)</f>
        <v>7294.6349284500011</v>
      </c>
      <c r="I33" s="10">
        <f t="shared" si="4"/>
        <v>5.5173045696494976</v>
      </c>
      <c r="J33" s="10">
        <f>+AVERAGE($I$14:I33)</f>
        <v>18.919155100987162</v>
      </c>
      <c r="K33" s="43">
        <f>+SUM($E$14:E33)/H33</f>
        <v>-1.5360644647614865</v>
      </c>
    </row>
    <row r="34" spans="1:11" x14ac:dyDescent="0.3">
      <c r="A34" s="123">
        <f t="shared" si="2"/>
        <v>33</v>
      </c>
      <c r="B34" s="22">
        <f>+data!B34</f>
        <v>20050.498047000001</v>
      </c>
      <c r="C34" s="22"/>
      <c r="D34" s="22">
        <v>17308.3858</v>
      </c>
      <c r="E34" s="23">
        <f t="shared" si="3"/>
        <v>-2742.1122470000009</v>
      </c>
      <c r="F34" s="22">
        <f t="shared" si="1"/>
        <v>2742.1122470000009</v>
      </c>
      <c r="G34" s="22">
        <f>+SUMSQ($E$14:E34)/(A34-12)</f>
        <v>74928973.484480336</v>
      </c>
      <c r="H34" s="22">
        <f>+SUM($F$14:F34)/(A34-12)</f>
        <v>7077.8481340952403</v>
      </c>
      <c r="I34" s="124">
        <f t="shared" si="4"/>
        <v>13.67603059321652</v>
      </c>
      <c r="J34" s="124">
        <f>+AVERAGE($I$14:I34)</f>
        <v>18.669482505379037</v>
      </c>
      <c r="K34" s="125">
        <f>+SUM($E$14:E34)/H34</f>
        <v>-1.9705341905845875</v>
      </c>
    </row>
    <row r="35" spans="1:11" x14ac:dyDescent="0.3">
      <c r="A35" s="8">
        <f t="shared" si="2"/>
        <v>34</v>
      </c>
      <c r="B35" s="9">
        <f>+data!B35</f>
        <v>19431.105468999998</v>
      </c>
      <c r="C35" s="9"/>
      <c r="D35" s="9">
        <v>17111.642100000001</v>
      </c>
      <c r="E35" s="11">
        <f t="shared" si="3"/>
        <v>-2319.4633689999973</v>
      </c>
      <c r="F35" s="9">
        <f t="shared" si="1"/>
        <v>2319.4633689999973</v>
      </c>
      <c r="G35" s="9">
        <f>+SUMSQ($E$14:E35)/(A35-12)</f>
        <v>71767652.43155545</v>
      </c>
      <c r="H35" s="9">
        <f>+SUM($F$14:F35)/(A35-12)</f>
        <v>6861.5579175000021</v>
      </c>
      <c r="I35" s="10">
        <f t="shared" si="4"/>
        <v>11.936857492232871</v>
      </c>
      <c r="J35" s="10">
        <f>+AVERAGE($I$14:I35)</f>
        <v>18.363454095690575</v>
      </c>
      <c r="K35" s="43">
        <f>+SUM($E$14:E35)/H35</f>
        <v>-2.3706868481737899</v>
      </c>
    </row>
    <row r="36" spans="1:11" x14ac:dyDescent="0.3">
      <c r="A36" s="123">
        <f t="shared" si="2"/>
        <v>35</v>
      </c>
      <c r="B36" s="22">
        <f>+data!B36</f>
        <v>20494.898438</v>
      </c>
      <c r="C36" s="22"/>
      <c r="D36" s="22">
        <v>12632.9154</v>
      </c>
      <c r="E36" s="23">
        <f t="shared" si="3"/>
        <v>-7861.9830380000003</v>
      </c>
      <c r="F36" s="22">
        <f t="shared" si="1"/>
        <v>7861.9830380000003</v>
      </c>
      <c r="G36" s="22">
        <f>+SUMSQ($E$14:E36)/(A36-12)</f>
        <v>71334744.816696495</v>
      </c>
      <c r="H36" s="22">
        <f>+SUM($F$14:F36)/(A36-12)</f>
        <v>6905.0546618695671</v>
      </c>
      <c r="I36" s="124">
        <f t="shared" si="4"/>
        <v>38.36068308307857</v>
      </c>
      <c r="J36" s="124">
        <f>+AVERAGE($I$14:I36)</f>
        <v>19.232898834272664</v>
      </c>
      <c r="K36" s="125">
        <f>+SUM($E$14:E36)/H36</f>
        <v>-3.494337023027577</v>
      </c>
    </row>
    <row r="37" spans="1:11" x14ac:dyDescent="0.3">
      <c r="A37" s="8">
        <f t="shared" si="2"/>
        <v>36</v>
      </c>
      <c r="B37" s="9">
        <f>+data!B37</f>
        <v>17168.001952999999</v>
      </c>
      <c r="C37" s="9"/>
      <c r="D37" s="9">
        <v>15364.284600000001</v>
      </c>
      <c r="E37" s="11">
        <f t="shared" si="3"/>
        <v>-1803.7173529999982</v>
      </c>
      <c r="F37" s="9">
        <f t="shared" si="1"/>
        <v>1803.7173529999982</v>
      </c>
      <c r="G37" s="9">
        <f>+SUMSQ($E$14:E37)/(A37-12)</f>
        <v>68498021.961397201</v>
      </c>
      <c r="H37" s="9">
        <f>+SUM($F$14:F37)/(A37-12)</f>
        <v>6692.4989406666682</v>
      </c>
      <c r="I37" s="10">
        <f t="shared" si="4"/>
        <v>10.506274160137838</v>
      </c>
      <c r="J37" s="10">
        <f>+AVERAGE($I$14:I37)</f>
        <v>18.869289472850379</v>
      </c>
      <c r="K37" s="43">
        <f>+SUM($E$14:E37)/H37</f>
        <v>-3.8748314693669221</v>
      </c>
    </row>
    <row r="38" spans="1:11" x14ac:dyDescent="0.3">
      <c r="A38" s="123">
        <f t="shared" si="2"/>
        <v>37</v>
      </c>
      <c r="B38" s="22">
        <f>+data!B38</f>
        <v>16547.914063</v>
      </c>
      <c r="C38" s="22"/>
      <c r="D38" s="22">
        <v>17057.702099999999</v>
      </c>
      <c r="E38" s="23">
        <f t="shared" si="3"/>
        <v>509.78803699999844</v>
      </c>
      <c r="F38" s="22">
        <f t="shared" si="1"/>
        <v>509.78803699999844</v>
      </c>
      <c r="G38" s="22">
        <f>+SUMSQ($E$14:E38)/(A38-12)</f>
        <v>65768496.436648041</v>
      </c>
      <c r="H38" s="22">
        <f>+SUM($F$14:F38)/(A38-12)</f>
        <v>6445.190504520001</v>
      </c>
      <c r="I38" s="124">
        <f t="shared" si="4"/>
        <v>3.0806785378457429</v>
      </c>
      <c r="J38" s="124">
        <f>+AVERAGE($I$14:I38)</f>
        <v>18.237745035450192</v>
      </c>
      <c r="K38" s="125">
        <f>+SUM($E$14:E38)/H38</f>
        <v>-3.9444167630376836</v>
      </c>
    </row>
    <row r="39" spans="1:11" x14ac:dyDescent="0.3">
      <c r="A39" s="8">
        <f t="shared" si="2"/>
        <v>38</v>
      </c>
      <c r="B39" s="9">
        <f>+data!B39</f>
        <v>23137.835938</v>
      </c>
      <c r="C39" s="9"/>
      <c r="D39" s="9">
        <v>18847.066299999999</v>
      </c>
      <c r="E39" s="11">
        <f t="shared" si="3"/>
        <v>-4290.7696380000016</v>
      </c>
      <c r="F39" s="9">
        <f t="shared" si="1"/>
        <v>4290.7696380000016</v>
      </c>
      <c r="G39" s="9">
        <f>+SUMSQ($E$14:E39)/(A39-12)</f>
        <v>63947042.88471476</v>
      </c>
      <c r="H39" s="9">
        <f>+SUM($F$14:F39)/(A39-12)</f>
        <v>6362.3281635000012</v>
      </c>
      <c r="I39" s="10">
        <f t="shared" si="4"/>
        <v>18.544386127974636</v>
      </c>
      <c r="J39" s="10">
        <f>+AVERAGE($I$14:I39)</f>
        <v>18.249538923624211</v>
      </c>
      <c r="K39" s="43">
        <f>+SUM($E$14:E39)/H39</f>
        <v>-4.6701909020446264</v>
      </c>
    </row>
    <row r="40" spans="1:11" x14ac:dyDescent="0.3">
      <c r="A40" s="123">
        <f t="shared" si="2"/>
        <v>39</v>
      </c>
      <c r="B40" s="22">
        <f>+data!B40</f>
        <v>23150.929688</v>
      </c>
      <c r="C40" s="22"/>
      <c r="D40" s="22">
        <v>21197.165799999999</v>
      </c>
      <c r="E40" s="23">
        <f t="shared" si="3"/>
        <v>-1953.7638880000013</v>
      </c>
      <c r="F40" s="22">
        <f t="shared" si="1"/>
        <v>1953.7638880000013</v>
      </c>
      <c r="G40" s="22">
        <f>+SUMSQ($E$14:E40)/(A40-12)</f>
        <v>61720011.419727281</v>
      </c>
      <c r="H40" s="22">
        <f>+SUM($F$14:F40)/(A40-12)</f>
        <v>6199.04800514815</v>
      </c>
      <c r="I40" s="124">
        <f t="shared" si="4"/>
        <v>8.4392459150904457</v>
      </c>
      <c r="J40" s="124">
        <f>+AVERAGE($I$14:I40)</f>
        <v>17.88619473812296</v>
      </c>
      <c r="K40" s="125">
        <f>+SUM($E$14:E40)/H40</f>
        <v>-5.1083732480699178</v>
      </c>
    </row>
    <row r="41" spans="1:11" x14ac:dyDescent="0.3">
      <c r="A41" s="8">
        <f t="shared" si="2"/>
        <v>40</v>
      </c>
      <c r="B41" s="9">
        <f>+data!B41</f>
        <v>28473.332031000002</v>
      </c>
      <c r="C41" s="9"/>
      <c r="D41" s="9">
        <v>23432.2192</v>
      </c>
      <c r="E41" s="11">
        <f t="shared" si="3"/>
        <v>-5041.1128310000022</v>
      </c>
      <c r="F41" s="9">
        <f t="shared" si="1"/>
        <v>5041.1128310000022</v>
      </c>
      <c r="G41" s="9">
        <f>+SUMSQ($E$14:E41)/(A41-12)</f>
        <v>60423325.960982487</v>
      </c>
      <c r="H41" s="9">
        <f>+SUM($F$14:F41)/(A41-12)</f>
        <v>6157.6931775000021</v>
      </c>
      <c r="I41" s="10">
        <f t="shared" si="4"/>
        <v>17.704681789653385</v>
      </c>
      <c r="J41" s="10">
        <f>+AVERAGE($I$14:I41)</f>
        <v>17.879712132820476</v>
      </c>
      <c r="K41" s="43">
        <f>+SUM($E$14:E41)/H41</f>
        <v>-5.961349935091012</v>
      </c>
    </row>
    <row r="42" spans="1:11" x14ac:dyDescent="0.3">
      <c r="A42" s="123">
        <f t="shared" si="2"/>
        <v>41</v>
      </c>
      <c r="B42" s="22">
        <f>+data!B42</f>
        <v>29227.103515999999</v>
      </c>
      <c r="C42" s="22"/>
      <c r="D42" s="22">
        <v>30844.301200000002</v>
      </c>
      <c r="E42" s="23">
        <f t="shared" si="3"/>
        <v>1617.1976840000025</v>
      </c>
      <c r="F42" s="22">
        <f t="shared" si="1"/>
        <v>1617.1976840000025</v>
      </c>
      <c r="G42" s="22">
        <f>+SUMSQ($E$14:E42)/(A42-12)</f>
        <v>58429946.732987739</v>
      </c>
      <c r="H42" s="22">
        <f>+SUM($F$14:F42)/(A42-12)</f>
        <v>6001.1243673793124</v>
      </c>
      <c r="I42" s="124">
        <f t="shared" si="4"/>
        <v>5.5332122908268637</v>
      </c>
      <c r="J42" s="124">
        <f>+AVERAGE($I$14:I42)</f>
        <v>17.453970758958626</v>
      </c>
      <c r="K42" s="125">
        <f>+SUM($E$14:E42)/H42</f>
        <v>-5.8473985859626847</v>
      </c>
    </row>
    <row r="43" spans="1:11" x14ac:dyDescent="0.3">
      <c r="A43" s="8">
        <f t="shared" si="2"/>
        <v>42</v>
      </c>
      <c r="B43" s="9">
        <f>+data!B43</f>
        <v>27218.412109000001</v>
      </c>
      <c r="C43" s="9"/>
      <c r="D43" s="9">
        <v>35193.0789</v>
      </c>
      <c r="E43" s="11">
        <f t="shared" si="3"/>
        <v>7974.6667909999996</v>
      </c>
      <c r="F43" s="9">
        <f t="shared" si="1"/>
        <v>7974.6667909999996</v>
      </c>
      <c r="G43" s="9">
        <f>+SUMSQ($E$14:E43)/(A43-12)</f>
        <v>58602125.522804096</v>
      </c>
      <c r="H43" s="9">
        <f>+SUM($F$14:F43)/(A43-12)</f>
        <v>6066.9091148333355</v>
      </c>
      <c r="I43" s="10">
        <f t="shared" si="4"/>
        <v>29.298795091588421</v>
      </c>
      <c r="J43" s="10">
        <f>+AVERAGE($I$14:I43)</f>
        <v>17.848798236712948</v>
      </c>
      <c r="K43" s="43">
        <f>+SUM($E$14:E43)/H43</f>
        <v>-4.4695410522471484</v>
      </c>
    </row>
    <row r="44" spans="1:11" x14ac:dyDescent="0.3">
      <c r="A44" s="123">
        <f t="shared" si="2"/>
        <v>43</v>
      </c>
      <c r="B44" s="22">
        <f>+data!B44</f>
        <v>30471.847656000002</v>
      </c>
      <c r="C44" s="22"/>
      <c r="D44" s="22">
        <v>39902.967199999999</v>
      </c>
      <c r="E44" s="23">
        <f t="shared" si="3"/>
        <v>9431.1195439999974</v>
      </c>
      <c r="F44" s="22">
        <f t="shared" si="1"/>
        <v>9431.1195439999974</v>
      </c>
      <c r="G44" s="22">
        <f>+SUMSQ($E$14:E44)/(A44-12)</f>
        <v>59580960.694752954</v>
      </c>
      <c r="H44" s="22">
        <f>+SUM($F$14:F44)/(A44-12)</f>
        <v>6175.4320319032277</v>
      </c>
      <c r="I44" s="124">
        <f t="shared" si="4"/>
        <v>30.950271379894424</v>
      </c>
      <c r="J44" s="124">
        <f>+AVERAGE($I$14:I44)</f>
        <v>18.27142640262203</v>
      </c>
      <c r="K44" s="125">
        <f>+SUM($E$14:E44)/H44</f>
        <v>-2.8637963649564369</v>
      </c>
    </row>
    <row r="45" spans="1:11" x14ac:dyDescent="0.3">
      <c r="A45" s="8">
        <f t="shared" si="2"/>
        <v>44</v>
      </c>
      <c r="B45" s="9">
        <f>+data!B45</f>
        <v>29230.873047000001</v>
      </c>
      <c r="C45" s="9"/>
      <c r="D45" s="9">
        <v>40136.449099999998</v>
      </c>
      <c r="E45" s="11">
        <f t="shared" si="3"/>
        <v>10905.576052999997</v>
      </c>
      <c r="F45" s="9">
        <f t="shared" si="1"/>
        <v>10905.576052999997</v>
      </c>
      <c r="G45" s="9">
        <f>+SUMSQ($E$14:E45)/(A45-12)</f>
        <v>61435667.830784641</v>
      </c>
      <c r="H45" s="9">
        <f>+SUM($F$14:F45)/(A45-12)</f>
        <v>6323.2490325625013</v>
      </c>
      <c r="I45" s="10">
        <f t="shared" si="4"/>
        <v>37.308417150131099</v>
      </c>
      <c r="J45" s="10">
        <f>+AVERAGE($I$14:I45)</f>
        <v>18.866332363481686</v>
      </c>
      <c r="K45" s="43">
        <f>+SUM($E$14:E45)/H45</f>
        <v>-1.0721709230630396</v>
      </c>
    </row>
    <row r="46" spans="1:11" x14ac:dyDescent="0.3">
      <c r="A46" s="123">
        <f t="shared" si="2"/>
        <v>45</v>
      </c>
      <c r="B46" s="22">
        <f>+data!B46</f>
        <v>25934.021484000001</v>
      </c>
      <c r="C46" s="22"/>
      <c r="D46" s="22">
        <v>41843.4378</v>
      </c>
      <c r="E46" s="23">
        <f t="shared" si="3"/>
        <v>15909.416315999999</v>
      </c>
      <c r="F46" s="22">
        <f t="shared" si="1"/>
        <v>15909.416315999999</v>
      </c>
      <c r="G46" s="22">
        <f>+SUMSQ($E$14:E46)/(A46-12)</f>
        <v>67243966.609118655</v>
      </c>
      <c r="H46" s="22">
        <f>+SUM($F$14:F46)/(A46-12)</f>
        <v>6613.7389502424248</v>
      </c>
      <c r="I46" s="124">
        <f t="shared" si="4"/>
        <v>61.345735854407756</v>
      </c>
      <c r="J46" s="124">
        <f>+AVERAGE($I$14:I46)</f>
        <v>20.153587014721868</v>
      </c>
      <c r="K46" s="125">
        <f>+SUM($E$14:E46)/H46</f>
        <v>1.3804313464270219</v>
      </c>
    </row>
    <row r="47" spans="1:11" x14ac:dyDescent="0.3">
      <c r="A47" s="8">
        <f t="shared" si="2"/>
        <v>46</v>
      </c>
      <c r="B47" s="9">
        <f>+data!B47</f>
        <v>26967.396484000001</v>
      </c>
      <c r="C47" s="9"/>
      <c r="D47" s="9">
        <v>41256.2592</v>
      </c>
      <c r="E47" s="11">
        <f t="shared" si="3"/>
        <v>14288.862716</v>
      </c>
      <c r="F47" s="9">
        <f t="shared" si="1"/>
        <v>14288.862716</v>
      </c>
      <c r="G47" s="9">
        <f>+SUMSQ($E$14:E47)/(A47-12)</f>
        <v>71271249.87698853</v>
      </c>
      <c r="H47" s="9">
        <f>+SUM($F$14:F47)/(A47-12)</f>
        <v>6839.4778845294131</v>
      </c>
      <c r="I47" s="10">
        <f t="shared" si="4"/>
        <v>52.985695984696605</v>
      </c>
      <c r="J47" s="10">
        <f>+AVERAGE($I$14:I47)</f>
        <v>21.119237278544656</v>
      </c>
      <c r="K47" s="43">
        <f>+SUM($E$14:E47)/H47</f>
        <v>3.4240443021201901</v>
      </c>
    </row>
    <row r="48" spans="1:11" x14ac:dyDescent="0.3">
      <c r="A48" s="123">
        <f t="shared" si="2"/>
        <v>47</v>
      </c>
      <c r="B48" s="22">
        <f>+data!B48</f>
        <v>34657.273437999997</v>
      </c>
      <c r="C48" s="22"/>
      <c r="D48" s="22">
        <v>40820.3053</v>
      </c>
      <c r="E48" s="23">
        <f t="shared" si="3"/>
        <v>6163.0318620000035</v>
      </c>
      <c r="F48" s="22">
        <f t="shared" si="1"/>
        <v>6163.0318620000035</v>
      </c>
      <c r="G48" s="22">
        <f>+SUMSQ($E$14:E48)/(A48-12)</f>
        <v>70320155.929989636</v>
      </c>
      <c r="H48" s="22">
        <f>+SUM($F$14:F48)/(A48-12)</f>
        <v>6820.1508553142867</v>
      </c>
      <c r="I48" s="124">
        <f t="shared" si="4"/>
        <v>17.782794924780614</v>
      </c>
      <c r="J48" s="124">
        <f>+AVERAGE($I$14:I48)</f>
        <v>21.023910354151397</v>
      </c>
      <c r="K48" s="125">
        <f>+SUM($E$14:E48)/H48</f>
        <v>4.3373977745594612</v>
      </c>
    </row>
    <row r="49" spans="1:11" x14ac:dyDescent="0.3">
      <c r="A49" s="8">
        <f t="shared" si="2"/>
        <v>48</v>
      </c>
      <c r="B49" s="9">
        <f>+data!B49</f>
        <v>37718.007812999997</v>
      </c>
      <c r="C49" s="9"/>
      <c r="D49" s="9">
        <v>44603.127399999998</v>
      </c>
      <c r="E49" s="11">
        <f t="shared" si="3"/>
        <v>6885.119587000001</v>
      </c>
      <c r="F49" s="9">
        <f t="shared" si="1"/>
        <v>6885.119587000001</v>
      </c>
      <c r="G49" s="9">
        <f>+SUMSQ($E$14:E49)/(A49-12)</f>
        <v>69683620.257692456</v>
      </c>
      <c r="H49" s="9">
        <f>+SUM($F$14:F49)/(A49-12)</f>
        <v>6821.9555423055563</v>
      </c>
      <c r="I49" s="10">
        <f t="shared" si="4"/>
        <v>18.254197361470816</v>
      </c>
      <c r="J49" s="10">
        <f>+AVERAGE($I$14:I49)</f>
        <v>20.946973882132493</v>
      </c>
      <c r="K49" s="43">
        <f>+SUM($E$14:E49)/H49</f>
        <v>5.3455092902402033</v>
      </c>
    </row>
    <row r="50" spans="1:11" x14ac:dyDescent="0.3">
      <c r="A50" s="123">
        <f t="shared" si="2"/>
        <v>49</v>
      </c>
      <c r="B50" s="22">
        <f>+data!B50</f>
        <v>42280.234375</v>
      </c>
      <c r="C50" s="22"/>
      <c r="D50" s="22">
        <v>45900.481800000001</v>
      </c>
      <c r="E50" s="23">
        <f t="shared" si="3"/>
        <v>3620.2474250000014</v>
      </c>
      <c r="F50" s="22">
        <f t="shared" si="1"/>
        <v>3620.2474250000014</v>
      </c>
      <c r="G50" s="22">
        <f>+SUMSQ($E$14:E50)/(A50-12)</f>
        <v>68154500.559328318</v>
      </c>
      <c r="H50" s="22">
        <f>+SUM($F$14:F50)/(A50-12)</f>
        <v>6735.4228904864876</v>
      </c>
      <c r="I50" s="124">
        <f t="shared" si="4"/>
        <v>8.5625055738589477</v>
      </c>
      <c r="J50" s="124">
        <f>+AVERAGE($I$14:I50)</f>
        <v>20.612258522449423</v>
      </c>
      <c r="K50" s="125">
        <f>+SUM($E$14:E50)/H50</f>
        <v>5.9516788783405667</v>
      </c>
    </row>
    <row r="51" spans="1:11" x14ac:dyDescent="0.3">
      <c r="A51" s="8">
        <f t="shared" si="2"/>
        <v>50</v>
      </c>
      <c r="B51" s="9">
        <f>+data!B51</f>
        <v>42569.761719000002</v>
      </c>
      <c r="C51" s="9"/>
      <c r="D51" s="9">
        <v>45082.859799999998</v>
      </c>
      <c r="E51" s="11">
        <f t="shared" si="3"/>
        <v>2513.0980809999965</v>
      </c>
      <c r="F51" s="9">
        <f t="shared" si="1"/>
        <v>2513.0980809999965</v>
      </c>
      <c r="G51" s="9">
        <f>+SUMSQ($E$14:E51)/(A51-12)</f>
        <v>66527162.701575615</v>
      </c>
      <c r="H51" s="9">
        <f>+SUM($F$14:F51)/(A51-12)</f>
        <v>6624.3090797105278</v>
      </c>
      <c r="I51" s="10">
        <f t="shared" si="4"/>
        <v>5.9034816722460883</v>
      </c>
      <c r="J51" s="10">
        <f>+AVERAGE($I$14:I51)</f>
        <v>20.225185447444073</v>
      </c>
      <c r="K51" s="43">
        <f>+SUM($E$14:E51)/H51</f>
        <v>6.4308853530822194</v>
      </c>
    </row>
    <row r="52" spans="1:11" x14ac:dyDescent="0.3">
      <c r="A52" s="123">
        <f t="shared" si="2"/>
        <v>51</v>
      </c>
      <c r="B52" s="22">
        <f>+data!B52</f>
        <v>61168.0625</v>
      </c>
      <c r="C52" s="22"/>
      <c r="D52" s="22">
        <v>46216.322099999998</v>
      </c>
      <c r="E52" s="23">
        <f t="shared" si="3"/>
        <v>-14951.740400000002</v>
      </c>
      <c r="F52" s="22">
        <f t="shared" si="1"/>
        <v>14951.740400000002</v>
      </c>
      <c r="G52" s="22">
        <f>+SUMSQ($E$14:E52)/(A52-12)</f>
        <v>70553505.734586298</v>
      </c>
      <c r="H52" s="22">
        <f>+SUM($F$14:F52)/(A52-12)</f>
        <v>6837.83295971795</v>
      </c>
      <c r="I52" s="124">
        <f t="shared" si="4"/>
        <v>24.443704425001204</v>
      </c>
      <c r="J52" s="124">
        <f>+AVERAGE($I$14:I52)</f>
        <v>20.333352600714768</v>
      </c>
      <c r="K52" s="125">
        <f>+SUM($E$14:E52)/H52</f>
        <v>4.0434494375452603</v>
      </c>
    </row>
    <row r="53" spans="1:11" x14ac:dyDescent="0.3">
      <c r="A53" s="8">
        <f t="shared" si="2"/>
        <v>52</v>
      </c>
      <c r="B53" s="9">
        <f>+data!B53</f>
        <v>71333.484375</v>
      </c>
      <c r="C53" s="9"/>
      <c r="D53" s="9">
        <v>52771.548300000002</v>
      </c>
      <c r="E53" s="11">
        <f t="shared" si="3"/>
        <v>-18561.936074999998</v>
      </c>
      <c r="F53" s="9">
        <f t="shared" si="1"/>
        <v>18561.936074999998</v>
      </c>
      <c r="G53" s="9">
        <f>+SUMSQ($E$14:E53)/(A53-12)</f>
        <v>77403304.862531304</v>
      </c>
      <c r="H53" s="9">
        <f>+SUM($F$14:F53)/(A53-12)</f>
        <v>7130.9355376000003</v>
      </c>
      <c r="I53" s="10">
        <f t="shared" si="4"/>
        <v>26.021350614838795</v>
      </c>
      <c r="J53" s="10">
        <f>+AVERAGE($I$14:I53)</f>
        <v>20.475552551067871</v>
      </c>
      <c r="K53" s="43">
        <f>+SUM($E$14:E53)/H53</f>
        <v>1.2742361380338822</v>
      </c>
    </row>
    <row r="54" spans="1:11" x14ac:dyDescent="0.3">
      <c r="A54" s="123">
        <f t="shared" si="2"/>
        <v>53</v>
      </c>
      <c r="B54" s="22">
        <f>+data!B54</f>
        <v>60609.496094000002</v>
      </c>
      <c r="C54" s="22"/>
      <c r="D54" s="22">
        <v>59612.125500000002</v>
      </c>
      <c r="E54" s="23">
        <f t="shared" si="3"/>
        <v>-997.37059399999998</v>
      </c>
      <c r="F54" s="22">
        <f t="shared" si="1"/>
        <v>997.37059399999998</v>
      </c>
      <c r="G54" s="22">
        <f>+SUMSQ($E$14:E54)/(A54-12)</f>
        <v>75539681.526903123</v>
      </c>
      <c r="H54" s="22">
        <f>+SUM($F$14:F54)/(A54-12)</f>
        <v>6981.3363926341463</v>
      </c>
      <c r="I54" s="124">
        <f t="shared" si="4"/>
        <v>1.6455682001598657</v>
      </c>
      <c r="J54" s="124">
        <f>+AVERAGE($I$14:I54)</f>
        <v>20.016284640070115</v>
      </c>
      <c r="K54" s="125">
        <f>+SUM($E$14:E54)/H54</f>
        <v>1.1586786126700108</v>
      </c>
    </row>
    <row r="55" spans="1:11" x14ac:dyDescent="0.3">
      <c r="A55" s="8">
        <f t="shared" si="2"/>
        <v>54</v>
      </c>
      <c r="B55" s="9">
        <f>+data!B55</f>
        <v>67489.609375</v>
      </c>
      <c r="C55" s="9"/>
      <c r="D55" s="9">
        <v>58782.258999999998</v>
      </c>
      <c r="E55" s="11">
        <f t="shared" si="3"/>
        <v>-8707.3503750000018</v>
      </c>
      <c r="F55" s="9">
        <f t="shared" si="1"/>
        <v>8707.3503750000018</v>
      </c>
      <c r="G55" s="9">
        <f>+SUMSQ($E$14:E55)/(A55-12)</f>
        <v>75546306.979905739</v>
      </c>
      <c r="H55" s="9">
        <f>+SUM($F$14:F55)/(A55-12)</f>
        <v>7022.4319636428572</v>
      </c>
      <c r="I55" s="10">
        <f t="shared" si="4"/>
        <v>12.901764368820668</v>
      </c>
      <c r="J55" s="10">
        <f>+AVERAGE($I$14:I55)</f>
        <v>19.846891300278461</v>
      </c>
      <c r="K55" s="43">
        <f>+SUM($E$14:E55)/H55</f>
        <v>-8.8035770542276542E-2</v>
      </c>
    </row>
    <row r="56" spans="1:11" x14ac:dyDescent="0.3">
      <c r="A56" s="123">
        <f t="shared" si="2"/>
        <v>55</v>
      </c>
      <c r="B56" s="22">
        <f>+data!B56</f>
        <v>62673.605469000002</v>
      </c>
      <c r="C56" s="22"/>
      <c r="D56" s="22">
        <v>61300.263800000001</v>
      </c>
      <c r="E56" s="23">
        <f t="shared" si="3"/>
        <v>-1373.3416690000013</v>
      </c>
      <c r="F56" s="22">
        <f t="shared" si="1"/>
        <v>1373.3416690000013</v>
      </c>
      <c r="G56" s="22">
        <f>+SUMSQ($E$14:E56)/(A56-12)</f>
        <v>73833278.151066348</v>
      </c>
      <c r="H56" s="22">
        <f>+SUM($F$14:F56)/(A56-12)</f>
        <v>6891.0577707441853</v>
      </c>
      <c r="I56" s="124">
        <f t="shared" si="4"/>
        <v>2.1912600347833697</v>
      </c>
      <c r="J56" s="124">
        <f>+AVERAGE($I$14:I56)</f>
        <v>19.436295224336714</v>
      </c>
      <c r="K56" s="125">
        <f>+SUM($E$14:E56)/H56</f>
        <v>-0.28900742734376139</v>
      </c>
    </row>
    <row r="57" spans="1:11" x14ac:dyDescent="0.3">
      <c r="A57" s="8">
        <f t="shared" si="2"/>
        <v>56</v>
      </c>
      <c r="B57" s="9">
        <f>+data!B57</f>
        <v>64625.839844000002</v>
      </c>
      <c r="C57" s="9"/>
      <c r="D57" s="9">
        <v>59568.673300000002</v>
      </c>
      <c r="E57" s="11">
        <f t="shared" si="3"/>
        <v>-5057.1665439999997</v>
      </c>
      <c r="F57" s="9">
        <f t="shared" si="1"/>
        <v>5057.1665439999997</v>
      </c>
      <c r="G57" s="9">
        <f>+SUMSQ($E$14:E57)/(A57-12)</f>
        <v>72736497.589763775</v>
      </c>
      <c r="H57" s="9">
        <f>+SUM($F$14:F57)/(A57-12)</f>
        <v>6849.3784246818168</v>
      </c>
      <c r="I57" s="10">
        <f t="shared" si="4"/>
        <v>7.8253010811270993</v>
      </c>
      <c r="J57" s="10">
        <f>+AVERAGE($I$14:I57)</f>
        <v>19.172408993809224</v>
      </c>
      <c r="K57" s="43">
        <f>+SUM($E$14:E57)/H57</f>
        <v>-1.0291055603819197</v>
      </c>
    </row>
    <row r="58" spans="1:11" x14ac:dyDescent="0.3">
      <c r="A58" s="123">
        <f t="shared" si="2"/>
        <v>57</v>
      </c>
      <c r="B58" s="22">
        <f>+data!B58</f>
        <v>58969.800780999998</v>
      </c>
      <c r="C58" s="22"/>
      <c r="D58" s="22">
        <v>58545.358500000002</v>
      </c>
      <c r="E58" s="23">
        <f t="shared" si="3"/>
        <v>-424.442280999996</v>
      </c>
      <c r="F58" s="22">
        <f t="shared" si="1"/>
        <v>424.442280999996</v>
      </c>
      <c r="G58" s="22">
        <f>+SUMSQ($E$14:E58)/(A58-12)</f>
        <v>71124134.337766811</v>
      </c>
      <c r="H58" s="22">
        <f>+SUM($F$14:F58)/(A58-12)</f>
        <v>6706.6020659333326</v>
      </c>
      <c r="I58" s="124">
        <f t="shared" si="4"/>
        <v>0.71976210768673787</v>
      </c>
      <c r="J58" s="124">
        <f>+AVERAGE($I$14:I58)</f>
        <v>18.762350174117611</v>
      </c>
      <c r="K58" s="125">
        <f>+SUM($E$14:E58)/H58</f>
        <v>-1.1143013450821155</v>
      </c>
    </row>
    <row r="59" spans="1:11" x14ac:dyDescent="0.3">
      <c r="A59" s="8">
        <v>58</v>
      </c>
      <c r="B59" s="9"/>
      <c r="C59" s="9"/>
      <c r="D59" s="9"/>
      <c r="E59" s="11"/>
      <c r="F59" s="9"/>
      <c r="G59" s="9"/>
      <c r="H59" s="9"/>
      <c r="I59" s="10"/>
      <c r="J59" s="10"/>
      <c r="K59" s="43"/>
    </row>
    <row r="61" spans="1:11" x14ac:dyDescent="0.3">
      <c r="H61" s="4">
        <f>+H58*1.25</f>
        <v>8383.252582416666</v>
      </c>
    </row>
  </sheetData>
  <conditionalFormatting sqref="K2:K59">
    <cfRule type="dataBar" priority="1">
      <dataBar>
        <cfvo type="min"/>
        <cfvo type="max"/>
        <color rgb="FF008AEF"/>
      </dataBar>
      <extLst>
        <ext xmlns:x14="http://schemas.microsoft.com/office/spreadsheetml/2009/9/main" uri="{B025F937-C7B1-47D3-B67F-A62EFF666E3E}">
          <x14:id>{8E615198-BC03-4FAA-A7CC-F02B2680A609}</x14:id>
        </ext>
      </extLst>
    </cfRule>
  </conditionalFormatting>
  <conditionalFormatting sqref="K5:K58">
    <cfRule type="dataBar" priority="2">
      <dataBar>
        <cfvo type="min"/>
        <cfvo type="max"/>
        <color rgb="FF008AEF"/>
      </dataBar>
      <extLst>
        <ext xmlns:x14="http://schemas.microsoft.com/office/spreadsheetml/2009/9/main" uri="{B025F937-C7B1-47D3-B67F-A62EFF666E3E}">
          <x14:id>{108DE8D2-DA19-4E8F-A658-F65D309F3377}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E615198-BC03-4FAA-A7CC-F02B2680A609}">
            <x14:dataBar minLength="0" maxLength="100" border="1" negativeBarBorderColorSameAsPositive="0">
              <x14:cfvo type="autoMin"/>
              <x14:cfvo type="autoMax"/>
              <x14:borderColor rgb="FF008AEF"/>
              <x14:negativeFillColor rgb="FFFF0000"/>
              <x14:negativeBorderColor rgb="FFFF0000"/>
              <x14:axisColor rgb="FF000000"/>
            </x14:dataBar>
          </x14:cfRule>
          <xm:sqref>K2:K59</xm:sqref>
        </x14:conditionalFormatting>
        <x14:conditionalFormatting xmlns:xm="http://schemas.microsoft.com/office/excel/2006/main">
          <x14:cfRule type="dataBar" id="{108DE8D2-DA19-4E8F-A658-F65D309F3377}">
            <x14:dataBar minLength="0" maxLength="100" border="1" negativeBarBorderColorSameAsPositive="0">
              <x14:cfvo type="autoMin"/>
              <x14:cfvo type="autoMax"/>
              <x14:borderColor rgb="FF008AEF"/>
              <x14:negativeFillColor rgb="FFFF0000"/>
              <x14:negativeBorderColor rgb="FFFF0000"/>
              <x14:axisColor rgb="FF000000"/>
            </x14:dataBar>
          </x14:cfRule>
          <xm:sqref>K5:K58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B054B-E2C2-479C-9A57-98F5363A53A1}">
  <sheetPr>
    <tabColor theme="4" tint="-0.499984740745262"/>
  </sheetPr>
  <dimension ref="A1:O61"/>
  <sheetViews>
    <sheetView zoomScale="70" zoomScaleNormal="70" workbookViewId="0">
      <pane ySplit="1" topLeftCell="A13" activePane="bottomLeft" state="frozen"/>
      <selection activeCell="N50" sqref="N50"/>
      <selection pane="bottomLeft" activeCell="N50" sqref="N50"/>
    </sheetView>
  </sheetViews>
  <sheetFormatPr baseColWidth="10" defaultColWidth="9.109375" defaultRowHeight="14.4" x14ac:dyDescent="0.3"/>
  <cols>
    <col min="1" max="1" width="9.109375" style="4"/>
    <col min="2" max="2" width="16" style="4" bestFit="1" customWidth="1"/>
    <col min="3" max="3" width="15.88671875" style="4" customWidth="1"/>
    <col min="4" max="5" width="16.5546875" style="4" bestFit="1" customWidth="1"/>
    <col min="6" max="6" width="14.88671875" style="4" bestFit="1" customWidth="1"/>
    <col min="7" max="7" width="25.44140625" style="4" customWidth="1"/>
    <col min="8" max="8" width="16.109375" style="4" bestFit="1" customWidth="1"/>
    <col min="9" max="9" width="9.44140625" style="4" bestFit="1" customWidth="1"/>
    <col min="10" max="10" width="9.21875" style="4" bestFit="1" customWidth="1"/>
    <col min="11" max="11" width="11.44140625" style="4" customWidth="1"/>
    <col min="12" max="13" width="9.109375" style="4"/>
    <col min="14" max="14" width="14.88671875" style="4" bestFit="1" customWidth="1"/>
    <col min="15" max="15" width="16.21875" style="4" customWidth="1"/>
    <col min="16" max="16" width="14.88671875" style="4" bestFit="1" customWidth="1"/>
    <col min="17" max="17" width="17.5546875" style="4" bestFit="1" customWidth="1"/>
    <col min="18" max="18" width="29.44140625" style="4" bestFit="1" customWidth="1"/>
    <col min="19" max="21" width="9.109375" style="4"/>
    <col min="22" max="22" width="14.88671875" style="4" bestFit="1" customWidth="1"/>
    <col min="23" max="16384" width="9.109375" style="4"/>
  </cols>
  <sheetData>
    <row r="1" spans="1:15" x14ac:dyDescent="0.3">
      <c r="A1" s="3" t="s">
        <v>7</v>
      </c>
      <c r="B1" s="3" t="s">
        <v>8</v>
      </c>
      <c r="C1" s="3" t="s">
        <v>9</v>
      </c>
      <c r="D1" s="3" t="s">
        <v>10</v>
      </c>
      <c r="E1" s="3" t="s">
        <v>11</v>
      </c>
      <c r="F1" s="3" t="s">
        <v>12</v>
      </c>
      <c r="G1" s="3" t="s">
        <v>13</v>
      </c>
      <c r="H1" s="3" t="s">
        <v>14</v>
      </c>
      <c r="I1" s="3" t="s">
        <v>15</v>
      </c>
      <c r="J1" s="3" t="s">
        <v>16</v>
      </c>
      <c r="K1" s="3" t="s">
        <v>17</v>
      </c>
    </row>
    <row r="2" spans="1:15" x14ac:dyDescent="0.3">
      <c r="A2" s="123"/>
      <c r="B2" s="22"/>
      <c r="C2" s="22"/>
      <c r="D2" s="22"/>
      <c r="E2" s="23">
        <f>+D2-B2</f>
        <v>0</v>
      </c>
      <c r="F2" s="22">
        <f>+ABS(E2)</f>
        <v>0</v>
      </c>
      <c r="G2" s="22"/>
      <c r="H2" s="22"/>
      <c r="I2" s="124"/>
      <c r="J2" s="124"/>
      <c r="K2" s="125"/>
    </row>
    <row r="3" spans="1:15" x14ac:dyDescent="0.3">
      <c r="A3" s="8"/>
      <c r="B3" s="9"/>
      <c r="C3" s="9"/>
      <c r="D3" s="9"/>
      <c r="E3" s="11">
        <f t="shared" ref="E3:E58" si="0">+D3-B3</f>
        <v>0</v>
      </c>
      <c r="F3" s="9">
        <f t="shared" ref="F3:F58" si="1">+ABS(E3)</f>
        <v>0</v>
      </c>
      <c r="G3" s="9"/>
      <c r="H3" s="9"/>
      <c r="I3" s="10"/>
      <c r="J3" s="10"/>
      <c r="K3" s="43"/>
    </row>
    <row r="4" spans="1:15" x14ac:dyDescent="0.3">
      <c r="A4" s="123"/>
      <c r="B4" s="22"/>
      <c r="C4" s="22"/>
      <c r="D4" s="22"/>
      <c r="E4" s="23">
        <f t="shared" si="0"/>
        <v>0</v>
      </c>
      <c r="F4" s="22">
        <f t="shared" si="1"/>
        <v>0</v>
      </c>
      <c r="G4" s="22"/>
      <c r="H4" s="22"/>
      <c r="I4" s="124"/>
      <c r="J4" s="124"/>
      <c r="K4" s="125"/>
      <c r="N4" s="4" t="s">
        <v>28</v>
      </c>
      <c r="O4" s="4">
        <f>+SLOPE(B2:B58,A2:A58)</f>
        <v>200.58341927812918</v>
      </c>
    </row>
    <row r="5" spans="1:15" x14ac:dyDescent="0.3">
      <c r="A5" s="8"/>
      <c r="B5" s="9"/>
      <c r="C5" s="9"/>
      <c r="D5" s="9"/>
      <c r="E5" s="11">
        <f t="shared" si="0"/>
        <v>0</v>
      </c>
      <c r="F5" s="9">
        <f t="shared" si="1"/>
        <v>0</v>
      </c>
      <c r="G5" s="9"/>
      <c r="H5" s="9"/>
      <c r="I5" s="10"/>
      <c r="J5" s="10"/>
      <c r="K5" s="43"/>
      <c r="N5" s="4" t="s">
        <v>29</v>
      </c>
      <c r="O5" s="4">
        <f>+INTERCEPT(B2:B58,A2:A58)</f>
        <v>32416.23375422103</v>
      </c>
    </row>
    <row r="6" spans="1:15" x14ac:dyDescent="0.3">
      <c r="A6" s="123"/>
      <c r="B6" s="22"/>
      <c r="C6" s="22"/>
      <c r="D6" s="22"/>
      <c r="E6" s="23">
        <f t="shared" si="0"/>
        <v>0</v>
      </c>
      <c r="F6" s="22">
        <f t="shared" si="1"/>
        <v>0</v>
      </c>
      <c r="G6" s="22"/>
      <c r="H6" s="22"/>
      <c r="I6" s="124"/>
      <c r="J6" s="124"/>
      <c r="K6" s="125"/>
      <c r="N6" s="4" t="s">
        <v>30</v>
      </c>
    </row>
    <row r="7" spans="1:15" x14ac:dyDescent="0.3">
      <c r="A7" s="8"/>
      <c r="B7" s="9"/>
      <c r="C7" s="9"/>
      <c r="D7" s="9"/>
      <c r="E7" s="11">
        <f t="shared" si="0"/>
        <v>0</v>
      </c>
      <c r="F7" s="9">
        <f t="shared" si="1"/>
        <v>0</v>
      </c>
      <c r="G7" s="9"/>
      <c r="H7" s="9"/>
      <c r="I7" s="10"/>
      <c r="J7" s="10"/>
      <c r="K7" s="43"/>
      <c r="N7" s="4" t="s">
        <v>31</v>
      </c>
    </row>
    <row r="8" spans="1:15" x14ac:dyDescent="0.3">
      <c r="A8" s="123"/>
      <c r="B8" s="22"/>
      <c r="C8" s="22"/>
      <c r="D8" s="22"/>
      <c r="E8" s="23">
        <f t="shared" si="0"/>
        <v>0</v>
      </c>
      <c r="F8" s="22">
        <f t="shared" si="1"/>
        <v>0</v>
      </c>
      <c r="G8" s="22"/>
      <c r="H8" s="22"/>
      <c r="I8" s="124"/>
      <c r="J8" s="124"/>
      <c r="K8" s="125"/>
    </row>
    <row r="9" spans="1:15" x14ac:dyDescent="0.3">
      <c r="A9" s="8"/>
      <c r="B9" s="9"/>
      <c r="C9" s="9"/>
      <c r="D9" s="9"/>
      <c r="E9" s="11">
        <f t="shared" si="0"/>
        <v>0</v>
      </c>
      <c r="F9" s="9">
        <f t="shared" si="1"/>
        <v>0</v>
      </c>
      <c r="G9" s="9"/>
      <c r="H9" s="9"/>
      <c r="I9" s="10"/>
      <c r="J9" s="10"/>
      <c r="K9" s="43"/>
    </row>
    <row r="10" spans="1:15" x14ac:dyDescent="0.3">
      <c r="A10" s="123"/>
      <c r="B10" s="22"/>
      <c r="C10" s="22"/>
      <c r="D10" s="22"/>
      <c r="E10" s="23">
        <f t="shared" si="0"/>
        <v>0</v>
      </c>
      <c r="F10" s="22">
        <f t="shared" si="1"/>
        <v>0</v>
      </c>
      <c r="G10" s="22"/>
      <c r="H10" s="22"/>
      <c r="I10" s="124"/>
      <c r="J10" s="124"/>
      <c r="K10" s="125"/>
    </row>
    <row r="11" spans="1:15" x14ac:dyDescent="0.3">
      <c r="A11" s="8"/>
      <c r="B11" s="9"/>
      <c r="C11" s="9"/>
      <c r="D11" s="9"/>
      <c r="E11" s="11">
        <f t="shared" si="0"/>
        <v>0</v>
      </c>
      <c r="F11" s="9">
        <f t="shared" si="1"/>
        <v>0</v>
      </c>
      <c r="G11" s="9"/>
      <c r="H11" s="9"/>
      <c r="I11" s="10"/>
      <c r="J11" s="10"/>
      <c r="K11" s="43"/>
    </row>
    <row r="12" spans="1:15" x14ac:dyDescent="0.3">
      <c r="A12" s="123"/>
      <c r="B12" s="22"/>
      <c r="C12" s="22"/>
      <c r="D12" s="22"/>
      <c r="E12" s="23">
        <f t="shared" si="0"/>
        <v>0</v>
      </c>
      <c r="F12" s="22">
        <f t="shared" si="1"/>
        <v>0</v>
      </c>
      <c r="G12" s="22"/>
      <c r="H12" s="22"/>
      <c r="I12" s="124"/>
      <c r="J12" s="124"/>
      <c r="K12" s="125"/>
    </row>
    <row r="13" spans="1:15" x14ac:dyDescent="0.3">
      <c r="A13" s="8"/>
      <c r="B13" s="9"/>
      <c r="C13" s="9"/>
      <c r="D13" s="9"/>
      <c r="E13" s="11">
        <f t="shared" si="0"/>
        <v>0</v>
      </c>
      <c r="F13" s="9">
        <f t="shared" si="1"/>
        <v>0</v>
      </c>
      <c r="G13" s="9"/>
      <c r="H13" s="9"/>
      <c r="I13" s="10"/>
      <c r="J13" s="10"/>
      <c r="K13" s="43"/>
    </row>
    <row r="14" spans="1:15" x14ac:dyDescent="0.3">
      <c r="A14" s="123">
        <v>13</v>
      </c>
      <c r="B14" s="22">
        <f>+data!B14</f>
        <v>28994.009765999999</v>
      </c>
      <c r="C14" s="22"/>
      <c r="D14" s="22">
        <v>31757.1626</v>
      </c>
      <c r="E14" s="23">
        <f>+D14-B14</f>
        <v>2763.1528340000004</v>
      </c>
      <c r="F14" s="22">
        <f>+ABS(E14)</f>
        <v>2763.1528340000004</v>
      </c>
      <c r="G14" s="22">
        <f>+SUMSQ($E$14:E14)/(A14-12)</f>
        <v>7635013.5840422343</v>
      </c>
      <c r="H14" s="22">
        <f>+SUM($F$14:F14)/(A14-12)</f>
        <v>2763.1528340000004</v>
      </c>
      <c r="I14" s="124">
        <f>+(F14/B14)*100</f>
        <v>9.5300817524046924</v>
      </c>
      <c r="J14" s="124">
        <f>+AVERAGE($I$14:I14)</f>
        <v>9.5300817524046924</v>
      </c>
      <c r="K14" s="125">
        <f>+SUM($E$14:E14)/H14</f>
        <v>1</v>
      </c>
    </row>
    <row r="15" spans="1:15" x14ac:dyDescent="0.3">
      <c r="A15" s="8">
        <f t="shared" ref="A15:A58" si="2">+A14+1</f>
        <v>14</v>
      </c>
      <c r="B15" s="9">
        <f>+data!B15</f>
        <v>33114.578125</v>
      </c>
      <c r="C15" s="9"/>
      <c r="D15" s="9">
        <v>35429.974600000001</v>
      </c>
      <c r="E15" s="11">
        <f t="shared" ref="E15:E58" si="3">+D15-B15</f>
        <v>2315.3964750000014</v>
      </c>
      <c r="F15" s="9">
        <f>+ABS(E15)</f>
        <v>2315.3964750000014</v>
      </c>
      <c r="G15" s="9">
        <f>+SUMSQ($E$14:E15)/(A15-12)</f>
        <v>6498037.2102423329</v>
      </c>
      <c r="H15" s="9">
        <f>+SUM($F$14:F15)/(A15-12)</f>
        <v>2539.2746545000009</v>
      </c>
      <c r="I15" s="10">
        <f t="shared" ref="I15:I58" si="4">+(F15/B15)*100</f>
        <v>6.9920760163693059</v>
      </c>
      <c r="J15" s="10">
        <f>+AVERAGE($I$14:I15)</f>
        <v>8.2610788843869987</v>
      </c>
      <c r="K15" s="43">
        <f>+SUM($E$14:E15)/H15</f>
        <v>2</v>
      </c>
    </row>
    <row r="16" spans="1:15" x14ac:dyDescent="0.3">
      <c r="A16" s="123">
        <f t="shared" si="2"/>
        <v>15</v>
      </c>
      <c r="B16" s="22">
        <f>+data!B16</f>
        <v>45159.503905999998</v>
      </c>
      <c r="C16" s="22"/>
      <c r="D16" s="22">
        <v>45828.6613</v>
      </c>
      <c r="E16" s="23">
        <f t="shared" si="3"/>
        <v>669.15739400000166</v>
      </c>
      <c r="F16" s="22">
        <f>+ABS(E16)</f>
        <v>669.15739400000166</v>
      </c>
      <c r="G16" s="22">
        <f>+SUMSQ($E$14:E16)/(A16-12)</f>
        <v>4481282.0128098466</v>
      </c>
      <c r="H16" s="22">
        <f>+SUM($F$14:F16)/(A16-12)</f>
        <v>1915.9022343333345</v>
      </c>
      <c r="I16" s="124">
        <f t="shared" si="4"/>
        <v>1.4817642713543977</v>
      </c>
      <c r="J16" s="124">
        <f>+AVERAGE($I$14:I16)</f>
        <v>6.0013073467094644</v>
      </c>
      <c r="K16" s="125">
        <f>+SUM($E$14:E16)/H16</f>
        <v>3</v>
      </c>
    </row>
    <row r="17" spans="1:11" x14ac:dyDescent="0.3">
      <c r="A17" s="8">
        <f t="shared" si="2"/>
        <v>16</v>
      </c>
      <c r="B17" s="9">
        <f>+data!B17</f>
        <v>58926.5625</v>
      </c>
      <c r="C17" s="9"/>
      <c r="D17" s="9">
        <v>62974.841500000002</v>
      </c>
      <c r="E17" s="11">
        <f t="shared" si="3"/>
        <v>4048.2790000000023</v>
      </c>
      <c r="F17" s="9">
        <f>+ABS(E17)</f>
        <v>4048.2790000000023</v>
      </c>
      <c r="G17" s="9">
        <f>+SUMSQ($E$14:E17)/(A17-12)</f>
        <v>7458102.2250676397</v>
      </c>
      <c r="H17" s="9">
        <f>+SUM($F$14:F17)/(A17-12)</f>
        <v>2448.9964257500014</v>
      </c>
      <c r="I17" s="10">
        <f t="shared" si="4"/>
        <v>6.870040993821763</v>
      </c>
      <c r="J17" s="10">
        <f>+AVERAGE($I$14:I17)</f>
        <v>6.2184907584875395</v>
      </c>
      <c r="K17" s="43">
        <f>+SUM($E$14:E17)/H17</f>
        <v>4</v>
      </c>
    </row>
    <row r="18" spans="1:11" x14ac:dyDescent="0.3">
      <c r="A18" s="123">
        <f t="shared" si="2"/>
        <v>17</v>
      </c>
      <c r="B18" s="22">
        <f>+data!B18</f>
        <v>57714.664062999997</v>
      </c>
      <c r="C18" s="22"/>
      <c r="D18" s="22">
        <v>57984.705999999998</v>
      </c>
      <c r="E18" s="23">
        <f t="shared" si="3"/>
        <v>270.04193700000178</v>
      </c>
      <c r="F18" s="22">
        <f>+ABS(E18)</f>
        <v>270.04193700000178</v>
      </c>
      <c r="G18" s="22">
        <f>+SUMSQ($E$14:E18)/(A18-12)</f>
        <v>5981066.3096018545</v>
      </c>
      <c r="H18" s="22">
        <f>+SUM($F$14:F18)/(A18-12)</f>
        <v>2013.2055280000016</v>
      </c>
      <c r="I18" s="124">
        <f t="shared" si="4"/>
        <v>0.46789137801309943</v>
      </c>
      <c r="J18" s="124">
        <f>+AVERAGE($I$14:I18)</f>
        <v>5.0683708823926512</v>
      </c>
      <c r="K18" s="125">
        <f>+SUM($E$14:E18)/H18</f>
        <v>5</v>
      </c>
    </row>
    <row r="19" spans="1:11" x14ac:dyDescent="0.3">
      <c r="A19" s="8">
        <f t="shared" si="2"/>
        <v>18</v>
      </c>
      <c r="B19" s="9">
        <f>+data!B19</f>
        <v>37293.792969000002</v>
      </c>
      <c r="C19" s="9"/>
      <c r="D19" s="9">
        <v>37475.159099999997</v>
      </c>
      <c r="E19" s="11">
        <f t="shared" si="3"/>
        <v>181.36613099999522</v>
      </c>
      <c r="F19" s="9">
        <f t="shared" si="1"/>
        <v>181.36613099999522</v>
      </c>
      <c r="G19" s="9">
        <f>+SUMSQ($E$14:E19)/(A19-12)</f>
        <v>4989704.2035805294</v>
      </c>
      <c r="H19" s="9">
        <f>+SUM($F$14:F19)/(A19-12)</f>
        <v>1707.8989618333337</v>
      </c>
      <c r="I19" s="10">
        <f t="shared" si="4"/>
        <v>0.48631720337685563</v>
      </c>
      <c r="J19" s="10">
        <f>+AVERAGE($I$14:I19)</f>
        <v>4.3046952692233527</v>
      </c>
      <c r="K19" s="43">
        <f>+SUM($E$14:E19)/H19</f>
        <v>6</v>
      </c>
    </row>
    <row r="20" spans="1:11" x14ac:dyDescent="0.3">
      <c r="A20" s="123">
        <f t="shared" si="2"/>
        <v>19</v>
      </c>
      <c r="B20" s="22">
        <f>+data!B20</f>
        <v>35035.984375</v>
      </c>
      <c r="C20" s="22"/>
      <c r="D20" s="22">
        <v>34322.966699999997</v>
      </c>
      <c r="E20" s="23">
        <f t="shared" si="3"/>
        <v>-713.01767500000278</v>
      </c>
      <c r="F20" s="22">
        <f t="shared" si="1"/>
        <v>713.01767500000278</v>
      </c>
      <c r="G20" s="22">
        <f>+SUMSQ($E$14:E20)/(A20-12)</f>
        <v>4349517.0609065127</v>
      </c>
      <c r="H20" s="22">
        <f>+SUM($F$14:F20)/(A20-12)</f>
        <v>1565.7730637142865</v>
      </c>
      <c r="I20" s="124">
        <f t="shared" si="4"/>
        <v>2.0351010189078007</v>
      </c>
      <c r="J20" s="124">
        <f>+AVERAGE($I$14:I20)</f>
        <v>3.9804675191782732</v>
      </c>
      <c r="K20" s="125">
        <f>+SUM($E$14:E20)/H20</f>
        <v>6.0892451894547213</v>
      </c>
    </row>
    <row r="21" spans="1:11" x14ac:dyDescent="0.3">
      <c r="A21" s="8">
        <f t="shared" si="2"/>
        <v>20</v>
      </c>
      <c r="B21" s="9">
        <f>+data!B21</f>
        <v>41460.84375</v>
      </c>
      <c r="C21" s="9"/>
      <c r="D21" s="9">
        <v>40802.079100000003</v>
      </c>
      <c r="E21" s="11">
        <f t="shared" si="3"/>
        <v>-658.76464999999735</v>
      </c>
      <c r="F21" s="9">
        <f t="shared" si="1"/>
        <v>658.76464999999735</v>
      </c>
      <c r="G21" s="9">
        <f>+SUMSQ($E$14:E21)/(A21-12)</f>
        <v>3860073.7863044008</v>
      </c>
      <c r="H21" s="9">
        <f>+SUM($F$14:F21)/(A21-12)</f>
        <v>1452.3970120000004</v>
      </c>
      <c r="I21" s="10">
        <f t="shared" si="4"/>
        <v>1.588883848993057</v>
      </c>
      <c r="J21" s="10">
        <f>+AVERAGE($I$14:I21)</f>
        <v>3.6815195604051212</v>
      </c>
      <c r="K21" s="43">
        <f>+SUM($E$14:E21)/H21</f>
        <v>6.1110091611783073</v>
      </c>
    </row>
    <row r="22" spans="1:11" x14ac:dyDescent="0.3">
      <c r="A22" s="123">
        <f t="shared" si="2"/>
        <v>21</v>
      </c>
      <c r="B22" s="22">
        <f>+data!B22</f>
        <v>47099.773437999997</v>
      </c>
      <c r="C22" s="22"/>
      <c r="D22" s="22">
        <v>49950.641199999998</v>
      </c>
      <c r="E22" s="23">
        <f t="shared" si="3"/>
        <v>2850.8677620000017</v>
      </c>
      <c r="F22" s="22">
        <f t="shared" si="1"/>
        <v>2850.8677620000017</v>
      </c>
      <c r="G22" s="22">
        <f>+SUMSQ($E$14:E22)/(A22-12)</f>
        <v>4334226.3652051222</v>
      </c>
      <c r="H22" s="22">
        <f>+SUM($F$14:F22)/(A22-12)</f>
        <v>1607.7826508888893</v>
      </c>
      <c r="I22" s="124">
        <f t="shared" si="4"/>
        <v>6.0528269116894045</v>
      </c>
      <c r="J22" s="124">
        <f>+AVERAGE($I$14:I22)</f>
        <v>3.9449981549922644</v>
      </c>
      <c r="K22" s="125">
        <f>+SUM($E$14:E22)/H22</f>
        <v>7.2935724250518721</v>
      </c>
    </row>
    <row r="23" spans="1:11" x14ac:dyDescent="0.3">
      <c r="A23" s="8">
        <f t="shared" si="2"/>
        <v>22</v>
      </c>
      <c r="B23" s="9">
        <f>+data!B23</f>
        <v>43816.742187999997</v>
      </c>
      <c r="C23" s="9"/>
      <c r="D23" s="9">
        <v>46516.212099999997</v>
      </c>
      <c r="E23" s="11">
        <f t="shared" si="3"/>
        <v>2699.4699120000005</v>
      </c>
      <c r="F23" s="9">
        <f t="shared" si="1"/>
        <v>2699.4699120000005</v>
      </c>
      <c r="G23" s="9">
        <f>+SUMSQ($E$14:E23)/(A23-12)</f>
        <v>4629517.5092639392</v>
      </c>
      <c r="H23" s="9">
        <f>+SUM($F$14:F23)/(A23-12)</f>
        <v>1716.9513770000005</v>
      </c>
      <c r="I23" s="10">
        <f t="shared" si="4"/>
        <v>6.16081839315589</v>
      </c>
      <c r="J23" s="10">
        <f>+AVERAGE($I$14:I23)</f>
        <v>4.1665801788086272</v>
      </c>
      <c r="K23" s="43">
        <f>+SUM($E$14:E23)/H23</f>
        <v>8.4020720174418777</v>
      </c>
    </row>
    <row r="24" spans="1:11" x14ac:dyDescent="0.3">
      <c r="A24" s="123">
        <f t="shared" si="2"/>
        <v>23</v>
      </c>
      <c r="B24" s="22">
        <f>+data!B24</f>
        <v>61320.449219000002</v>
      </c>
      <c r="C24" s="22"/>
      <c r="D24" s="22">
        <v>62883.018100000001</v>
      </c>
      <c r="E24" s="23">
        <f t="shared" si="3"/>
        <v>1562.5688809999992</v>
      </c>
      <c r="F24" s="22">
        <f t="shared" si="1"/>
        <v>1562.5688809999992</v>
      </c>
      <c r="G24" s="22">
        <f>+SUMSQ($E$14:E24)/(A24-12)</f>
        <v>4430617.8727735439</v>
      </c>
      <c r="H24" s="22">
        <f>+SUM($F$14:F24)/(A24-12)</f>
        <v>1702.9166046363641</v>
      </c>
      <c r="I24" s="124">
        <f t="shared" si="4"/>
        <v>2.5482019471505124</v>
      </c>
      <c r="J24" s="124">
        <f>+AVERAGE($I$14:I24)</f>
        <v>4.019454885021525</v>
      </c>
      <c r="K24" s="125">
        <f>+SUM($E$14:E24)/H24</f>
        <v>9.388902520223029</v>
      </c>
    </row>
    <row r="25" spans="1:11" x14ac:dyDescent="0.3">
      <c r="A25" s="8">
        <f t="shared" si="2"/>
        <v>24</v>
      </c>
      <c r="B25" s="9">
        <f>+data!B25</f>
        <v>56907.964844000002</v>
      </c>
      <c r="C25" s="9"/>
      <c r="D25" s="9">
        <v>57509.777699999999</v>
      </c>
      <c r="E25" s="11">
        <f t="shared" si="3"/>
        <v>601.81285599999683</v>
      </c>
      <c r="F25" s="9">
        <f t="shared" si="1"/>
        <v>601.81285599999683</v>
      </c>
      <c r="G25" s="9">
        <f>+SUMSQ($E$14:E25)/(A25-12)</f>
        <v>4091581.2761796545</v>
      </c>
      <c r="H25" s="9">
        <f>+SUM($F$14:F25)/(A25-12)</f>
        <v>1611.1579589166668</v>
      </c>
      <c r="I25" s="10">
        <f t="shared" si="4"/>
        <v>1.0575195539846265</v>
      </c>
      <c r="J25" s="10">
        <f>+AVERAGE($I$14:I25)</f>
        <v>3.7726269407684505</v>
      </c>
      <c r="K25" s="43">
        <f>+SUM($E$14:E25)/H25</f>
        <v>10.297147318910458</v>
      </c>
    </row>
    <row r="26" spans="1:11" x14ac:dyDescent="0.3">
      <c r="A26" s="123">
        <f t="shared" si="2"/>
        <v>25</v>
      </c>
      <c r="B26" s="22">
        <f>+data!B26</f>
        <v>46311.746094000002</v>
      </c>
      <c r="C26" s="22"/>
      <c r="D26" s="22">
        <v>47544.785900000003</v>
      </c>
      <c r="E26" s="23">
        <f t="shared" si="3"/>
        <v>1233.0398060000007</v>
      </c>
      <c r="F26" s="22">
        <f t="shared" si="1"/>
        <v>1233.0398060000007</v>
      </c>
      <c r="G26" s="22">
        <f>+SUMSQ($E$14:E26)/(A26-12)</f>
        <v>3893797.1136412597</v>
      </c>
      <c r="H26" s="22">
        <f>+SUM($F$14:F26)/(A26-12)</f>
        <v>1582.0719471538464</v>
      </c>
      <c r="I26" s="124">
        <f t="shared" si="4"/>
        <v>2.6624774706124699</v>
      </c>
      <c r="J26" s="124">
        <f>+AVERAGE($I$14:I26)</f>
        <v>3.6872308276795289</v>
      </c>
      <c r="K26" s="125">
        <f>+SUM($E$14:E26)/H26</f>
        <v>11.265840782439961</v>
      </c>
    </row>
    <row r="27" spans="1:11" x14ac:dyDescent="0.3">
      <c r="A27" s="8">
        <f t="shared" si="2"/>
        <v>26</v>
      </c>
      <c r="B27" s="9">
        <f>+data!B27</f>
        <v>38481.765625</v>
      </c>
      <c r="C27" s="9"/>
      <c r="D27" s="9">
        <v>40873.347399999999</v>
      </c>
      <c r="E27" s="11">
        <f t="shared" si="3"/>
        <v>2391.5817749999987</v>
      </c>
      <c r="F27" s="9">
        <f t="shared" si="1"/>
        <v>2391.5817749999987</v>
      </c>
      <c r="G27" s="9">
        <f>+SUMSQ($E$14:E27)/(A27-12)</f>
        <v>4024216.1331320372</v>
      </c>
      <c r="H27" s="9">
        <f>+SUM($F$14:F27)/(A27-12)</f>
        <v>1639.8940777142857</v>
      </c>
      <c r="I27" s="10">
        <f t="shared" si="4"/>
        <v>6.214844189597911</v>
      </c>
      <c r="J27" s="10">
        <f>+AVERAGE($I$14:I27)</f>
        <v>3.8677746392451278</v>
      </c>
      <c r="K27" s="43">
        <f>+SUM($E$14:E27)/H27</f>
        <v>12.326986671100105</v>
      </c>
    </row>
    <row r="28" spans="1:11" x14ac:dyDescent="0.3">
      <c r="A28" s="123">
        <f t="shared" si="2"/>
        <v>27</v>
      </c>
      <c r="B28" s="22">
        <f>+data!B28</f>
        <v>43194.503905999998</v>
      </c>
      <c r="C28" s="22"/>
      <c r="D28" s="22">
        <v>44429.870499999997</v>
      </c>
      <c r="E28" s="23">
        <f t="shared" si="3"/>
        <v>1235.3665939999992</v>
      </c>
      <c r="F28" s="22">
        <f t="shared" si="1"/>
        <v>1235.3665939999992</v>
      </c>
      <c r="G28" s="22">
        <f>+SUMSQ($E$14:E28)/(A28-12)</f>
        <v>3857677.0990279787</v>
      </c>
      <c r="H28" s="22">
        <f>+SUM($F$14:F28)/(A28-12)</f>
        <v>1612.9255788</v>
      </c>
      <c r="I28" s="124">
        <f t="shared" si="4"/>
        <v>2.8600087564112497</v>
      </c>
      <c r="J28" s="124">
        <f>+AVERAGE($I$14:I28)</f>
        <v>3.8005902470562023</v>
      </c>
      <c r="K28" s="125">
        <f>+SUM($E$14:E28)/H28</f>
        <v>13.29901349072709</v>
      </c>
    </row>
    <row r="29" spans="1:11" x14ac:dyDescent="0.3">
      <c r="A29" s="8">
        <f t="shared" si="2"/>
        <v>28</v>
      </c>
      <c r="B29" s="9">
        <f>+data!B29</f>
        <v>45554.164062999997</v>
      </c>
      <c r="C29" s="9"/>
      <c r="D29" s="9">
        <v>49174.526899999997</v>
      </c>
      <c r="E29" s="11">
        <f t="shared" si="3"/>
        <v>3620.3628370000006</v>
      </c>
      <c r="F29" s="9">
        <f t="shared" si="1"/>
        <v>3620.3628370000006</v>
      </c>
      <c r="G29" s="9">
        <f>+SUMSQ($E$14:E29)/(A29-12)</f>
        <v>4435761.4723093985</v>
      </c>
      <c r="H29" s="9">
        <f>+SUM($F$14:F29)/(A29-12)</f>
        <v>1738.3904074375</v>
      </c>
      <c r="I29" s="10">
        <f t="shared" si="4"/>
        <v>7.9473806872916182</v>
      </c>
      <c r="J29" s="10">
        <f>+AVERAGE($I$14:I29)</f>
        <v>4.0597646495709157</v>
      </c>
      <c r="K29" s="43">
        <f>+SUM($E$14:E29)/H29</f>
        <v>14.421778768300848</v>
      </c>
    </row>
    <row r="30" spans="1:11" x14ac:dyDescent="0.3">
      <c r="A30" s="123">
        <f t="shared" si="2"/>
        <v>29</v>
      </c>
      <c r="B30" s="22">
        <f>+data!B30</f>
        <v>37713.265625</v>
      </c>
      <c r="C30" s="22"/>
      <c r="D30" s="22">
        <v>38376.272400000002</v>
      </c>
      <c r="E30" s="23">
        <f t="shared" si="3"/>
        <v>663.00677500000165</v>
      </c>
      <c r="F30" s="22">
        <f t="shared" si="1"/>
        <v>663.00677500000165</v>
      </c>
      <c r="G30" s="22">
        <f>+SUMSQ($E$14:E30)/(A30-12)</f>
        <v>4200691.8553321343</v>
      </c>
      <c r="H30" s="22">
        <f>+SUM($F$14:F30)/(A30-12)</f>
        <v>1675.1325467058825</v>
      </c>
      <c r="I30" s="124">
        <f t="shared" si="4"/>
        <v>1.7580200600833058</v>
      </c>
      <c r="J30" s="124">
        <f>+AVERAGE($I$14:I30)</f>
        <v>3.9243679090128212</v>
      </c>
      <c r="K30" s="125">
        <f>+SUM($E$14:E30)/H30</f>
        <v>15.36218055974426</v>
      </c>
    </row>
    <row r="31" spans="1:11" x14ac:dyDescent="0.3">
      <c r="A31" s="8">
        <f t="shared" si="2"/>
        <v>30</v>
      </c>
      <c r="B31" s="9">
        <f>+data!B31</f>
        <v>31792.554688</v>
      </c>
      <c r="C31" s="9"/>
      <c r="D31" s="9">
        <v>30966.782800000001</v>
      </c>
      <c r="E31" s="11">
        <f t="shared" si="3"/>
        <v>-825.77188799999931</v>
      </c>
      <c r="F31" s="9">
        <f t="shared" si="1"/>
        <v>825.77188799999931</v>
      </c>
      <c r="G31" s="9">
        <f>+SUMSQ($E$14:E31)/(A31-12)</f>
        <v>4005203.3750920761</v>
      </c>
      <c r="H31" s="9">
        <f>+SUM($F$14:F31)/(A31-12)</f>
        <v>1627.9458434444446</v>
      </c>
      <c r="I31" s="10">
        <f t="shared" si="4"/>
        <v>2.5973750650232716</v>
      </c>
      <c r="J31" s="10">
        <f>+AVERAGE($I$14:I31)</f>
        <v>3.8506460843467352</v>
      </c>
      <c r="K31" s="43">
        <f>+SUM($E$14:E31)/H31</f>
        <v>15.300212139305119</v>
      </c>
    </row>
    <row r="32" spans="1:11" x14ac:dyDescent="0.3">
      <c r="A32" s="123">
        <f t="shared" si="2"/>
        <v>31</v>
      </c>
      <c r="B32" s="22">
        <f>+data!B32</f>
        <v>19820.470702999999</v>
      </c>
      <c r="C32" s="22"/>
      <c r="D32" s="22">
        <v>21689.155299999999</v>
      </c>
      <c r="E32" s="23">
        <f t="shared" si="3"/>
        <v>1868.6845969999995</v>
      </c>
      <c r="F32" s="22">
        <f t="shared" si="1"/>
        <v>1868.6845969999995</v>
      </c>
      <c r="G32" s="22">
        <f>+SUMSQ($E$14:E32)/(A32-12)</f>
        <v>3978191.7302485486</v>
      </c>
      <c r="H32" s="22">
        <f>+SUM($F$14:F32)/(A32-12)</f>
        <v>1640.6163041578948</v>
      </c>
      <c r="I32" s="124">
        <f t="shared" si="4"/>
        <v>9.428053576533669</v>
      </c>
      <c r="J32" s="124">
        <f>+AVERAGE($I$14:I32)</f>
        <v>4.1441938470934163</v>
      </c>
      <c r="K32" s="125">
        <f>+SUM($E$14:E32)/H32</f>
        <v>16.321062569681125</v>
      </c>
    </row>
    <row r="33" spans="1:11" x14ac:dyDescent="0.3">
      <c r="A33" s="8">
        <f t="shared" si="2"/>
        <v>32</v>
      </c>
      <c r="B33" s="9">
        <f>+data!B33</f>
        <v>23336.71875</v>
      </c>
      <c r="C33" s="9"/>
      <c r="D33" s="9">
        <v>26990.408500000001</v>
      </c>
      <c r="E33" s="11">
        <f t="shared" si="3"/>
        <v>3653.6897500000014</v>
      </c>
      <c r="F33" s="9">
        <f t="shared" si="1"/>
        <v>3653.6897500000014</v>
      </c>
      <c r="G33" s="9">
        <f>+SUMSQ($E$14:E33)/(A33-12)</f>
        <v>4446754.5831988743</v>
      </c>
      <c r="H33" s="9">
        <f>+SUM($F$14:F33)/(A33-12)</f>
        <v>1741.2699764500001</v>
      </c>
      <c r="I33" s="10">
        <f t="shared" si="4"/>
        <v>15.656398781426809</v>
      </c>
      <c r="J33" s="10">
        <f>+AVERAGE($I$14:I33)</f>
        <v>4.7198040938100858</v>
      </c>
      <c r="K33" s="43">
        <f>+SUM($E$14:E33)/H33</f>
        <v>17.47591787290763</v>
      </c>
    </row>
    <row r="34" spans="1:11" x14ac:dyDescent="0.3">
      <c r="A34" s="123">
        <f t="shared" si="2"/>
        <v>33</v>
      </c>
      <c r="B34" s="22">
        <f>+data!B34</f>
        <v>20050.498047000001</v>
      </c>
      <c r="C34" s="22"/>
      <c r="D34" s="22">
        <v>21596.0612</v>
      </c>
      <c r="E34" s="23">
        <f t="shared" si="3"/>
        <v>1545.5631529999991</v>
      </c>
      <c r="F34" s="22">
        <f t="shared" si="1"/>
        <v>1545.5631529999991</v>
      </c>
      <c r="G34" s="22">
        <f>+SUMSQ($E$14:E34)/(A34-12)</f>
        <v>4348755.1011375617</v>
      </c>
      <c r="H34" s="22">
        <f>+SUM($F$14:F34)/(A34-12)</f>
        <v>1731.9506039047617</v>
      </c>
      <c r="I34" s="124">
        <f t="shared" si="4"/>
        <v>7.7083529265810409</v>
      </c>
      <c r="J34" s="124">
        <f>+AVERAGE($I$14:I34)</f>
        <v>4.8621159429896554</v>
      </c>
      <c r="K34" s="125">
        <f>+SUM($E$14:E34)/H34</f>
        <v>18.462336156648451</v>
      </c>
    </row>
    <row r="35" spans="1:11" x14ac:dyDescent="0.3">
      <c r="A35" s="8">
        <f t="shared" si="2"/>
        <v>34</v>
      </c>
      <c r="B35" s="9">
        <f>+data!B35</f>
        <v>19431.105468999998</v>
      </c>
      <c r="C35" s="9"/>
      <c r="D35" s="9">
        <v>20876.750499999998</v>
      </c>
      <c r="E35" s="11">
        <f t="shared" si="3"/>
        <v>1445.645031</v>
      </c>
      <c r="F35" s="9">
        <f t="shared" si="1"/>
        <v>1445.645031</v>
      </c>
      <c r="G35" s="9">
        <f>+SUMSQ($E$14:E35)/(A35-12)</f>
        <v>4246079.3945247168</v>
      </c>
      <c r="H35" s="9">
        <f>+SUM($F$14:F35)/(A35-12)</f>
        <v>1718.9367142272727</v>
      </c>
      <c r="I35" s="10">
        <f t="shared" si="4"/>
        <v>7.4398496436878157</v>
      </c>
      <c r="J35" s="10">
        <f>+AVERAGE($I$14:I35)</f>
        <v>4.9792856566577539</v>
      </c>
      <c r="K35" s="43">
        <f>+SUM($E$14:E35)/H35</f>
        <v>19.443123769698662</v>
      </c>
    </row>
    <row r="36" spans="1:11" x14ac:dyDescent="0.3">
      <c r="A36" s="123">
        <f t="shared" si="2"/>
        <v>35</v>
      </c>
      <c r="B36" s="22">
        <f>+data!B36</f>
        <v>20494.898438</v>
      </c>
      <c r="C36" s="22"/>
      <c r="D36" s="22">
        <v>20419.2821</v>
      </c>
      <c r="E36" s="23">
        <f t="shared" si="3"/>
        <v>-75.616337999999814</v>
      </c>
      <c r="F36" s="22">
        <f t="shared" si="1"/>
        <v>75.616337999999814</v>
      </c>
      <c r="G36" s="22">
        <f>+SUMSQ($E$14:E36)/(A36-12)</f>
        <v>4061715.8482659264</v>
      </c>
      <c r="H36" s="22">
        <f>+SUM($F$14:F36)/(A36-12)</f>
        <v>1647.4880022173911</v>
      </c>
      <c r="I36" s="124">
        <f t="shared" si="4"/>
        <v>0.36895200153711449</v>
      </c>
      <c r="J36" s="124">
        <f>+AVERAGE($I$14:I36)</f>
        <v>4.7788363673046828</v>
      </c>
      <c r="K36" s="125">
        <f>+SUM($E$14:E36)/H36</f>
        <v>20.240440539851594</v>
      </c>
    </row>
    <row r="37" spans="1:11" x14ac:dyDescent="0.3">
      <c r="A37" s="8">
        <f t="shared" si="2"/>
        <v>36</v>
      </c>
      <c r="B37" s="9">
        <f>+data!B37</f>
        <v>17168.001952999999</v>
      </c>
      <c r="C37" s="9"/>
      <c r="D37" s="9">
        <v>18162.605100000001</v>
      </c>
      <c r="E37" s="11">
        <f t="shared" si="3"/>
        <v>994.60314700000163</v>
      </c>
      <c r="F37" s="9">
        <f t="shared" si="1"/>
        <v>994.60314700000163</v>
      </c>
      <c r="G37" s="9">
        <f>+SUMSQ($E$14:E37)/(A37-12)</f>
        <v>3933695.8304224424</v>
      </c>
      <c r="H37" s="9">
        <f>+SUM($F$14:F37)/(A37-12)</f>
        <v>1620.2844665833334</v>
      </c>
      <c r="I37" s="10">
        <f t="shared" si="4"/>
        <v>5.7933541114619986</v>
      </c>
      <c r="J37" s="10">
        <f>+AVERAGE($I$14:I37)</f>
        <v>4.821107939977904</v>
      </c>
      <c r="K37" s="43">
        <f>+SUM($E$14:E37)/H37</f>
        <v>21.194109308727256</v>
      </c>
    </row>
    <row r="38" spans="1:11" x14ac:dyDescent="0.3">
      <c r="A38" s="123">
        <f t="shared" si="2"/>
        <v>37</v>
      </c>
      <c r="B38" s="22">
        <f>+data!B38</f>
        <v>16547.914063</v>
      </c>
      <c r="C38" s="22"/>
      <c r="D38" s="22">
        <v>20066.298200000001</v>
      </c>
      <c r="E38" s="23">
        <f t="shared" si="3"/>
        <v>3518.3841370000009</v>
      </c>
      <c r="F38" s="22">
        <f t="shared" si="1"/>
        <v>3518.3841370000009</v>
      </c>
      <c r="G38" s="22">
        <f>+SUMSQ($E$14:E38)/(A38-12)</f>
        <v>4271509.0746252742</v>
      </c>
      <c r="H38" s="22">
        <f>+SUM($F$14:F38)/(A38-12)</f>
        <v>1696.2084534000001</v>
      </c>
      <c r="I38" s="124">
        <f t="shared" si="4"/>
        <v>21.261798457528048</v>
      </c>
      <c r="J38" s="124">
        <f>+AVERAGE($I$14:I38)</f>
        <v>5.47873556067991</v>
      </c>
      <c r="K38" s="125">
        <f>+SUM($E$14:E38)/H38</f>
        <v>22.319703782346448</v>
      </c>
    </row>
    <row r="39" spans="1:11" x14ac:dyDescent="0.3">
      <c r="A39" s="8">
        <f t="shared" si="2"/>
        <v>38</v>
      </c>
      <c r="B39" s="9">
        <f>+data!B39</f>
        <v>23137.835938</v>
      </c>
      <c r="C39" s="9"/>
      <c r="D39" s="9">
        <v>25760.636600000002</v>
      </c>
      <c r="E39" s="11">
        <f t="shared" si="3"/>
        <v>2622.8006620000015</v>
      </c>
      <c r="F39" s="9">
        <f t="shared" si="1"/>
        <v>2622.8006620000015</v>
      </c>
      <c r="G39" s="9">
        <f>+SUMSQ($E$14:E39)/(A39-12)</f>
        <v>4371800.3914699815</v>
      </c>
      <c r="H39" s="9">
        <f>+SUM($F$14:F39)/(A39-12)</f>
        <v>1731.8466152692308</v>
      </c>
      <c r="I39" s="10">
        <f t="shared" si="4"/>
        <v>11.33554870484881</v>
      </c>
      <c r="J39" s="10">
        <f>+AVERAGE($I$14:I39)</f>
        <v>5.703997604686406</v>
      </c>
      <c r="K39" s="43">
        <f>+SUM($E$14:E39)/H39</f>
        <v>23.374859261832938</v>
      </c>
    </row>
    <row r="40" spans="1:11" x14ac:dyDescent="0.3">
      <c r="A40" s="123">
        <f t="shared" si="2"/>
        <v>39</v>
      </c>
      <c r="B40" s="22">
        <f>+data!B40</f>
        <v>23150.929688</v>
      </c>
      <c r="C40" s="22"/>
      <c r="D40" s="22">
        <v>27149.996800000001</v>
      </c>
      <c r="E40" s="23">
        <f t="shared" si="3"/>
        <v>3999.0671120000006</v>
      </c>
      <c r="F40" s="22">
        <f t="shared" si="1"/>
        <v>3999.0671120000006</v>
      </c>
      <c r="G40" s="22">
        <f>+SUMSQ($E$14:E40)/(A40-12)</f>
        <v>4802198.0720185013</v>
      </c>
      <c r="H40" s="22">
        <f>+SUM($F$14:F40)/(A40-12)</f>
        <v>1815.8177447777778</v>
      </c>
      <c r="I40" s="124">
        <f t="shared" si="4"/>
        <v>17.273894249149173</v>
      </c>
      <c r="J40" s="124">
        <f>+AVERAGE($I$14:I40)</f>
        <v>6.1325122952220639</v>
      </c>
      <c r="K40" s="125">
        <f>+SUM($E$14:E40)/H40</f>
        <v>24.496256926073613</v>
      </c>
    </row>
    <row r="41" spans="1:11" x14ac:dyDescent="0.3">
      <c r="A41" s="8">
        <f t="shared" si="2"/>
        <v>40</v>
      </c>
      <c r="B41" s="9">
        <f>+data!B41</f>
        <v>28473.332031000002</v>
      </c>
      <c r="C41" s="9"/>
      <c r="D41" s="9">
        <v>30262.448</v>
      </c>
      <c r="E41" s="11">
        <f t="shared" si="3"/>
        <v>1789.1159689999986</v>
      </c>
      <c r="F41" s="9">
        <f t="shared" si="1"/>
        <v>1789.1159689999986</v>
      </c>
      <c r="G41" s="9">
        <f>+SUMSQ($E$14:E41)/(A41-12)</f>
        <v>4745010.1391082266</v>
      </c>
      <c r="H41" s="9">
        <f>+SUM($F$14:F41)/(A41-12)</f>
        <v>1814.8641099285712</v>
      </c>
      <c r="I41" s="10">
        <f t="shared" si="4"/>
        <v>6.2834794573818051</v>
      </c>
      <c r="J41" s="10">
        <f>+AVERAGE($I$14:I41)</f>
        <v>6.1379039795849124</v>
      </c>
      <c r="K41" s="43">
        <f>+SUM($E$14:E41)/H41</f>
        <v>25.494941314267919</v>
      </c>
    </row>
    <row r="42" spans="1:11" x14ac:dyDescent="0.3">
      <c r="A42" s="123">
        <f t="shared" si="2"/>
        <v>41</v>
      </c>
      <c r="B42" s="22">
        <f>+data!B42</f>
        <v>29227.103515999999</v>
      </c>
      <c r="C42" s="22"/>
      <c r="D42" s="22">
        <v>33247.688099999999</v>
      </c>
      <c r="E42" s="23">
        <f t="shared" si="3"/>
        <v>4020.5845840000002</v>
      </c>
      <c r="F42" s="22">
        <f t="shared" si="1"/>
        <v>4020.5845840000002</v>
      </c>
      <c r="G42" s="22">
        <f>+SUMSQ($E$14:E42)/(A42-12)</f>
        <v>5138806.3549009934</v>
      </c>
      <c r="H42" s="22">
        <f>+SUM($F$14:F42)/(A42-12)</f>
        <v>1890.9234366206897</v>
      </c>
      <c r="I42" s="124">
        <f t="shared" si="4"/>
        <v>13.756356601669347</v>
      </c>
      <c r="J42" s="124">
        <f>+AVERAGE($I$14:I42)</f>
        <v>6.4006092424154106</v>
      </c>
      <c r="K42" s="125">
        <f>+SUM($E$14:E42)/H42</f>
        <v>26.595703234751348</v>
      </c>
    </row>
    <row r="43" spans="1:11" x14ac:dyDescent="0.3">
      <c r="A43" s="8">
        <f t="shared" si="2"/>
        <v>42</v>
      </c>
      <c r="B43" s="9">
        <f>+data!B43</f>
        <v>27218.412109000001</v>
      </c>
      <c r="C43" s="9"/>
      <c r="D43" s="9">
        <v>29313.309499999999</v>
      </c>
      <c r="E43" s="11">
        <f t="shared" si="3"/>
        <v>2094.8973909999986</v>
      </c>
      <c r="F43" s="9">
        <f t="shared" si="1"/>
        <v>2094.8973909999986</v>
      </c>
      <c r="G43" s="9">
        <f>+SUMSQ($E$14:E43)/(A43-12)</f>
        <v>5113799.3123649126</v>
      </c>
      <c r="H43" s="9">
        <f>+SUM($F$14:F43)/(A43-12)</f>
        <v>1897.7225684333332</v>
      </c>
      <c r="I43" s="10">
        <f t="shared" si="4"/>
        <v>7.6966186808057877</v>
      </c>
      <c r="J43" s="10">
        <f>+AVERAGE($I$14:I43)</f>
        <v>6.4438095570284224</v>
      </c>
      <c r="K43" s="43">
        <f>+SUM($E$14:E43)/H43</f>
        <v>27.604317312960436</v>
      </c>
    </row>
    <row r="44" spans="1:11" x14ac:dyDescent="0.3">
      <c r="A44" s="123">
        <f t="shared" si="2"/>
        <v>43</v>
      </c>
      <c r="B44" s="22">
        <f>+data!B44</f>
        <v>30471.847656000002</v>
      </c>
      <c r="C44" s="22"/>
      <c r="D44" s="22">
        <v>31593.9107</v>
      </c>
      <c r="E44" s="23">
        <f t="shared" si="3"/>
        <v>1122.0630439999986</v>
      </c>
      <c r="F44" s="22">
        <f t="shared" si="1"/>
        <v>1122.0630439999986</v>
      </c>
      <c r="G44" s="22">
        <f>+SUMSQ($E$14:E44)/(A44-12)</f>
        <v>4989451.7692147726</v>
      </c>
      <c r="H44" s="22">
        <f>+SUM($F$14:F44)/(A44-12)</f>
        <v>1872.7012934516129</v>
      </c>
      <c r="I44" s="124">
        <f t="shared" si="4"/>
        <v>3.6822940855674071</v>
      </c>
      <c r="J44" s="124">
        <f>+AVERAGE($I$14:I44)</f>
        <v>6.354728412787745</v>
      </c>
      <c r="K44" s="125">
        <f>+SUM($E$14:E44)/H44</f>
        <v>28.572308452021979</v>
      </c>
    </row>
    <row r="45" spans="1:11" x14ac:dyDescent="0.3">
      <c r="A45" s="8">
        <f t="shared" si="2"/>
        <v>44</v>
      </c>
      <c r="B45" s="9">
        <f>+data!B45</f>
        <v>29230.873047000001</v>
      </c>
      <c r="C45" s="9"/>
      <c r="D45" s="9">
        <v>28639.267400000001</v>
      </c>
      <c r="E45" s="11">
        <f t="shared" si="3"/>
        <v>-591.60564700000032</v>
      </c>
      <c r="F45" s="9">
        <f t="shared" si="1"/>
        <v>591.60564700000032</v>
      </c>
      <c r="G45" s="9">
        <f>+SUMSQ($E$14:E45)/(A45-12)</f>
        <v>4844468.8152256319</v>
      </c>
      <c r="H45" s="9">
        <f>+SUM($F$14:F45)/(A45-12)</f>
        <v>1832.6670545000002</v>
      </c>
      <c r="I45" s="10">
        <f t="shared" si="4"/>
        <v>2.0239068674027081</v>
      </c>
      <c r="J45" s="10">
        <f>+AVERAGE($I$14:I45)</f>
        <v>6.2193902394944622</v>
      </c>
      <c r="K45" s="43">
        <f>+SUM($E$14:E45)/H45</f>
        <v>28.873653410240863</v>
      </c>
    </row>
    <row r="46" spans="1:11" x14ac:dyDescent="0.3">
      <c r="A46" s="123">
        <f t="shared" si="2"/>
        <v>45</v>
      </c>
      <c r="B46" s="22">
        <f>+data!B46</f>
        <v>25934.021484000001</v>
      </c>
      <c r="C46" s="22"/>
      <c r="D46" s="22">
        <v>25427.356199999998</v>
      </c>
      <c r="E46" s="23">
        <f t="shared" si="3"/>
        <v>-506.66528400000243</v>
      </c>
      <c r="F46" s="22">
        <f t="shared" si="1"/>
        <v>506.66528400000243</v>
      </c>
      <c r="G46" s="22">
        <f>+SUMSQ($E$14:E46)/(A46-12)</f>
        <v>4705445.812037304</v>
      </c>
      <c r="H46" s="22">
        <f>+SUM($F$14:F46)/(A46-12)</f>
        <v>1792.485182666667</v>
      </c>
      <c r="I46" s="124">
        <f t="shared" si="4"/>
        <v>1.9536703334366776</v>
      </c>
      <c r="J46" s="124">
        <f>+AVERAGE($I$14:I46)</f>
        <v>6.0901259999169541</v>
      </c>
      <c r="K46" s="125">
        <f>+SUM($E$14:E46)/H46</f>
        <v>29.23824898012899</v>
      </c>
    </row>
    <row r="47" spans="1:11" x14ac:dyDescent="0.3">
      <c r="A47" s="8">
        <f t="shared" si="2"/>
        <v>46</v>
      </c>
      <c r="B47" s="9">
        <f>+data!B47</f>
        <v>26967.396484000001</v>
      </c>
      <c r="C47" s="9"/>
      <c r="D47" s="9">
        <v>30838.048500000001</v>
      </c>
      <c r="E47" s="11">
        <f t="shared" si="3"/>
        <v>3870.652016</v>
      </c>
      <c r="F47" s="9">
        <f t="shared" si="1"/>
        <v>3870.652016</v>
      </c>
      <c r="G47" s="9">
        <f>+SUMSQ($E$14:E47)/(A47-12)</f>
        <v>5007695.8478292907</v>
      </c>
      <c r="H47" s="9">
        <f>+SUM($F$14:F47)/(A47-12)</f>
        <v>1853.6077365882356</v>
      </c>
      <c r="I47" s="10">
        <f t="shared" si="4"/>
        <v>14.353080091719244</v>
      </c>
      <c r="J47" s="10">
        <f>+AVERAGE($I$14:I47)</f>
        <v>6.3331540614405508</v>
      </c>
      <c r="K47" s="43">
        <f>+SUM($E$14:E47)/H47</f>
        <v>30.362292392881891</v>
      </c>
    </row>
    <row r="48" spans="1:11" x14ac:dyDescent="0.3">
      <c r="A48" s="123">
        <f t="shared" si="2"/>
        <v>47</v>
      </c>
      <c r="B48" s="22">
        <f>+data!B48</f>
        <v>34657.273437999997</v>
      </c>
      <c r="C48" s="22"/>
      <c r="D48" s="22">
        <v>35639.252200000003</v>
      </c>
      <c r="E48" s="23">
        <f t="shared" si="3"/>
        <v>981.9787620000061</v>
      </c>
      <c r="F48" s="22">
        <f t="shared" si="1"/>
        <v>981.9787620000061</v>
      </c>
      <c r="G48" s="22">
        <f>+SUMSQ($E$14:E48)/(A48-12)</f>
        <v>4892169.7461489988</v>
      </c>
      <c r="H48" s="22">
        <f>+SUM($F$14:F48)/(A48-12)</f>
        <v>1828.7040516000004</v>
      </c>
      <c r="I48" s="124">
        <f t="shared" si="4"/>
        <v>2.8333987777680014</v>
      </c>
      <c r="J48" s="124">
        <f>+AVERAGE($I$14:I48)</f>
        <v>6.2331610533356212</v>
      </c>
      <c r="K48" s="125">
        <f>+SUM($E$14:E48)/H48</f>
        <v>31.312753308497125</v>
      </c>
    </row>
    <row r="49" spans="1:11" x14ac:dyDescent="0.3">
      <c r="A49" s="8">
        <f t="shared" si="2"/>
        <v>48</v>
      </c>
      <c r="B49" s="9">
        <f>+data!B49</f>
        <v>37718.007812999997</v>
      </c>
      <c r="C49" s="9"/>
      <c r="D49" s="9">
        <v>38750.736900000004</v>
      </c>
      <c r="E49" s="11">
        <f t="shared" si="3"/>
        <v>1032.729087000007</v>
      </c>
      <c r="F49" s="9">
        <f t="shared" si="1"/>
        <v>1032.729087000007</v>
      </c>
      <c r="G49" s="9">
        <f>+SUMSQ($E$14:E49)/(A49-12)</f>
        <v>4785901.9578430792</v>
      </c>
      <c r="H49" s="9">
        <f>+SUM($F$14:F49)/(A49-12)</f>
        <v>1806.5936359166672</v>
      </c>
      <c r="I49" s="10">
        <f t="shared" si="4"/>
        <v>2.7380266002385834</v>
      </c>
      <c r="J49" s="10">
        <f>+AVERAGE($I$14:I49)</f>
        <v>6.1360739851940362</v>
      </c>
      <c r="K49" s="43">
        <f>+SUM($E$14:E49)/H49</f>
        <v>32.267626083727095</v>
      </c>
    </row>
    <row r="50" spans="1:11" x14ac:dyDescent="0.3">
      <c r="A50" s="123">
        <f t="shared" si="2"/>
        <v>49</v>
      </c>
      <c r="B50" s="22">
        <f>+data!B50</f>
        <v>42280.234375</v>
      </c>
      <c r="C50" s="22"/>
      <c r="D50" s="22">
        <v>46612.900699999998</v>
      </c>
      <c r="E50" s="23">
        <f t="shared" si="3"/>
        <v>4332.6663249999983</v>
      </c>
      <c r="F50" s="22">
        <f t="shared" si="1"/>
        <v>4332.6663249999983</v>
      </c>
      <c r="G50" s="22">
        <f>+SUMSQ($E$14:E50)/(A50-12)</f>
        <v>5163904.5396254016</v>
      </c>
      <c r="H50" s="22">
        <f>+SUM($F$14:F50)/(A50-12)</f>
        <v>1874.865870756757</v>
      </c>
      <c r="I50" s="124">
        <f t="shared" si="4"/>
        <v>10.24749836193404</v>
      </c>
      <c r="J50" s="124">
        <f>+AVERAGE($I$14:I50)</f>
        <v>6.2471935629437665</v>
      </c>
      <c r="K50" s="125">
        <f>+SUM($E$14:E50)/H50</f>
        <v>33.403538477513408</v>
      </c>
    </row>
    <row r="51" spans="1:11" x14ac:dyDescent="0.3">
      <c r="A51" s="8">
        <f t="shared" si="2"/>
        <v>50</v>
      </c>
      <c r="B51" s="9">
        <f>+data!B51</f>
        <v>42569.761719000002</v>
      </c>
      <c r="C51" s="9"/>
      <c r="D51" s="9">
        <v>45895.2238</v>
      </c>
      <c r="E51" s="11">
        <f t="shared" si="3"/>
        <v>3325.4620809999979</v>
      </c>
      <c r="F51" s="9">
        <f t="shared" si="1"/>
        <v>3325.4620809999979</v>
      </c>
      <c r="G51" s="9">
        <f>+SUMSQ($E$14:E51)/(A51-12)</f>
        <v>5319030.6846923344</v>
      </c>
      <c r="H51" s="9">
        <f>+SUM($F$14:F51)/(A51-12)</f>
        <v>1913.0394552368425</v>
      </c>
      <c r="I51" s="10">
        <f t="shared" si="4"/>
        <v>7.8117939746788778</v>
      </c>
      <c r="J51" s="10">
        <f>+AVERAGE($I$14:I51)</f>
        <v>6.2883672579894272</v>
      </c>
      <c r="K51" s="43">
        <f>+SUM($E$14:E51)/H51</f>
        <v>34.475303765668961</v>
      </c>
    </row>
    <row r="52" spans="1:11" x14ac:dyDescent="0.3">
      <c r="A52" s="123">
        <f t="shared" si="2"/>
        <v>51</v>
      </c>
      <c r="B52" s="22">
        <f>+data!B52</f>
        <v>61168.0625</v>
      </c>
      <c r="C52" s="22"/>
      <c r="D52" s="22">
        <v>61984.862699999998</v>
      </c>
      <c r="E52" s="23">
        <f t="shared" si="3"/>
        <v>816.80019999999786</v>
      </c>
      <c r="F52" s="22">
        <f t="shared" si="1"/>
        <v>816.80019999999786</v>
      </c>
      <c r="G52" s="22">
        <f>+SUMSQ($E$14:E52)/(A52-12)</f>
        <v>5199752.0150007373</v>
      </c>
      <c r="H52" s="22">
        <f>+SUM($F$14:F52)/(A52-12)</f>
        <v>1884.9307563846157</v>
      </c>
      <c r="I52" s="124">
        <f t="shared" si="4"/>
        <v>1.3353377017622519</v>
      </c>
      <c r="J52" s="124">
        <f>+AVERAGE($I$14:I52)</f>
        <v>6.161366500137448</v>
      </c>
      <c r="K52" s="125">
        <f>+SUM($E$14:E52)/H52</f>
        <v>35.422742352120579</v>
      </c>
    </row>
    <row r="53" spans="1:11" x14ac:dyDescent="0.3">
      <c r="A53" s="8">
        <f t="shared" si="2"/>
        <v>52</v>
      </c>
      <c r="B53" s="9">
        <f>+data!B53</f>
        <v>71333.484375</v>
      </c>
      <c r="C53" s="9"/>
      <c r="D53" s="9">
        <v>73725.695099999997</v>
      </c>
      <c r="E53" s="11">
        <f t="shared" si="3"/>
        <v>2392.2107249999972</v>
      </c>
      <c r="F53" s="9">
        <f t="shared" si="1"/>
        <v>2392.2107249999972</v>
      </c>
      <c r="G53" s="9">
        <f>+SUMSQ($E$14:E53)/(A53-12)</f>
        <v>5212825.0184458438</v>
      </c>
      <c r="H53" s="9">
        <f>+SUM($F$14:F53)/(A53-12)</f>
        <v>1897.6127556000004</v>
      </c>
      <c r="I53" s="10">
        <f t="shared" si="4"/>
        <v>3.3535593360674061</v>
      </c>
      <c r="J53" s="10">
        <f>+AVERAGE($I$14:I53)</f>
        <v>6.0911713210356968</v>
      </c>
      <c r="K53" s="43">
        <f>+SUM($E$14:E53)/H53</f>
        <v>36.446649642240629</v>
      </c>
    </row>
    <row r="54" spans="1:11" x14ac:dyDescent="0.3">
      <c r="A54" s="123">
        <f t="shared" si="2"/>
        <v>53</v>
      </c>
      <c r="B54" s="22">
        <f>+data!B54</f>
        <v>60609.496094000002</v>
      </c>
      <c r="C54" s="22"/>
      <c r="D54" s="22">
        <v>61760.697399999997</v>
      </c>
      <c r="E54" s="23">
        <f t="shared" si="3"/>
        <v>1151.2013059999954</v>
      </c>
      <c r="F54" s="22">
        <f t="shared" si="1"/>
        <v>1151.2013059999954</v>
      </c>
      <c r="G54" s="22">
        <f>+SUMSQ($E$14:E54)/(A54-12)</f>
        <v>5118006.467921216</v>
      </c>
      <c r="H54" s="22">
        <f>+SUM($F$14:F54)/(A54-12)</f>
        <v>1879.4075982926829</v>
      </c>
      <c r="I54" s="124">
        <f t="shared" si="4"/>
        <v>1.8993744878105956</v>
      </c>
      <c r="J54" s="124">
        <f>+AVERAGE($I$14:I54)</f>
        <v>5.9889323738838653</v>
      </c>
      <c r="K54" s="125">
        <f>+SUM($E$14:E54)/H54</f>
        <v>37.412229592917761</v>
      </c>
    </row>
    <row r="55" spans="1:11" x14ac:dyDescent="0.3">
      <c r="A55" s="8">
        <f t="shared" si="2"/>
        <v>54</v>
      </c>
      <c r="B55" s="9">
        <f>+data!B55</f>
        <v>67489.609375</v>
      </c>
      <c r="C55" s="9"/>
      <c r="D55" s="9">
        <v>69745.542499999996</v>
      </c>
      <c r="E55" s="11">
        <f t="shared" si="3"/>
        <v>2255.9331249999959</v>
      </c>
      <c r="F55" s="9">
        <f t="shared" si="1"/>
        <v>2255.9331249999959</v>
      </c>
      <c r="G55" s="9">
        <f>+SUMSQ($E$14:E55)/(A55-12)</f>
        <v>5117321.4154581446</v>
      </c>
      <c r="H55" s="9">
        <f>+SUM($F$14:F55)/(A55-12)</f>
        <v>1888.3724917857141</v>
      </c>
      <c r="I55" s="10">
        <f t="shared" si="4"/>
        <v>3.3426376977011443</v>
      </c>
      <c r="J55" s="10">
        <f>+AVERAGE($I$14:I55)</f>
        <v>5.9259253577842772</v>
      </c>
      <c r="K55" s="43">
        <f>+SUM($E$14:E55)/H55</f>
        <v>38.42926223860438</v>
      </c>
    </row>
    <row r="56" spans="1:11" x14ac:dyDescent="0.3">
      <c r="A56" s="123">
        <f t="shared" si="2"/>
        <v>55</v>
      </c>
      <c r="B56" s="22">
        <f>+data!B56</f>
        <v>62673.605469000002</v>
      </c>
      <c r="C56" s="22"/>
      <c r="D56" s="22">
        <v>65170.650699999998</v>
      </c>
      <c r="E56" s="23">
        <f t="shared" si="3"/>
        <v>2497.0452309999964</v>
      </c>
      <c r="F56" s="22">
        <f t="shared" si="1"/>
        <v>2497.0452309999964</v>
      </c>
      <c r="G56" s="22">
        <f>+SUMSQ($E$14:E56)/(A56-12)</f>
        <v>5143319.4031372536</v>
      </c>
      <c r="H56" s="22">
        <f>+SUM($F$14:F56)/(A56-12)</f>
        <v>1902.5276717674417</v>
      </c>
      <c r="I56" s="124">
        <f t="shared" si="4"/>
        <v>3.9842054917920748</v>
      </c>
      <c r="J56" s="124">
        <f>+AVERAGE($I$14:I56)</f>
        <v>5.8807690818309704</v>
      </c>
      <c r="K56" s="125">
        <f>+SUM($E$14:E56)/H56</f>
        <v>39.455829229681648</v>
      </c>
    </row>
    <row r="57" spans="1:11" x14ac:dyDescent="0.3">
      <c r="A57" s="8">
        <f t="shared" si="2"/>
        <v>56</v>
      </c>
      <c r="B57" s="9">
        <f>+data!B57</f>
        <v>64625.839844000002</v>
      </c>
      <c r="C57" s="9"/>
      <c r="D57" s="9">
        <v>65782.130300000004</v>
      </c>
      <c r="E57" s="11">
        <f t="shared" si="3"/>
        <v>1156.2904560000025</v>
      </c>
      <c r="F57" s="9">
        <f t="shared" si="1"/>
        <v>1156.2904560000025</v>
      </c>
      <c r="G57" s="9">
        <f>+SUMSQ($E$14:E57)/(A57-12)</f>
        <v>5056812.3171258774</v>
      </c>
      <c r="H57" s="9">
        <f>+SUM($F$14:F57)/(A57-12)</f>
        <v>1885.5677350454544</v>
      </c>
      <c r="I57" s="10">
        <f t="shared" si="4"/>
        <v>1.7892076277711304</v>
      </c>
      <c r="J57" s="10">
        <f>+AVERAGE($I$14:I57)</f>
        <v>5.7877790487841558</v>
      </c>
      <c r="K57" s="43">
        <f>+SUM($E$14:E57)/H57</f>
        <v>40.42395081403032</v>
      </c>
    </row>
    <row r="58" spans="1:11" x14ac:dyDescent="0.3">
      <c r="A58" s="123">
        <f t="shared" si="2"/>
        <v>57</v>
      </c>
      <c r="B58" s="22">
        <f>+data!B58</f>
        <v>58969.800780999998</v>
      </c>
      <c r="C58" s="22"/>
      <c r="D58" s="22">
        <v>61270.540800000002</v>
      </c>
      <c r="E58" s="23">
        <f t="shared" si="3"/>
        <v>2300.7400190000044</v>
      </c>
      <c r="F58" s="22">
        <f t="shared" si="1"/>
        <v>2300.7400190000044</v>
      </c>
      <c r="G58" s="22">
        <f>+SUMSQ($E$14:E58)/(A58-12)</f>
        <v>5062069.9241903722</v>
      </c>
      <c r="H58" s="22">
        <f>+SUM($F$14:F58)/(A58-12)</f>
        <v>1894.7937858</v>
      </c>
      <c r="I58" s="124">
        <f t="shared" si="4"/>
        <v>3.9015563704283363</v>
      </c>
      <c r="J58" s="124">
        <f>+AVERAGE($I$14:I58)</f>
        <v>5.7458629892651381</v>
      </c>
      <c r="K58" s="125">
        <f>+SUM($E$14:E58)/H58</f>
        <v>41.441363163351795</v>
      </c>
    </row>
    <row r="59" spans="1:11" x14ac:dyDescent="0.3">
      <c r="A59" s="8">
        <v>58</v>
      </c>
      <c r="B59" s="9"/>
      <c r="C59" s="9"/>
      <c r="D59" s="9"/>
      <c r="E59" s="11"/>
      <c r="F59" s="9"/>
      <c r="G59" s="9"/>
      <c r="H59" s="9"/>
      <c r="I59" s="10"/>
      <c r="J59" s="10"/>
      <c r="K59" s="43"/>
    </row>
    <row r="61" spans="1:11" x14ac:dyDescent="0.3">
      <c r="H61" s="4">
        <f>+H58*1.25</f>
        <v>2368.4922322500001</v>
      </c>
    </row>
  </sheetData>
  <conditionalFormatting sqref="K2:K59">
    <cfRule type="dataBar" priority="1">
      <dataBar>
        <cfvo type="min"/>
        <cfvo type="max"/>
        <color rgb="FF008AEF"/>
      </dataBar>
      <extLst>
        <ext xmlns:x14="http://schemas.microsoft.com/office/spreadsheetml/2009/9/main" uri="{B025F937-C7B1-47D3-B67F-A62EFF666E3E}">
          <x14:id>{855E1CB5-0608-4A53-A4A9-CB097FE47C2A}</x14:id>
        </ext>
      </extLst>
    </cfRule>
  </conditionalFormatting>
  <conditionalFormatting sqref="K5:K58">
    <cfRule type="dataBar" priority="2">
      <dataBar>
        <cfvo type="min"/>
        <cfvo type="max"/>
        <color rgb="FF008AEF"/>
      </dataBar>
      <extLst>
        <ext xmlns:x14="http://schemas.microsoft.com/office/spreadsheetml/2009/9/main" uri="{B025F937-C7B1-47D3-B67F-A62EFF666E3E}">
          <x14:id>{79C98141-27B3-48BF-834E-2F9EE0C4AC1A}</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55E1CB5-0608-4A53-A4A9-CB097FE47C2A}">
            <x14:dataBar minLength="0" maxLength="100" border="1" negativeBarBorderColorSameAsPositive="0">
              <x14:cfvo type="autoMin"/>
              <x14:cfvo type="autoMax"/>
              <x14:borderColor rgb="FF008AEF"/>
              <x14:negativeFillColor rgb="FFFF0000"/>
              <x14:negativeBorderColor rgb="FFFF0000"/>
              <x14:axisColor rgb="FF000000"/>
            </x14:dataBar>
          </x14:cfRule>
          <xm:sqref>K2:K59</xm:sqref>
        </x14:conditionalFormatting>
        <x14:conditionalFormatting xmlns:xm="http://schemas.microsoft.com/office/excel/2006/main">
          <x14:cfRule type="dataBar" id="{79C98141-27B3-48BF-834E-2F9EE0C4AC1A}">
            <x14:dataBar minLength="0" maxLength="100" border="1" negativeBarBorderColorSameAsPositive="0">
              <x14:cfvo type="autoMin"/>
              <x14:cfvo type="autoMax"/>
              <x14:borderColor rgb="FF008AEF"/>
              <x14:negativeFillColor rgb="FFFF0000"/>
              <x14:negativeBorderColor rgb="FFFF0000"/>
              <x14:axisColor rgb="FF000000"/>
            </x14:dataBar>
          </x14:cfRule>
          <xm:sqref>K5:K58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9917-729C-4F1E-B407-E42AAFBB2F35}">
  <sheetPr>
    <tabColor theme="4" tint="-0.499984740745262"/>
  </sheetPr>
  <dimension ref="A1:O61"/>
  <sheetViews>
    <sheetView zoomScale="70" zoomScaleNormal="70" workbookViewId="0">
      <pane ySplit="1" topLeftCell="A2" activePane="bottomLeft" state="frozen"/>
      <selection activeCell="N50" sqref="N50"/>
      <selection pane="bottomLeft" activeCell="N50" sqref="N50"/>
    </sheetView>
  </sheetViews>
  <sheetFormatPr baseColWidth="10" defaultColWidth="9.109375" defaultRowHeight="14.4" x14ac:dyDescent="0.3"/>
  <cols>
    <col min="1" max="1" width="9.109375" style="4"/>
    <col min="2" max="2" width="16" style="4" bestFit="1" customWidth="1"/>
    <col min="3" max="3" width="15.88671875" style="4" customWidth="1"/>
    <col min="4" max="5" width="16.5546875" style="4" bestFit="1" customWidth="1"/>
    <col min="6" max="6" width="14.88671875" style="4" bestFit="1" customWidth="1"/>
    <col min="7" max="7" width="25.44140625" style="4" customWidth="1"/>
    <col min="8" max="8" width="16.109375" style="4" bestFit="1" customWidth="1"/>
    <col min="9" max="9" width="9.44140625" style="4" bestFit="1" customWidth="1"/>
    <col min="10" max="10" width="9.21875" style="4" bestFit="1" customWidth="1"/>
    <col min="11" max="11" width="11.44140625" style="4" customWidth="1"/>
    <col min="12" max="13" width="9.109375" style="4"/>
    <col min="14" max="14" width="14.88671875" style="4" bestFit="1" customWidth="1"/>
    <col min="15" max="15" width="16.21875" style="4" customWidth="1"/>
    <col min="16" max="16" width="14.88671875" style="4" bestFit="1" customWidth="1"/>
    <col min="17" max="17" width="17.5546875" style="4" bestFit="1" customWidth="1"/>
    <col min="18" max="18" width="29.44140625" style="4" bestFit="1" customWidth="1"/>
    <col min="19" max="21" width="9.109375" style="4"/>
    <col min="22" max="22" width="14.88671875" style="4" bestFit="1" customWidth="1"/>
    <col min="23" max="16384" width="9.109375" style="4"/>
  </cols>
  <sheetData>
    <row r="1" spans="1:15" x14ac:dyDescent="0.3">
      <c r="A1" s="3" t="s">
        <v>7</v>
      </c>
      <c r="B1" s="3" t="s">
        <v>8</v>
      </c>
      <c r="C1" s="3" t="s">
        <v>9</v>
      </c>
      <c r="D1" s="3" t="s">
        <v>10</v>
      </c>
      <c r="E1" s="3" t="s">
        <v>11</v>
      </c>
      <c r="F1" s="3" t="s">
        <v>12</v>
      </c>
      <c r="G1" s="3" t="s">
        <v>13</v>
      </c>
      <c r="H1" s="3" t="s">
        <v>14</v>
      </c>
      <c r="I1" s="3" t="s">
        <v>15</v>
      </c>
      <c r="J1" s="3" t="s">
        <v>16</v>
      </c>
      <c r="K1" s="3" t="s">
        <v>17</v>
      </c>
    </row>
    <row r="2" spans="1:15" x14ac:dyDescent="0.3">
      <c r="A2" s="123"/>
      <c r="B2" s="22"/>
      <c r="C2" s="22"/>
      <c r="D2" s="22"/>
      <c r="E2" s="23">
        <f>+D2-B2</f>
        <v>0</v>
      </c>
      <c r="F2" s="22">
        <f>+ABS(E2)</f>
        <v>0</v>
      </c>
      <c r="G2" s="22"/>
      <c r="H2" s="22"/>
      <c r="I2" s="124"/>
      <c r="J2" s="124"/>
      <c r="K2" s="125"/>
    </row>
    <row r="3" spans="1:15" x14ac:dyDescent="0.3">
      <c r="A3" s="8"/>
      <c r="B3" s="9"/>
      <c r="C3" s="9"/>
      <c r="D3" s="9"/>
      <c r="E3" s="11">
        <f t="shared" ref="E3:E58" si="0">+D3-B3</f>
        <v>0</v>
      </c>
      <c r="F3" s="9">
        <f t="shared" ref="F3:F58" si="1">+ABS(E3)</f>
        <v>0</v>
      </c>
      <c r="G3" s="9"/>
      <c r="H3" s="9"/>
      <c r="I3" s="10"/>
      <c r="J3" s="10"/>
      <c r="K3" s="43"/>
    </row>
    <row r="4" spans="1:15" x14ac:dyDescent="0.3">
      <c r="A4" s="123"/>
      <c r="B4" s="22"/>
      <c r="C4" s="22"/>
      <c r="D4" s="22"/>
      <c r="E4" s="23">
        <f t="shared" si="0"/>
        <v>0</v>
      </c>
      <c r="F4" s="22">
        <f t="shared" si="1"/>
        <v>0</v>
      </c>
      <c r="G4" s="22"/>
      <c r="H4" s="22"/>
      <c r="I4" s="124"/>
      <c r="J4" s="124"/>
      <c r="K4" s="125"/>
      <c r="N4" s="4" t="s">
        <v>28</v>
      </c>
      <c r="O4" s="4">
        <f>+SLOPE(B2:B58,A2:A58)</f>
        <v>200.58341927812918</v>
      </c>
    </row>
    <row r="5" spans="1:15" x14ac:dyDescent="0.3">
      <c r="A5" s="8"/>
      <c r="B5" s="9"/>
      <c r="C5" s="9"/>
      <c r="D5" s="9"/>
      <c r="E5" s="11">
        <f t="shared" si="0"/>
        <v>0</v>
      </c>
      <c r="F5" s="9">
        <f t="shared" si="1"/>
        <v>0</v>
      </c>
      <c r="G5" s="9"/>
      <c r="H5" s="9"/>
      <c r="I5" s="10"/>
      <c r="J5" s="10"/>
      <c r="K5" s="43"/>
      <c r="N5" s="4" t="s">
        <v>29</v>
      </c>
      <c r="O5" s="4">
        <f>+INTERCEPT(B2:B58,A2:A58)</f>
        <v>32416.23375422103</v>
      </c>
    </row>
    <row r="6" spans="1:15" x14ac:dyDescent="0.3">
      <c r="A6" s="123"/>
      <c r="B6" s="22"/>
      <c r="C6" s="22"/>
      <c r="D6" s="22"/>
      <c r="E6" s="23">
        <f t="shared" si="0"/>
        <v>0</v>
      </c>
      <c r="F6" s="22">
        <f t="shared" si="1"/>
        <v>0</v>
      </c>
      <c r="G6" s="22"/>
      <c r="H6" s="22"/>
      <c r="I6" s="124"/>
      <c r="J6" s="124"/>
      <c r="K6" s="125"/>
      <c r="N6" s="4" t="s">
        <v>30</v>
      </c>
    </row>
    <row r="7" spans="1:15" x14ac:dyDescent="0.3">
      <c r="A7" s="8"/>
      <c r="B7" s="9"/>
      <c r="C7" s="9"/>
      <c r="D7" s="9"/>
      <c r="E7" s="11">
        <f t="shared" si="0"/>
        <v>0</v>
      </c>
      <c r="F7" s="9">
        <f t="shared" si="1"/>
        <v>0</v>
      </c>
      <c r="G7" s="9"/>
      <c r="H7" s="9"/>
      <c r="I7" s="10"/>
      <c r="J7" s="10"/>
      <c r="K7" s="43"/>
      <c r="N7" s="4" t="s">
        <v>31</v>
      </c>
    </row>
    <row r="8" spans="1:15" x14ac:dyDescent="0.3">
      <c r="A8" s="123"/>
      <c r="B8" s="22"/>
      <c r="C8" s="22"/>
      <c r="D8" s="22"/>
      <c r="E8" s="23">
        <f t="shared" si="0"/>
        <v>0</v>
      </c>
      <c r="F8" s="22">
        <f t="shared" si="1"/>
        <v>0</v>
      </c>
      <c r="G8" s="22"/>
      <c r="H8" s="22"/>
      <c r="I8" s="124"/>
      <c r="J8" s="124"/>
      <c r="K8" s="125"/>
    </row>
    <row r="9" spans="1:15" x14ac:dyDescent="0.3">
      <c r="A9" s="8"/>
      <c r="B9" s="9"/>
      <c r="C9" s="9"/>
      <c r="D9" s="9"/>
      <c r="E9" s="11">
        <f t="shared" si="0"/>
        <v>0</v>
      </c>
      <c r="F9" s="9">
        <f t="shared" si="1"/>
        <v>0</v>
      </c>
      <c r="G9" s="9"/>
      <c r="H9" s="9"/>
      <c r="I9" s="10"/>
      <c r="J9" s="10"/>
      <c r="K9" s="43"/>
    </row>
    <row r="10" spans="1:15" x14ac:dyDescent="0.3">
      <c r="A10" s="123"/>
      <c r="B10" s="22"/>
      <c r="C10" s="22"/>
      <c r="D10" s="22"/>
      <c r="E10" s="23">
        <f t="shared" si="0"/>
        <v>0</v>
      </c>
      <c r="F10" s="22">
        <f t="shared" si="1"/>
        <v>0</v>
      </c>
      <c r="G10" s="22"/>
      <c r="H10" s="22"/>
      <c r="I10" s="124"/>
      <c r="J10" s="124"/>
      <c r="K10" s="125"/>
    </row>
    <row r="11" spans="1:15" x14ac:dyDescent="0.3">
      <c r="A11" s="8"/>
      <c r="B11" s="9"/>
      <c r="C11" s="9"/>
      <c r="D11" s="9"/>
      <c r="E11" s="11">
        <f t="shared" si="0"/>
        <v>0</v>
      </c>
      <c r="F11" s="9">
        <f t="shared" si="1"/>
        <v>0</v>
      </c>
      <c r="G11" s="9"/>
      <c r="H11" s="9"/>
      <c r="I11" s="10"/>
      <c r="J11" s="10"/>
      <c r="K11" s="43"/>
    </row>
    <row r="12" spans="1:15" x14ac:dyDescent="0.3">
      <c r="A12" s="123"/>
      <c r="B12" s="22"/>
      <c r="C12" s="22"/>
      <c r="D12" s="22"/>
      <c r="E12" s="23">
        <f t="shared" si="0"/>
        <v>0</v>
      </c>
      <c r="F12" s="22">
        <f t="shared" si="1"/>
        <v>0</v>
      </c>
      <c r="G12" s="22"/>
      <c r="H12" s="22"/>
      <c r="I12" s="124"/>
      <c r="J12" s="124"/>
      <c r="K12" s="125"/>
    </row>
    <row r="13" spans="1:15" x14ac:dyDescent="0.3">
      <c r="A13" s="8"/>
      <c r="B13" s="9"/>
      <c r="C13" s="9"/>
      <c r="D13" s="9"/>
      <c r="E13" s="11">
        <f t="shared" si="0"/>
        <v>0</v>
      </c>
      <c r="F13" s="9">
        <f t="shared" si="1"/>
        <v>0</v>
      </c>
      <c r="G13" s="9"/>
      <c r="H13" s="9"/>
      <c r="I13" s="10"/>
      <c r="J13" s="10"/>
      <c r="K13" s="43"/>
    </row>
    <row r="14" spans="1:15" x14ac:dyDescent="0.3">
      <c r="A14" s="123">
        <v>13</v>
      </c>
      <c r="B14" s="22">
        <f>+data!B14</f>
        <v>28994.009765999999</v>
      </c>
      <c r="C14" s="22"/>
      <c r="D14" s="22">
        <v>28206.808099999998</v>
      </c>
      <c r="E14" s="23">
        <f>+D14-B14</f>
        <v>-787.20166600000084</v>
      </c>
      <c r="F14" s="22">
        <f>+ABS(E14)</f>
        <v>787.20166600000084</v>
      </c>
      <c r="G14" s="22">
        <f>+SUMSQ($E$14:E14)/(A14-12)</f>
        <v>619686.46295317693</v>
      </c>
      <c r="H14" s="22">
        <f>+SUM($F$14:F14)/(A14-12)</f>
        <v>787.20166600000084</v>
      </c>
      <c r="I14" s="124">
        <f>+(F14/B14)*100</f>
        <v>2.7150493234748012</v>
      </c>
      <c r="J14" s="124">
        <f>+AVERAGE($I$14:I14)</f>
        <v>2.7150493234748012</v>
      </c>
      <c r="K14" s="125">
        <f>+SUM($E$14:E14)/H14</f>
        <v>-1</v>
      </c>
    </row>
    <row r="15" spans="1:15" x14ac:dyDescent="0.3">
      <c r="A15" s="8">
        <f t="shared" ref="A15:A58" si="2">+A14+1</f>
        <v>14</v>
      </c>
      <c r="B15" s="9">
        <f>+data!B15</f>
        <v>33114.578125</v>
      </c>
      <c r="C15" s="9"/>
      <c r="D15" s="9">
        <v>32990.486400000002</v>
      </c>
      <c r="E15" s="11">
        <f t="shared" ref="E15:E58" si="3">+D15-B15</f>
        <v>-124.09172499999841</v>
      </c>
      <c r="F15" s="9">
        <f>+ABS(E15)</f>
        <v>124.09172499999841</v>
      </c>
      <c r="G15" s="9">
        <f>+SUMSQ($E$14:E15)/(A15-12)</f>
        <v>317542.60958332609</v>
      </c>
      <c r="H15" s="9">
        <f>+SUM($F$14:F15)/(A15-12)</f>
        <v>455.64669549999962</v>
      </c>
      <c r="I15" s="10">
        <f t="shared" ref="I15:I58" si="4">+(F15/B15)*100</f>
        <v>0.37473442823755859</v>
      </c>
      <c r="J15" s="10">
        <f>+AVERAGE($I$14:I15)</f>
        <v>1.5448918758561798</v>
      </c>
      <c r="K15" s="43">
        <f>+SUM($E$14:E15)/H15</f>
        <v>-2</v>
      </c>
    </row>
    <row r="16" spans="1:15" x14ac:dyDescent="0.3">
      <c r="A16" s="123">
        <f t="shared" si="2"/>
        <v>15</v>
      </c>
      <c r="B16" s="22">
        <f>+data!B16</f>
        <v>45159.503905999998</v>
      </c>
      <c r="C16" s="22"/>
      <c r="D16" s="22">
        <v>34375.315499999997</v>
      </c>
      <c r="E16" s="23">
        <f t="shared" si="3"/>
        <v>-10784.188406000001</v>
      </c>
      <c r="F16" s="22">
        <f>+ABS(E16)</f>
        <v>10784.188406000001</v>
      </c>
      <c r="G16" s="22">
        <f>+SUMSQ($E$14:E16)/(A16-12)</f>
        <v>38977934.931757167</v>
      </c>
      <c r="H16" s="22">
        <f>+SUM($F$14:F16)/(A16-12)</f>
        <v>3898.4939323333333</v>
      </c>
      <c r="I16" s="124">
        <f t="shared" si="4"/>
        <v>23.880218942279367</v>
      </c>
      <c r="J16" s="124">
        <f>+AVERAGE($I$14:I16)</f>
        <v>8.990000897997243</v>
      </c>
      <c r="K16" s="125">
        <f>+SUM($E$14:E16)/H16</f>
        <v>-3</v>
      </c>
    </row>
    <row r="17" spans="1:11" x14ac:dyDescent="0.3">
      <c r="A17" s="8">
        <f t="shared" si="2"/>
        <v>16</v>
      </c>
      <c r="B17" s="9">
        <f>+data!B17</f>
        <v>58926.5625</v>
      </c>
      <c r="C17" s="9"/>
      <c r="D17" s="9">
        <v>43490.217100000002</v>
      </c>
      <c r="E17" s="11">
        <f t="shared" si="3"/>
        <v>-15436.345399999998</v>
      </c>
      <c r="F17" s="9">
        <f>+ABS(E17)</f>
        <v>15436.345399999998</v>
      </c>
      <c r="G17" s="9">
        <f>+SUMSQ($E$14:E17)/(A17-12)</f>
        <v>88803641.025843158</v>
      </c>
      <c r="H17" s="9">
        <f>+SUM($F$14:F17)/(A17-12)</f>
        <v>6782.9567992499997</v>
      </c>
      <c r="I17" s="10">
        <f t="shared" si="4"/>
        <v>26.195903417919546</v>
      </c>
      <c r="J17" s="10">
        <f>+AVERAGE($I$14:I17)</f>
        <v>13.291476527977817</v>
      </c>
      <c r="K17" s="43">
        <f>+SUM($E$14:E17)/H17</f>
        <v>-4</v>
      </c>
    </row>
    <row r="18" spans="1:11" x14ac:dyDescent="0.3">
      <c r="A18" s="123">
        <f t="shared" si="2"/>
        <v>17</v>
      </c>
      <c r="B18" s="22">
        <f>+data!B18</f>
        <v>57714.664062999997</v>
      </c>
      <c r="C18" s="22"/>
      <c r="D18" s="22">
        <v>52063.2143</v>
      </c>
      <c r="E18" s="23">
        <f t="shared" si="3"/>
        <v>-5651.4497629999969</v>
      </c>
      <c r="F18" s="22">
        <f>+ABS(E18)</f>
        <v>5651.4497629999969</v>
      </c>
      <c r="G18" s="22">
        <f>+SUMSQ($E$14:E18)/(A18-12)</f>
        <v>77430689.705417067</v>
      </c>
      <c r="H18" s="22">
        <f>+SUM($F$14:F18)/(A18-12)</f>
        <v>6556.6553919999988</v>
      </c>
      <c r="I18" s="124">
        <f t="shared" si="4"/>
        <v>9.7920517337344357</v>
      </c>
      <c r="J18" s="124">
        <f>+AVERAGE($I$14:I18)</f>
        <v>12.591591569129141</v>
      </c>
      <c r="K18" s="125">
        <f>+SUM($E$14:E18)/H18</f>
        <v>-5</v>
      </c>
    </row>
    <row r="19" spans="1:11" x14ac:dyDescent="0.3">
      <c r="A19" s="8">
        <f t="shared" si="2"/>
        <v>18</v>
      </c>
      <c r="B19" s="9">
        <f>+data!B19</f>
        <v>37293.792969000002</v>
      </c>
      <c r="C19" s="9"/>
      <c r="D19" s="9">
        <v>50065.227599999998</v>
      </c>
      <c r="E19" s="11">
        <f t="shared" si="3"/>
        <v>12771.434630999996</v>
      </c>
      <c r="F19" s="9">
        <f t="shared" si="1"/>
        <v>12771.434630999996</v>
      </c>
      <c r="G19" s="9">
        <f>+SUMSQ($E$14:E19)/(A19-12)</f>
        <v>91710498.510165229</v>
      </c>
      <c r="H19" s="9">
        <f>+SUM($F$14:F19)/(A19-12)</f>
        <v>7592.4519318333323</v>
      </c>
      <c r="I19" s="10">
        <f t="shared" si="4"/>
        <v>34.24546986040302</v>
      </c>
      <c r="J19" s="10">
        <f>+AVERAGE($I$14:I19)</f>
        <v>16.200571284341454</v>
      </c>
      <c r="K19" s="43">
        <f>+SUM($E$14:E19)/H19</f>
        <v>-2.635754892974052</v>
      </c>
    </row>
    <row r="20" spans="1:11" x14ac:dyDescent="0.3">
      <c r="A20" s="123">
        <f t="shared" si="2"/>
        <v>19</v>
      </c>
      <c r="B20" s="22">
        <f>+data!B20</f>
        <v>35035.984375</v>
      </c>
      <c r="C20" s="22"/>
      <c r="D20" s="22">
        <v>38391.371800000001</v>
      </c>
      <c r="E20" s="23">
        <f t="shared" si="3"/>
        <v>3355.3874250000008</v>
      </c>
      <c r="F20" s="22">
        <f t="shared" si="1"/>
        <v>3355.3874250000008</v>
      </c>
      <c r="G20" s="22">
        <f>+SUMSQ($E$14:E20)/(A20-12)</f>
        <v>80217373.690405637</v>
      </c>
      <c r="H20" s="22">
        <f>+SUM($F$14:F20)/(A20-12)</f>
        <v>6987.1570022857131</v>
      </c>
      <c r="I20" s="124">
        <f t="shared" si="4"/>
        <v>9.5769748869800395</v>
      </c>
      <c r="J20" s="124">
        <f>+AVERAGE($I$14:I20)</f>
        <v>15.254343227575538</v>
      </c>
      <c r="K20" s="125">
        <f>+SUM($E$14:E20)/H20</f>
        <v>-2.3838672722755709</v>
      </c>
    </row>
    <row r="21" spans="1:11" x14ac:dyDescent="0.3">
      <c r="A21" s="8">
        <f t="shared" si="2"/>
        <v>20</v>
      </c>
      <c r="B21" s="9">
        <f>+data!B21</f>
        <v>41460.84375</v>
      </c>
      <c r="C21" s="9"/>
      <c r="D21" s="9">
        <v>41470.056600000004</v>
      </c>
      <c r="E21" s="11">
        <f t="shared" si="3"/>
        <v>9.2128500000035274</v>
      </c>
      <c r="F21" s="9">
        <f t="shared" si="1"/>
        <v>9.2128500000035274</v>
      </c>
      <c r="G21" s="9">
        <f>+SUMSQ($E$14:E21)/(A21-12)</f>
        <v>70190212.58868058</v>
      </c>
      <c r="H21" s="9">
        <f>+SUM($F$14:F21)/(A21-12)</f>
        <v>6114.9139832499995</v>
      </c>
      <c r="I21" s="10">
        <f t="shared" si="4"/>
        <v>2.2220604229752385E-2</v>
      </c>
      <c r="J21" s="10">
        <f>+AVERAGE($I$14:I21)</f>
        <v>13.350327899657316</v>
      </c>
      <c r="K21" s="43">
        <f>+SUM($E$14:E21)/H21</f>
        <v>-2.722400036958851</v>
      </c>
    </row>
    <row r="22" spans="1:11" x14ac:dyDescent="0.3">
      <c r="A22" s="123">
        <f t="shared" si="2"/>
        <v>21</v>
      </c>
      <c r="B22" s="22">
        <f>+data!B22</f>
        <v>47099.773437999997</v>
      </c>
      <c r="C22" s="22"/>
      <c r="D22" s="22">
        <v>45342.875999999997</v>
      </c>
      <c r="E22" s="23">
        <f t="shared" si="3"/>
        <v>-1756.897438</v>
      </c>
      <c r="F22" s="22">
        <f t="shared" si="1"/>
        <v>1756.897438</v>
      </c>
      <c r="G22" s="22">
        <f>+SUMSQ($E$14:E22)/(A22-12)</f>
        <v>62734265.47967729</v>
      </c>
      <c r="H22" s="22">
        <f>+SUM($F$14:F22)/(A22-12)</f>
        <v>5630.6899226666665</v>
      </c>
      <c r="I22" s="124">
        <f t="shared" si="4"/>
        <v>3.7301611234132581</v>
      </c>
      <c r="J22" s="124">
        <f>+AVERAGE($I$14:I22)</f>
        <v>12.281420480074642</v>
      </c>
      <c r="K22" s="125">
        <f>+SUM($E$14:E22)/H22</f>
        <v>-3.2685407551769226</v>
      </c>
    </row>
    <row r="23" spans="1:11" x14ac:dyDescent="0.3">
      <c r="A23" s="8">
        <f t="shared" si="2"/>
        <v>22</v>
      </c>
      <c r="B23" s="9">
        <f>+data!B23</f>
        <v>43816.742187999997</v>
      </c>
      <c r="C23" s="9"/>
      <c r="D23" s="9">
        <v>45258.865400000002</v>
      </c>
      <c r="E23" s="11">
        <f t="shared" si="3"/>
        <v>1442.1232120000059</v>
      </c>
      <c r="F23" s="9">
        <f t="shared" si="1"/>
        <v>1442.1232120000059</v>
      </c>
      <c r="G23" s="9">
        <f>+SUMSQ($E$14:E23)/(A23-12)</f>
        <v>56668810.867568478</v>
      </c>
      <c r="H23" s="9">
        <f>+SUM($F$14:F23)/(A23-12)</f>
        <v>5211.8332516</v>
      </c>
      <c r="I23" s="10">
        <f t="shared" si="4"/>
        <v>3.2912606916608174</v>
      </c>
      <c r="J23" s="10">
        <f>+AVERAGE($I$14:I23)</f>
        <v>11.38240450123326</v>
      </c>
      <c r="K23" s="43">
        <f>+SUM($E$14:E23)/H23</f>
        <v>-3.2545201392989225</v>
      </c>
    </row>
    <row r="24" spans="1:11" x14ac:dyDescent="0.3">
      <c r="A24" s="123">
        <f t="shared" si="2"/>
        <v>23</v>
      </c>
      <c r="B24" s="22">
        <f>+data!B24</f>
        <v>61320.449219000002</v>
      </c>
      <c r="C24" s="22"/>
      <c r="D24" s="22">
        <v>42266.930200000003</v>
      </c>
      <c r="E24" s="23">
        <f t="shared" si="3"/>
        <v>-19053.519018999999</v>
      </c>
      <c r="F24" s="22">
        <f t="shared" si="1"/>
        <v>19053.519018999999</v>
      </c>
      <c r="G24" s="22">
        <f>+SUMSQ($E$14:E24)/(A24-12)</f>
        <v>84520426.880279958</v>
      </c>
      <c r="H24" s="22">
        <f>+SUM($F$14:F24)/(A24-12)</f>
        <v>6470.1683213636361</v>
      </c>
      <c r="I24" s="124">
        <f t="shared" si="4"/>
        <v>31.072047353978466</v>
      </c>
      <c r="J24" s="124">
        <f>+AVERAGE($I$14:I24)</f>
        <v>13.172372033301007</v>
      </c>
      <c r="K24" s="125">
        <f>+SUM($E$14:E24)/H24</f>
        <v>-5.5663985093063921</v>
      </c>
    </row>
    <row r="25" spans="1:11" x14ac:dyDescent="0.3">
      <c r="A25" s="8">
        <f t="shared" si="2"/>
        <v>24</v>
      </c>
      <c r="B25" s="9">
        <f>+data!B25</f>
        <v>56907.964844000002</v>
      </c>
      <c r="C25" s="9"/>
      <c r="D25" s="9">
        <v>56830.444799999997</v>
      </c>
      <c r="E25" s="11">
        <f t="shared" si="3"/>
        <v>-77.520044000004418</v>
      </c>
      <c r="F25" s="9">
        <f t="shared" si="1"/>
        <v>77.520044000004418</v>
      </c>
      <c r="G25" s="9">
        <f>+SUMSQ($E$14:E25)/(A25-12)</f>
        <v>77477558.753358439</v>
      </c>
      <c r="H25" s="9">
        <f>+SUM($F$14:F25)/(A25-12)</f>
        <v>5937.4476315833335</v>
      </c>
      <c r="I25" s="10">
        <f t="shared" si="4"/>
        <v>0.13622002510985529</v>
      </c>
      <c r="J25" s="10">
        <f>+AVERAGE($I$14:I25)</f>
        <v>12.086026032618411</v>
      </c>
      <c r="K25" s="43">
        <f>+SUM($E$14:E25)/H25</f>
        <v>-6.0788839889734056</v>
      </c>
    </row>
    <row r="26" spans="1:11" x14ac:dyDescent="0.3">
      <c r="A26" s="123">
        <f t="shared" si="2"/>
        <v>25</v>
      </c>
      <c r="B26" s="22">
        <f>+data!B26</f>
        <v>46311.746094000002</v>
      </c>
      <c r="C26" s="22"/>
      <c r="D26" s="22">
        <v>47949.940300000002</v>
      </c>
      <c r="E26" s="23">
        <f t="shared" si="3"/>
        <v>1638.1942060000001</v>
      </c>
      <c r="F26" s="22">
        <f t="shared" si="1"/>
        <v>1638.1942060000001</v>
      </c>
      <c r="G26" s="22">
        <f>+SUMSQ($E$14:E26)/(A26-12)</f>
        <v>71724183.484374866</v>
      </c>
      <c r="H26" s="22">
        <f>+SUM($F$14:F26)/(A26-12)</f>
        <v>5606.7358296153843</v>
      </c>
      <c r="I26" s="124">
        <f t="shared" si="4"/>
        <v>3.5373190263112084</v>
      </c>
      <c r="J26" s="124">
        <f>+AVERAGE($I$14:I26)</f>
        <v>11.428433185979394</v>
      </c>
      <c r="K26" s="125">
        <f>+SUM($E$14:E26)/H26</f>
        <v>-6.1452620890404175</v>
      </c>
    </row>
    <row r="27" spans="1:11" x14ac:dyDescent="0.3">
      <c r="A27" s="8">
        <f t="shared" si="2"/>
        <v>26</v>
      </c>
      <c r="B27" s="9">
        <f>+data!B27</f>
        <v>38481.765625</v>
      </c>
      <c r="C27" s="9"/>
      <c r="D27" s="9">
        <v>38488.408600000002</v>
      </c>
      <c r="E27" s="11">
        <f t="shared" si="3"/>
        <v>6.6429750000024796</v>
      </c>
      <c r="F27" s="9">
        <f t="shared" si="1"/>
        <v>6.6429750000024796</v>
      </c>
      <c r="G27" s="9">
        <f>+SUMSQ($E$14:E27)/(A27-12)</f>
        <v>66601030.673285007</v>
      </c>
      <c r="H27" s="9">
        <f>+SUM($F$14:F27)/(A27-12)</f>
        <v>5206.7291971428576</v>
      </c>
      <c r="I27" s="10">
        <f t="shared" si="4"/>
        <v>1.7262656461081959E-2</v>
      </c>
      <c r="J27" s="10">
        <f>+AVERAGE($I$14:I27)</f>
        <v>10.613349576728085</v>
      </c>
      <c r="K27" s="43">
        <f>+SUM($E$14:E27)/H27</f>
        <v>-6.6160956058369846</v>
      </c>
    </row>
    <row r="28" spans="1:11" x14ac:dyDescent="0.3">
      <c r="A28" s="123">
        <f t="shared" si="2"/>
        <v>27</v>
      </c>
      <c r="B28" s="22">
        <f>+data!B28</f>
        <v>43194.503905999998</v>
      </c>
      <c r="C28" s="22"/>
      <c r="D28" s="22">
        <v>37645.701200000003</v>
      </c>
      <c r="E28" s="23">
        <f t="shared" si="3"/>
        <v>-5548.8027059999949</v>
      </c>
      <c r="F28" s="22">
        <f t="shared" si="1"/>
        <v>5548.8027059999949</v>
      </c>
      <c r="G28" s="22">
        <f>+SUMSQ($E$14:E28)/(A28-12)</f>
        <v>64213576.059740201</v>
      </c>
      <c r="H28" s="22">
        <f>+SUM($F$14:F28)/(A28-12)</f>
        <v>5229.5340977333335</v>
      </c>
      <c r="I28" s="124">
        <f t="shared" si="4"/>
        <v>12.846085043771577</v>
      </c>
      <c r="J28" s="124">
        <f>+AVERAGE($I$14:I28)</f>
        <v>10.762198607864319</v>
      </c>
      <c r="K28" s="125">
        <f>+SUM($E$14:E28)/H28</f>
        <v>-7.6482952631164833</v>
      </c>
    </row>
    <row r="29" spans="1:11" x14ac:dyDescent="0.3">
      <c r="A29" s="8">
        <f t="shared" si="2"/>
        <v>28</v>
      </c>
      <c r="B29" s="9">
        <f>+data!B29</f>
        <v>45554.164062999997</v>
      </c>
      <c r="C29" s="9"/>
      <c r="D29" s="9">
        <v>43351.891100000001</v>
      </c>
      <c r="E29" s="11">
        <f t="shared" si="3"/>
        <v>-2202.2729629999958</v>
      </c>
      <c r="F29" s="9">
        <f t="shared" si="1"/>
        <v>2202.2729629999958</v>
      </c>
      <c r="G29" s="9">
        <f>+SUMSQ($E$14:E29)/(A29-12)</f>
        <v>60503352.943728991</v>
      </c>
      <c r="H29" s="9">
        <f>+SUM($F$14:F29)/(A29-12)</f>
        <v>5040.3302768124995</v>
      </c>
      <c r="I29" s="10">
        <f t="shared" si="4"/>
        <v>4.8344053903707263</v>
      </c>
      <c r="J29" s="10">
        <f>+AVERAGE($I$14:I29)</f>
        <v>10.391711531770969</v>
      </c>
      <c r="K29" s="43">
        <f>+SUM($E$14:E29)/H29</f>
        <v>-8.3723271122000327</v>
      </c>
    </row>
    <row r="30" spans="1:11" x14ac:dyDescent="0.3">
      <c r="A30" s="123">
        <f t="shared" si="2"/>
        <v>29</v>
      </c>
      <c r="B30" s="22">
        <f>+data!B30</f>
        <v>37713.265625</v>
      </c>
      <c r="C30" s="22"/>
      <c r="D30" s="22">
        <v>37621.898800000003</v>
      </c>
      <c r="E30" s="23">
        <f t="shared" si="3"/>
        <v>-91.366824999997334</v>
      </c>
      <c r="F30" s="22">
        <f t="shared" si="1"/>
        <v>91.366824999997334</v>
      </c>
      <c r="G30" s="22">
        <f>+SUMSQ($E$14:E30)/(A30-12)</f>
        <v>56944823.235080853</v>
      </c>
      <c r="H30" s="22">
        <f>+SUM($F$14:F30)/(A30-12)</f>
        <v>4749.214779647059</v>
      </c>
      <c r="I30" s="124">
        <f t="shared" si="4"/>
        <v>0.24226707363000291</v>
      </c>
      <c r="J30" s="124">
        <f>+AVERAGE($I$14:I30)</f>
        <v>9.7946853871744413</v>
      </c>
      <c r="K30" s="125">
        <f>+SUM($E$14:E30)/H30</f>
        <v>-8.9047690235527384</v>
      </c>
    </row>
    <row r="31" spans="1:11" x14ac:dyDescent="0.3">
      <c r="A31" s="8">
        <f t="shared" si="2"/>
        <v>30</v>
      </c>
      <c r="B31" s="9">
        <f>+data!B31</f>
        <v>31792.554688</v>
      </c>
      <c r="C31" s="9"/>
      <c r="D31" s="9">
        <v>33579.547599999998</v>
      </c>
      <c r="E31" s="11">
        <f t="shared" si="3"/>
        <v>1786.9929119999979</v>
      </c>
      <c r="F31" s="9">
        <f t="shared" si="1"/>
        <v>1786.9929119999979</v>
      </c>
      <c r="G31" s="9">
        <f>+SUMSQ($E$14:E31)/(A31-12)</f>
        <v>53958629.925772935</v>
      </c>
      <c r="H31" s="9">
        <f>+SUM($F$14:F31)/(A31-12)</f>
        <v>4584.6468981111111</v>
      </c>
      <c r="I31" s="10">
        <f t="shared" si="4"/>
        <v>5.6207905578424393</v>
      </c>
      <c r="J31" s="10">
        <f>+AVERAGE($I$14:I31)</f>
        <v>9.5628023411004417</v>
      </c>
      <c r="K31" s="43">
        <f>+SUM($E$14:E31)/H31</f>
        <v>-8.8346319016820285</v>
      </c>
    </row>
    <row r="32" spans="1:11" x14ac:dyDescent="0.3">
      <c r="A32" s="123">
        <f t="shared" si="2"/>
        <v>31</v>
      </c>
      <c r="B32" s="22">
        <f>+data!B32</f>
        <v>19820.470702999999</v>
      </c>
      <c r="C32" s="22"/>
      <c r="D32" s="22">
        <v>32794.652399999999</v>
      </c>
      <c r="E32" s="23">
        <f t="shared" si="3"/>
        <v>12974.181697</v>
      </c>
      <c r="F32" s="22">
        <f t="shared" si="1"/>
        <v>12974.181697</v>
      </c>
      <c r="G32" s="22">
        <f>+SUMSQ($E$14:E32)/(A32-12)</f>
        <v>59978143.651088551</v>
      </c>
      <c r="H32" s="22">
        <f>+SUM($F$14:F32)/(A32-12)</f>
        <v>5026.2013612105266</v>
      </c>
      <c r="I32" s="124">
        <f t="shared" si="4"/>
        <v>65.458494358745199</v>
      </c>
      <c r="J32" s="124">
        <f>+AVERAGE($I$14:I32)</f>
        <v>12.504680868344902</v>
      </c>
      <c r="K32" s="125">
        <f>+SUM($E$14:E32)/H32</f>
        <v>-5.4771952153484129</v>
      </c>
    </row>
    <row r="33" spans="1:11" x14ac:dyDescent="0.3">
      <c r="A33" s="8">
        <f t="shared" si="2"/>
        <v>32</v>
      </c>
      <c r="B33" s="9">
        <f>+data!B33</f>
        <v>23336.71875</v>
      </c>
      <c r="C33" s="9"/>
      <c r="D33" s="9">
        <v>23208.7405</v>
      </c>
      <c r="E33" s="11">
        <f t="shared" si="3"/>
        <v>-127.97825000000012</v>
      </c>
      <c r="F33" s="9">
        <f t="shared" si="1"/>
        <v>127.97825000000012</v>
      </c>
      <c r="G33" s="9">
        <f>+SUMSQ($E$14:E33)/(A33-12)</f>
        <v>56980055.390157774</v>
      </c>
      <c r="H33" s="9">
        <f>+SUM($F$14:F33)/(A33-12)</f>
        <v>4781.2902056500006</v>
      </c>
      <c r="I33" s="10">
        <f t="shared" si="4"/>
        <v>0.54839864751765977</v>
      </c>
      <c r="J33" s="10">
        <f>+AVERAGE($I$14:I33)</f>
        <v>11.906866757303542</v>
      </c>
      <c r="K33" s="43">
        <f>+SUM($E$14:E33)/H33</f>
        <v>-5.7845190539401772</v>
      </c>
    </row>
    <row r="34" spans="1:11" x14ac:dyDescent="0.3">
      <c r="A34" s="123">
        <f t="shared" si="2"/>
        <v>33</v>
      </c>
      <c r="B34" s="22">
        <f>+data!B34</f>
        <v>20050.498047000001</v>
      </c>
      <c r="C34" s="22"/>
      <c r="D34" s="22">
        <v>20024.660899999999</v>
      </c>
      <c r="E34" s="23">
        <f t="shared" si="3"/>
        <v>-25.837147000002005</v>
      </c>
      <c r="F34" s="22">
        <f t="shared" si="1"/>
        <v>25.837147000002005</v>
      </c>
      <c r="G34" s="22">
        <f>+SUMSQ($E$14:E34)/(A34-12)</f>
        <v>54266751.207681932</v>
      </c>
      <c r="H34" s="22">
        <f>+SUM($F$14:F34)/(A34-12)</f>
        <v>4554.8400600000004</v>
      </c>
      <c r="I34" s="124">
        <f t="shared" si="4"/>
        <v>0.12886037513600723</v>
      </c>
      <c r="J34" s="124">
        <f>+AVERAGE($I$14:I34)</f>
        <v>11.34600931053366</v>
      </c>
      <c r="K34" s="125">
        <f>+SUM($E$14:E34)/H34</f>
        <v>-6.0777768438262081</v>
      </c>
    </row>
    <row r="35" spans="1:11" x14ac:dyDescent="0.3">
      <c r="A35" s="8">
        <f t="shared" si="2"/>
        <v>34</v>
      </c>
      <c r="B35" s="9">
        <f>+data!B35</f>
        <v>19431.105468999998</v>
      </c>
      <c r="C35" s="9"/>
      <c r="D35" s="9">
        <v>20516.940399999999</v>
      </c>
      <c r="E35" s="11">
        <f t="shared" si="3"/>
        <v>1085.8349310000012</v>
      </c>
      <c r="F35" s="9">
        <f t="shared" si="1"/>
        <v>1085.8349310000012</v>
      </c>
      <c r="G35" s="9">
        <f>+SUMSQ($E$14:E35)/(A35-12)</f>
        <v>51853673.311759107</v>
      </c>
      <c r="H35" s="9">
        <f>+SUM($F$14:F35)/(A35-12)</f>
        <v>4397.1580086818185</v>
      </c>
      <c r="I35" s="10">
        <f t="shared" si="4"/>
        <v>5.5881274111363393</v>
      </c>
      <c r="J35" s="10">
        <f>+AVERAGE($I$14:I35)</f>
        <v>11.084287406015598</v>
      </c>
      <c r="K35" s="43">
        <f>+SUM($E$14:E35)/H35</f>
        <v>-6.0487857066963517</v>
      </c>
    </row>
    <row r="36" spans="1:11" x14ac:dyDescent="0.3">
      <c r="A36" s="123">
        <f t="shared" si="2"/>
        <v>35</v>
      </c>
      <c r="B36" s="22">
        <f>+data!B36</f>
        <v>20494.898438</v>
      </c>
      <c r="C36" s="22"/>
      <c r="D36" s="22">
        <v>17997.631399999998</v>
      </c>
      <c r="E36" s="23">
        <f t="shared" si="3"/>
        <v>-2497.2670380000018</v>
      </c>
      <c r="F36" s="22">
        <f t="shared" si="1"/>
        <v>2497.2670380000018</v>
      </c>
      <c r="G36" s="22">
        <f>+SUMSQ($E$14:E36)/(A36-12)</f>
        <v>49870311.109468758</v>
      </c>
      <c r="H36" s="22">
        <f>+SUM($F$14:F36)/(A36-12)</f>
        <v>4314.5540534347829</v>
      </c>
      <c r="I36" s="124">
        <f t="shared" si="4"/>
        <v>12.184822703828429</v>
      </c>
      <c r="J36" s="124">
        <f>+AVERAGE($I$14:I36)</f>
        <v>11.132136766790071</v>
      </c>
      <c r="K36" s="125">
        <f>+SUM($E$14:E36)/H36</f>
        <v>-6.7433929881670824</v>
      </c>
    </row>
    <row r="37" spans="1:11" x14ac:dyDescent="0.3">
      <c r="A37" s="8">
        <f t="shared" si="2"/>
        <v>36</v>
      </c>
      <c r="B37" s="9">
        <f>+data!B37</f>
        <v>17168.001952999999</v>
      </c>
      <c r="C37" s="9"/>
      <c r="D37" s="9">
        <v>18770.290300000001</v>
      </c>
      <c r="E37" s="11">
        <f t="shared" si="3"/>
        <v>1602.2883470000015</v>
      </c>
      <c r="F37" s="9">
        <f t="shared" si="1"/>
        <v>1602.2883470000015</v>
      </c>
      <c r="G37" s="9">
        <f>+SUMSQ($E$14:E37)/(A37-12)</f>
        <v>47899353.477696396</v>
      </c>
      <c r="H37" s="9">
        <f>+SUM($F$14:F37)/(A37-12)</f>
        <v>4201.5429823333334</v>
      </c>
      <c r="I37" s="10">
        <f t="shared" si="4"/>
        <v>9.3329925718001903</v>
      </c>
      <c r="J37" s="10">
        <f>+AVERAGE($I$14:I37)</f>
        <v>11.05717242533216</v>
      </c>
      <c r="K37" s="43">
        <f>+SUM($E$14:E37)/H37</f>
        <v>-6.5434163876462375</v>
      </c>
    </row>
    <row r="38" spans="1:11" x14ac:dyDescent="0.3">
      <c r="A38" s="123">
        <f t="shared" si="2"/>
        <v>37</v>
      </c>
      <c r="B38" s="22">
        <f>+data!B38</f>
        <v>16547.914063</v>
      </c>
      <c r="C38" s="22"/>
      <c r="D38" s="22">
        <v>16975.284299999999</v>
      </c>
      <c r="E38" s="23">
        <f t="shared" si="3"/>
        <v>427.37023699999918</v>
      </c>
      <c r="F38" s="22">
        <f t="shared" si="1"/>
        <v>427.37023699999918</v>
      </c>
      <c r="G38" s="22">
        <f>+SUMSQ($E$14:E38)/(A38-12)</f>
        <v>45990685.151367486</v>
      </c>
      <c r="H38" s="22">
        <f>+SUM($F$14:F38)/(A38-12)</f>
        <v>4050.5760725200003</v>
      </c>
      <c r="I38" s="124">
        <f t="shared" si="4"/>
        <v>2.5826230144352134</v>
      </c>
      <c r="J38" s="124">
        <f>+AVERAGE($I$14:I38)</f>
        <v>10.718190448896282</v>
      </c>
      <c r="K38" s="125">
        <f>+SUM($E$14:E38)/H38</f>
        <v>-6.6817841419188264</v>
      </c>
    </row>
    <row r="39" spans="1:11" x14ac:dyDescent="0.3">
      <c r="A39" s="8">
        <f t="shared" si="2"/>
        <v>38</v>
      </c>
      <c r="B39" s="9">
        <f>+data!B39</f>
        <v>23137.835938</v>
      </c>
      <c r="C39" s="9"/>
      <c r="D39" s="9">
        <v>17516.062600000001</v>
      </c>
      <c r="E39" s="11">
        <f t="shared" si="3"/>
        <v>-5621.7733379999991</v>
      </c>
      <c r="F39" s="9">
        <f t="shared" si="1"/>
        <v>5621.7733379999991</v>
      </c>
      <c r="G39" s="9">
        <f>+SUMSQ($E$14:E39)/(A39-12)</f>
        <v>45437364.009539798</v>
      </c>
      <c r="H39" s="9">
        <f>+SUM($F$14:F39)/(A39-12)</f>
        <v>4111.0067365769228</v>
      </c>
      <c r="I39" s="10">
        <f t="shared" si="4"/>
        <v>24.296884778092764</v>
      </c>
      <c r="J39" s="10">
        <f>+AVERAGE($I$14:I39)</f>
        <v>11.240447923096147</v>
      </c>
      <c r="K39" s="43">
        <f>+SUM($E$14:E39)/H39</f>
        <v>-7.9510568577216825</v>
      </c>
    </row>
    <row r="40" spans="1:11" x14ac:dyDescent="0.3">
      <c r="A40" s="123">
        <f t="shared" si="2"/>
        <v>39</v>
      </c>
      <c r="B40" s="22">
        <f>+data!B40</f>
        <v>23150.929688</v>
      </c>
      <c r="C40" s="22"/>
      <c r="D40" s="22">
        <v>23050.819899999999</v>
      </c>
      <c r="E40" s="23">
        <f t="shared" si="3"/>
        <v>-100.10978800000157</v>
      </c>
      <c r="F40" s="22">
        <f t="shared" si="1"/>
        <v>100.10978800000157</v>
      </c>
      <c r="G40" s="22">
        <f>+SUMSQ($E$14:E40)/(A40-12)</f>
        <v>43754869.85991437</v>
      </c>
      <c r="H40" s="22">
        <f>+SUM($F$14:F40)/(A40-12)</f>
        <v>3962.454997740741</v>
      </c>
      <c r="I40" s="124">
        <f t="shared" si="4"/>
        <v>0.43242232320325452</v>
      </c>
      <c r="J40" s="124">
        <f>+AVERAGE($I$14:I40)</f>
        <v>10.840150678655668</v>
      </c>
      <c r="K40" s="125">
        <f>+SUM($E$14:E40)/H40</f>
        <v>-8.2744051633883551</v>
      </c>
    </row>
    <row r="41" spans="1:11" x14ac:dyDescent="0.3">
      <c r="A41" s="8">
        <f t="shared" si="2"/>
        <v>40</v>
      </c>
      <c r="B41" s="9">
        <f>+data!B41</f>
        <v>28473.332031000002</v>
      </c>
      <c r="C41" s="9"/>
      <c r="D41" s="9">
        <v>23005.560099999999</v>
      </c>
      <c r="E41" s="11">
        <f t="shared" si="3"/>
        <v>-5467.771931000003</v>
      </c>
      <c r="F41" s="9">
        <f t="shared" si="1"/>
        <v>5467.771931000003</v>
      </c>
      <c r="G41" s="9">
        <f>+SUMSQ($E$14:E41)/(A41-12)</f>
        <v>43259929.146682844</v>
      </c>
      <c r="H41" s="9">
        <f>+SUM($F$14:F41)/(A41-12)</f>
        <v>4016.2163167857143</v>
      </c>
      <c r="I41" s="10">
        <f t="shared" si="4"/>
        <v>19.203133391789311</v>
      </c>
      <c r="J41" s="10">
        <f>+AVERAGE($I$14:I41)</f>
        <v>11.138828632696157</v>
      </c>
      <c r="K41" s="43">
        <f>+SUM($E$14:E41)/H41</f>
        <v>-9.5250671295056808</v>
      </c>
    </row>
    <row r="42" spans="1:11" x14ac:dyDescent="0.3">
      <c r="A42" s="123">
        <f t="shared" si="2"/>
        <v>41</v>
      </c>
      <c r="B42" s="22">
        <f>+data!B42</f>
        <v>29227.103515999999</v>
      </c>
      <c r="C42" s="22"/>
      <c r="D42" s="22">
        <v>29463.130700000002</v>
      </c>
      <c r="E42" s="23">
        <f t="shared" si="3"/>
        <v>236.02718400000231</v>
      </c>
      <c r="F42" s="22">
        <f t="shared" si="1"/>
        <v>236.02718400000231</v>
      </c>
      <c r="G42" s="22">
        <f>+SUMSQ($E$14:E42)/(A42-12)</f>
        <v>41770128.446162298</v>
      </c>
      <c r="H42" s="22">
        <f>+SUM($F$14:F42)/(A42-12)</f>
        <v>3885.8649673793107</v>
      </c>
      <c r="I42" s="124">
        <f t="shared" si="4"/>
        <v>0.80756269217985377</v>
      </c>
      <c r="J42" s="124">
        <f>+AVERAGE($I$14:I42)</f>
        <v>10.78257808302318</v>
      </c>
      <c r="K42" s="125">
        <f>+SUM($E$14:E42)/H42</f>
        <v>-9.7838455940069391</v>
      </c>
    </row>
    <row r="43" spans="1:11" x14ac:dyDescent="0.3">
      <c r="A43" s="8">
        <f t="shared" si="2"/>
        <v>42</v>
      </c>
      <c r="B43" s="9">
        <f>+data!B43</f>
        <v>27218.412109000001</v>
      </c>
      <c r="C43" s="9"/>
      <c r="D43" s="9">
        <v>30486.84</v>
      </c>
      <c r="E43" s="11">
        <f t="shared" si="3"/>
        <v>3268.4278909999994</v>
      </c>
      <c r="F43" s="9">
        <f t="shared" si="1"/>
        <v>3268.4278909999994</v>
      </c>
      <c r="G43" s="9">
        <f>+SUMSQ($E$14:E43)/(A43-12)</f>
        <v>40733878.193912439</v>
      </c>
      <c r="H43" s="9">
        <f>+SUM($F$14:F43)/(A43-12)</f>
        <v>3865.2837315000002</v>
      </c>
      <c r="I43" s="10">
        <f t="shared" si="4"/>
        <v>12.008150504559618</v>
      </c>
      <c r="J43" s="10">
        <f>+AVERAGE($I$14:I43)</f>
        <v>10.823430497074394</v>
      </c>
      <c r="K43" s="43">
        <f>+SUM($E$14:E43)/H43</f>
        <v>-8.9903555244350581</v>
      </c>
    </row>
    <row r="44" spans="1:11" x14ac:dyDescent="0.3">
      <c r="A44" s="123">
        <f t="shared" si="2"/>
        <v>43</v>
      </c>
      <c r="B44" s="22">
        <f>+data!B44</f>
        <v>30471.847656000002</v>
      </c>
      <c r="C44" s="22"/>
      <c r="D44" s="22">
        <v>33972.938199999997</v>
      </c>
      <c r="E44" s="23">
        <f t="shared" si="3"/>
        <v>3501.0905439999951</v>
      </c>
      <c r="F44" s="22">
        <f t="shared" si="1"/>
        <v>3501.0905439999951</v>
      </c>
      <c r="G44" s="22">
        <f>+SUMSQ($E$14:E44)/(A44-12)</f>
        <v>39815289.703698687</v>
      </c>
      <c r="H44" s="22">
        <f>+SUM($F$14:F44)/(A44-12)</f>
        <v>3853.53556416129</v>
      </c>
      <c r="I44" s="124">
        <f t="shared" si="4"/>
        <v>11.489590600229388</v>
      </c>
      <c r="J44" s="124">
        <f>+AVERAGE($I$14:I44)</f>
        <v>10.84491953266004</v>
      </c>
      <c r="K44" s="125">
        <f>+SUM($E$14:E44)/H44</f>
        <v>-8.1092243433858844</v>
      </c>
    </row>
    <row r="45" spans="1:11" x14ac:dyDescent="0.3">
      <c r="A45" s="8">
        <f t="shared" si="2"/>
        <v>44</v>
      </c>
      <c r="B45" s="9">
        <f>+data!B45</f>
        <v>29230.873047000001</v>
      </c>
      <c r="C45" s="9"/>
      <c r="D45" s="9">
        <v>34472.178200000002</v>
      </c>
      <c r="E45" s="11">
        <f t="shared" si="3"/>
        <v>5241.3051530000012</v>
      </c>
      <c r="F45" s="9">
        <f t="shared" si="1"/>
        <v>5241.3051530000012</v>
      </c>
      <c r="G45" s="9">
        <f>+SUMSQ($E$14:E45)/(A45-12)</f>
        <v>39429539.391297616</v>
      </c>
      <c r="H45" s="9">
        <f>+SUM($F$14:F45)/(A45-12)</f>
        <v>3896.9033638125002</v>
      </c>
      <c r="I45" s="10">
        <f t="shared" si="4"/>
        <v>17.930717103702527</v>
      </c>
      <c r="J45" s="10">
        <f>+AVERAGE($I$14:I45)</f>
        <v>11.066350706755118</v>
      </c>
      <c r="K45" s="43">
        <f>+SUM($E$14:E45)/H45</f>
        <v>-6.6739861946577541</v>
      </c>
    </row>
    <row r="46" spans="1:11" x14ac:dyDescent="0.3">
      <c r="A46" s="123">
        <f t="shared" si="2"/>
        <v>45</v>
      </c>
      <c r="B46" s="22">
        <f>+data!B46</f>
        <v>25934.021484000001</v>
      </c>
      <c r="C46" s="22"/>
      <c r="D46" s="22">
        <v>35209.321799999998</v>
      </c>
      <c r="E46" s="23">
        <f t="shared" si="3"/>
        <v>9275.3003159999971</v>
      </c>
      <c r="F46" s="22">
        <f t="shared" si="1"/>
        <v>9275.3003159999971</v>
      </c>
      <c r="G46" s="22">
        <f>+SUMSQ($E$14:E46)/(A46-12)</f>
        <v>40841710.802227676</v>
      </c>
      <c r="H46" s="22">
        <f>+SUM($F$14:F46)/(A46-12)</f>
        <v>4059.8850896363642</v>
      </c>
      <c r="I46" s="124">
        <f t="shared" si="4"/>
        <v>35.764990484496956</v>
      </c>
      <c r="J46" s="124">
        <f>+AVERAGE($I$14:I46)</f>
        <v>11.814794336383658</v>
      </c>
      <c r="K46" s="125">
        <f>+SUM($E$14:E46)/H46</f>
        <v>-4.1214415104292259</v>
      </c>
    </row>
    <row r="47" spans="1:11" x14ac:dyDescent="0.3">
      <c r="A47" s="8">
        <f t="shared" si="2"/>
        <v>46</v>
      </c>
      <c r="B47" s="9">
        <f>+data!B47</f>
        <v>26967.396484000001</v>
      </c>
      <c r="C47" s="9"/>
      <c r="D47" s="9">
        <v>33694.624799999998</v>
      </c>
      <c r="E47" s="11">
        <f t="shared" si="3"/>
        <v>6727.228315999997</v>
      </c>
      <c r="F47" s="9">
        <f t="shared" si="1"/>
        <v>6727.228315999997</v>
      </c>
      <c r="G47" s="9">
        <f>+SUMSQ($E$14:E47)/(A47-12)</f>
        <v>40971531.096738398</v>
      </c>
      <c r="H47" s="9">
        <f>+SUM($F$14:F47)/(A47-12)</f>
        <v>4138.3363610000006</v>
      </c>
      <c r="I47" s="10">
        <f t="shared" si="4"/>
        <v>24.945783401787867</v>
      </c>
      <c r="J47" s="10">
        <f>+AVERAGE($I$14:I47)</f>
        <v>12.200999897130842</v>
      </c>
      <c r="K47" s="43">
        <f>+SUM($E$14:E47)/H47</f>
        <v>-2.4177229077585829</v>
      </c>
    </row>
    <row r="48" spans="1:11" x14ac:dyDescent="0.3">
      <c r="A48" s="123">
        <f t="shared" si="2"/>
        <v>47</v>
      </c>
      <c r="B48" s="22">
        <f>+data!B48</f>
        <v>34657.273437999997</v>
      </c>
      <c r="C48" s="22"/>
      <c r="D48" s="22">
        <v>34047.120300000002</v>
      </c>
      <c r="E48" s="23">
        <f t="shared" si="3"/>
        <v>-610.15313799999421</v>
      </c>
      <c r="F48" s="22">
        <f t="shared" si="1"/>
        <v>610.15313799999421</v>
      </c>
      <c r="G48" s="22">
        <f>+SUMSQ($E$14:E48)/(A48-12)</f>
        <v>39811552.689740472</v>
      </c>
      <c r="H48" s="22">
        <f>+SUM($F$14:F48)/(A48-12)</f>
        <v>4037.531126057143</v>
      </c>
      <c r="I48" s="124">
        <f t="shared" si="4"/>
        <v>1.760534160575342</v>
      </c>
      <c r="J48" s="124">
        <f>+AVERAGE($I$14:I48)</f>
        <v>11.902700876086397</v>
      </c>
      <c r="K48" s="125">
        <f>+SUM($E$14:E48)/H48</f>
        <v>-2.629206667780311</v>
      </c>
    </row>
    <row r="49" spans="1:11" x14ac:dyDescent="0.3">
      <c r="A49" s="8">
        <f t="shared" si="2"/>
        <v>48</v>
      </c>
      <c r="B49" s="9">
        <f>+data!B49</f>
        <v>37718.007812999997</v>
      </c>
      <c r="C49" s="9"/>
      <c r="D49" s="9">
        <v>40377.923199999997</v>
      </c>
      <c r="E49" s="11">
        <f t="shared" si="3"/>
        <v>2659.9153870000009</v>
      </c>
      <c r="F49" s="9">
        <f t="shared" si="1"/>
        <v>2659.9153870000009</v>
      </c>
      <c r="G49" s="9">
        <f>+SUMSQ($E$14:E49)/(A49-12)</f>
        <v>38902208.166858777</v>
      </c>
      <c r="H49" s="9">
        <f>+SUM($F$14:F49)/(A49-12)</f>
        <v>3999.2640221944439</v>
      </c>
      <c r="I49" s="10">
        <f t="shared" si="4"/>
        <v>7.0521099634621383</v>
      </c>
      <c r="J49" s="10">
        <f>+AVERAGE($I$14:I49)</f>
        <v>11.767962239624614</v>
      </c>
      <c r="K49" s="43">
        <f>+SUM($E$14:E49)/H49</f>
        <v>-1.9892631061238764</v>
      </c>
    </row>
    <row r="50" spans="1:11" x14ac:dyDescent="0.3">
      <c r="A50" s="123">
        <f t="shared" si="2"/>
        <v>49</v>
      </c>
      <c r="B50" s="22">
        <f>+data!B50</f>
        <v>42280.234375</v>
      </c>
      <c r="C50" s="22"/>
      <c r="D50" s="22">
        <v>42278.420299999998</v>
      </c>
      <c r="E50" s="23">
        <f t="shared" si="3"/>
        <v>-1.8140750000020489</v>
      </c>
      <c r="F50" s="22">
        <f t="shared" si="1"/>
        <v>1.8140750000020489</v>
      </c>
      <c r="G50" s="22">
        <f>+SUMSQ($E$14:E50)/(A50-12)</f>
        <v>37850797.224264435</v>
      </c>
      <c r="H50" s="22">
        <f>+SUM($F$14:F50)/(A50-12)</f>
        <v>3891.2248344324321</v>
      </c>
      <c r="I50" s="124">
        <f t="shared" si="4"/>
        <v>4.2905982590169802E-3</v>
      </c>
      <c r="J50" s="124">
        <f>+AVERAGE($I$14:I50)</f>
        <v>11.450025168236353</v>
      </c>
      <c r="K50" s="125">
        <f>+SUM($E$14:E50)/H50</f>
        <v>-2.0449608502667371</v>
      </c>
    </row>
    <row r="51" spans="1:11" x14ac:dyDescent="0.3">
      <c r="A51" s="8">
        <f t="shared" si="2"/>
        <v>50</v>
      </c>
      <c r="B51" s="9">
        <f>+data!B51</f>
        <v>42569.761719000002</v>
      </c>
      <c r="C51" s="9"/>
      <c r="D51" s="9">
        <v>42440.589599999999</v>
      </c>
      <c r="E51" s="11">
        <f t="shared" si="3"/>
        <v>-129.17211900000257</v>
      </c>
      <c r="F51" s="9">
        <f t="shared" si="1"/>
        <v>129.17211900000257</v>
      </c>
      <c r="G51" s="9">
        <f>+SUMSQ($E$14:E51)/(A51-12)</f>
        <v>36855162.703529239</v>
      </c>
      <c r="H51" s="9">
        <f>+SUM($F$14:F51)/(A51-12)</f>
        <v>3792.2234471842103</v>
      </c>
      <c r="I51" s="10">
        <f t="shared" si="4"/>
        <v>0.3034363214261302</v>
      </c>
      <c r="J51" s="10">
        <f>+AVERAGE($I$14:I51)</f>
        <v>11.156693882793979</v>
      </c>
      <c r="K51" s="43">
        <f>+SUM($E$14:E51)/H51</f>
        <v>-2.132409832285703</v>
      </c>
    </row>
    <row r="52" spans="1:11" x14ac:dyDescent="0.3">
      <c r="A52" s="123">
        <f t="shared" si="2"/>
        <v>51</v>
      </c>
      <c r="B52" s="22">
        <f>+data!B52</f>
        <v>61168.0625</v>
      </c>
      <c r="C52" s="22"/>
      <c r="D52" s="22">
        <v>44483.7958</v>
      </c>
      <c r="E52" s="23">
        <f t="shared" si="3"/>
        <v>-16684.2667</v>
      </c>
      <c r="F52" s="22">
        <f t="shared" si="1"/>
        <v>16684.2667</v>
      </c>
      <c r="G52" s="22">
        <f>+SUMSQ($E$14:E52)/(A52-12)</f>
        <v>43047716.360277943</v>
      </c>
      <c r="H52" s="22">
        <f>+SUM($F$14:F52)/(A52-12)</f>
        <v>4122.7886587948715</v>
      </c>
      <c r="I52" s="124">
        <f t="shared" si="4"/>
        <v>27.27610785448697</v>
      </c>
      <c r="J52" s="124">
        <f>+AVERAGE($I$14:I52)</f>
        <v>11.570012189760465</v>
      </c>
      <c r="K52" s="125">
        <f>+SUM($E$14:E52)/H52</f>
        <v>-6.0082733593821258</v>
      </c>
    </row>
    <row r="53" spans="1:11" x14ac:dyDescent="0.3">
      <c r="A53" s="8">
        <f t="shared" si="2"/>
        <v>52</v>
      </c>
      <c r="B53" s="9">
        <f>+data!B53</f>
        <v>71333.484375</v>
      </c>
      <c r="C53" s="9"/>
      <c r="D53" s="9">
        <v>57524.443599999999</v>
      </c>
      <c r="E53" s="11">
        <f t="shared" si="3"/>
        <v>-13809.040775000001</v>
      </c>
      <c r="F53" s="9">
        <f t="shared" si="1"/>
        <v>13809.040775000001</v>
      </c>
      <c r="G53" s="9">
        <f>+SUMSQ($E$14:E53)/(A53-12)</f>
        <v>46738763.629411317</v>
      </c>
      <c r="H53" s="9">
        <f>+SUM($F$14:F53)/(A53-12)</f>
        <v>4364.9449617</v>
      </c>
      <c r="I53" s="10">
        <f t="shared" si="4"/>
        <v>19.358427386507433</v>
      </c>
      <c r="J53" s="10">
        <f>+AVERAGE($I$14:I53)</f>
        <v>11.76472256967914</v>
      </c>
      <c r="K53" s="43">
        <f>+SUM($E$14:E53)/H53</f>
        <v>-8.8385723940432968</v>
      </c>
    </row>
    <row r="54" spans="1:11" x14ac:dyDescent="0.3">
      <c r="A54" s="123">
        <f t="shared" si="2"/>
        <v>53</v>
      </c>
      <c r="B54" s="22">
        <f>+data!B54</f>
        <v>60609.496094000002</v>
      </c>
      <c r="C54" s="22"/>
      <c r="D54" s="22">
        <v>62830.651100000003</v>
      </c>
      <c r="E54" s="23">
        <f t="shared" si="3"/>
        <v>2221.1550060000009</v>
      </c>
      <c r="F54" s="22">
        <f t="shared" si="1"/>
        <v>2221.1550060000009</v>
      </c>
      <c r="G54" s="22">
        <f>+SUMSQ($E$14:E54)/(A54-12)</f>
        <v>45719123.77407638</v>
      </c>
      <c r="H54" s="22">
        <f>+SUM($F$14:F54)/(A54-12)</f>
        <v>4312.6574018048777</v>
      </c>
      <c r="I54" s="124">
        <f t="shared" si="4"/>
        <v>3.6646980244732354</v>
      </c>
      <c r="J54" s="124">
        <f>+AVERAGE($I$14:I54)</f>
        <v>11.567160995405827</v>
      </c>
      <c r="K54" s="125">
        <f>+SUM($E$14:E54)/H54</f>
        <v>-8.4307014553911959</v>
      </c>
    </row>
    <row r="55" spans="1:11" x14ac:dyDescent="0.3">
      <c r="A55" s="8">
        <f t="shared" si="2"/>
        <v>54</v>
      </c>
      <c r="B55" s="9">
        <f>+data!B55</f>
        <v>67489.609375</v>
      </c>
      <c r="C55" s="9"/>
      <c r="D55" s="9">
        <v>56413.539499999999</v>
      </c>
      <c r="E55" s="11">
        <f t="shared" si="3"/>
        <v>-11076.069875000001</v>
      </c>
      <c r="F55" s="9">
        <f t="shared" si="1"/>
        <v>11076.069875000001</v>
      </c>
      <c r="G55" s="9">
        <f>+SUMSQ($E$14:E55)/(A55-12)</f>
        <v>47551509.490786053</v>
      </c>
      <c r="H55" s="9">
        <f>+SUM($F$14:F55)/(A55-12)</f>
        <v>4473.6910321190471</v>
      </c>
      <c r="I55" s="10">
        <f t="shared" si="4"/>
        <v>16.411518717580371</v>
      </c>
      <c r="J55" s="10">
        <f>+AVERAGE($I$14:I55)</f>
        <v>11.682502845933792</v>
      </c>
      <c r="K55" s="43">
        <f>+SUM($E$14:E55)/H55</f>
        <v>-10.60305608242499</v>
      </c>
    </row>
    <row r="56" spans="1:11" x14ac:dyDescent="0.3">
      <c r="A56" s="123">
        <f t="shared" si="2"/>
        <v>55</v>
      </c>
      <c r="B56" s="22">
        <f>+data!B56</f>
        <v>62673.605469000002</v>
      </c>
      <c r="C56" s="22"/>
      <c r="D56" s="22">
        <v>62771.590199999999</v>
      </c>
      <c r="E56" s="23">
        <f t="shared" si="3"/>
        <v>97.984730999996827</v>
      </c>
      <c r="F56" s="22">
        <f t="shared" si="1"/>
        <v>97.984730999996827</v>
      </c>
      <c r="G56" s="22">
        <f>+SUMSQ($E$14:E56)/(A56-12)</f>
        <v>46445883.7121052</v>
      </c>
      <c r="H56" s="22">
        <f>+SUM($F$14:F56)/(A56-12)</f>
        <v>4371.9304204651153</v>
      </c>
      <c r="I56" s="124">
        <f t="shared" si="4"/>
        <v>0.1563413023181866</v>
      </c>
      <c r="J56" s="124">
        <f>+AVERAGE($I$14:I56)</f>
        <v>11.414452577477615</v>
      </c>
      <c r="K56" s="125">
        <f>+SUM($E$14:E56)/H56</f>
        <v>-10.827439511940813</v>
      </c>
    </row>
    <row r="57" spans="1:11" x14ac:dyDescent="0.3">
      <c r="A57" s="8">
        <f t="shared" si="2"/>
        <v>56</v>
      </c>
      <c r="B57" s="9">
        <f>+data!B57</f>
        <v>64625.839844000002</v>
      </c>
      <c r="C57" s="9"/>
      <c r="D57" s="9">
        <v>60750.712200000002</v>
      </c>
      <c r="E57" s="11">
        <f t="shared" si="3"/>
        <v>-3875.1276440000001</v>
      </c>
      <c r="F57" s="9">
        <f t="shared" si="1"/>
        <v>3875.1276440000001</v>
      </c>
      <c r="G57" s="9">
        <f>+SUMSQ($E$14:E57)/(A57-12)</f>
        <v>45731582.133586735</v>
      </c>
      <c r="H57" s="9">
        <f>+SUM($F$14:F57)/(A57-12)</f>
        <v>4360.6394482727264</v>
      </c>
      <c r="I57" s="10">
        <f t="shared" si="4"/>
        <v>5.9962511177481828</v>
      </c>
      <c r="J57" s="10">
        <f>+AVERAGE($I$14:I57)</f>
        <v>11.291311635211036</v>
      </c>
      <c r="K57" s="43">
        <f>+SUM($E$14:E57)/H57</f>
        <v>-11.744135333703257</v>
      </c>
    </row>
    <row r="58" spans="1:11" x14ac:dyDescent="0.3">
      <c r="A58" s="123">
        <f t="shared" si="2"/>
        <v>57</v>
      </c>
      <c r="B58" s="22">
        <f>+data!B58</f>
        <v>58969.800780999998</v>
      </c>
      <c r="C58" s="22"/>
      <c r="D58" s="22">
        <v>59008.226300000002</v>
      </c>
      <c r="E58" s="23">
        <f t="shared" si="3"/>
        <v>38.425519000003987</v>
      </c>
      <c r="F58" s="22">
        <f t="shared" si="1"/>
        <v>38.425519000003987</v>
      </c>
      <c r="G58" s="22">
        <f>+SUMSQ($E$14:E58)/(A58-12)</f>
        <v>44715357.564407267</v>
      </c>
      <c r="H58" s="22">
        <f>+SUM($F$14:F58)/(A58-12)</f>
        <v>4264.5902498444439</v>
      </c>
      <c r="I58" s="124">
        <f t="shared" si="4"/>
        <v>6.5161351218918556E-2</v>
      </c>
      <c r="J58" s="124">
        <f>+AVERAGE($I$14:I58)</f>
        <v>11.0418416289001</v>
      </c>
      <c r="K58" s="125">
        <f>+SUM($E$14:E58)/H58</f>
        <v>-11.999632158064099</v>
      </c>
    </row>
    <row r="59" spans="1:11" x14ac:dyDescent="0.3">
      <c r="A59" s="8">
        <v>58</v>
      </c>
      <c r="B59" s="9"/>
      <c r="C59" s="9"/>
      <c r="D59" s="9"/>
      <c r="E59" s="11"/>
      <c r="F59" s="9"/>
      <c r="G59" s="9"/>
      <c r="H59" s="9"/>
      <c r="I59" s="10"/>
      <c r="J59" s="10"/>
      <c r="K59" s="43"/>
    </row>
    <row r="61" spans="1:11" x14ac:dyDescent="0.3">
      <c r="H61" s="4">
        <f>+H58*1.25</f>
        <v>5330.7378123055551</v>
      </c>
    </row>
  </sheetData>
  <conditionalFormatting sqref="K2:K59">
    <cfRule type="dataBar" priority="1">
      <dataBar>
        <cfvo type="min"/>
        <cfvo type="max"/>
        <color rgb="FF008AEF"/>
      </dataBar>
      <extLst>
        <ext xmlns:x14="http://schemas.microsoft.com/office/spreadsheetml/2009/9/main" uri="{B025F937-C7B1-47D3-B67F-A62EFF666E3E}">
          <x14:id>{925FE76B-E2C3-48FD-A3ED-218049C7E4F8}</x14:id>
        </ext>
      </extLst>
    </cfRule>
  </conditionalFormatting>
  <conditionalFormatting sqref="K5:K58">
    <cfRule type="dataBar" priority="2">
      <dataBar>
        <cfvo type="min"/>
        <cfvo type="max"/>
        <color rgb="FF008AEF"/>
      </dataBar>
      <extLst>
        <ext xmlns:x14="http://schemas.microsoft.com/office/spreadsheetml/2009/9/main" uri="{B025F937-C7B1-47D3-B67F-A62EFF666E3E}">
          <x14:id>{5573D4A2-9177-4009-A4A7-58B73179D4EF}</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25FE76B-E2C3-48FD-A3ED-218049C7E4F8}">
            <x14:dataBar minLength="0" maxLength="100" border="1" negativeBarBorderColorSameAsPositive="0">
              <x14:cfvo type="autoMin"/>
              <x14:cfvo type="autoMax"/>
              <x14:borderColor rgb="FF008AEF"/>
              <x14:negativeFillColor rgb="FFFF0000"/>
              <x14:negativeBorderColor rgb="FFFF0000"/>
              <x14:axisColor rgb="FF000000"/>
            </x14:dataBar>
          </x14:cfRule>
          <xm:sqref>K2:K59</xm:sqref>
        </x14:conditionalFormatting>
        <x14:conditionalFormatting xmlns:xm="http://schemas.microsoft.com/office/excel/2006/main">
          <x14:cfRule type="dataBar" id="{5573D4A2-9177-4009-A4A7-58B73179D4EF}">
            <x14:dataBar minLength="0" maxLength="100" border="1" negativeBarBorderColorSameAsPositive="0">
              <x14:cfvo type="autoMin"/>
              <x14:cfvo type="autoMax"/>
              <x14:borderColor rgb="FF008AEF"/>
              <x14:negativeFillColor rgb="FFFF0000"/>
              <x14:negativeBorderColor rgb="FFFF0000"/>
              <x14:axisColor rgb="FF000000"/>
            </x14:dataBar>
          </x14:cfRule>
          <xm:sqref>K5:K58</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9531-4D0F-41C9-A50A-A83E04850FAE}">
  <sheetPr>
    <tabColor theme="9" tint="-0.499984740745262"/>
  </sheetPr>
  <dimension ref="A1:W58"/>
  <sheetViews>
    <sheetView showGridLines="0" zoomScale="80" zoomScaleNormal="80" workbookViewId="0">
      <pane ySplit="1" topLeftCell="A26" activePane="bottomLeft" state="frozen"/>
      <selection pane="bottomLeft" activeCell="E48" sqref="E48"/>
    </sheetView>
  </sheetViews>
  <sheetFormatPr baseColWidth="10" defaultRowHeight="14.4" x14ac:dyDescent="0.3"/>
  <cols>
    <col min="6" max="6" width="14.5546875" bestFit="1" customWidth="1"/>
    <col min="7" max="7" width="5" bestFit="1" customWidth="1"/>
    <col min="8" max="8" width="10.44140625" bestFit="1" customWidth="1"/>
    <col min="9" max="14" width="12.77734375" bestFit="1" customWidth="1"/>
    <col min="15" max="15" width="14.21875" bestFit="1" customWidth="1"/>
  </cols>
  <sheetData>
    <row r="1" spans="1:22" x14ac:dyDescent="0.3">
      <c r="A1" s="3" t="s">
        <v>7</v>
      </c>
      <c r="B1" s="3" t="s">
        <v>8</v>
      </c>
      <c r="C1" s="3" t="s">
        <v>36</v>
      </c>
      <c r="G1" s="3" t="s">
        <v>37</v>
      </c>
      <c r="H1" s="26">
        <v>1</v>
      </c>
      <c r="I1" s="26">
        <f>+H1+1</f>
        <v>2</v>
      </c>
      <c r="J1" s="26">
        <f t="shared" ref="J1:O1" si="0">+I1+1</f>
        <v>3</v>
      </c>
      <c r="K1" s="26">
        <f t="shared" si="0"/>
        <v>4</v>
      </c>
      <c r="L1" s="26">
        <f t="shared" si="0"/>
        <v>5</v>
      </c>
      <c r="M1" s="26">
        <f t="shared" si="0"/>
        <v>6</v>
      </c>
      <c r="N1" s="26">
        <f t="shared" si="0"/>
        <v>7</v>
      </c>
      <c r="O1" s="26">
        <f t="shared" si="0"/>
        <v>8</v>
      </c>
    </row>
    <row r="2" spans="1:22" x14ac:dyDescent="0.3">
      <c r="A2" s="5">
        <v>1</v>
      </c>
      <c r="B2" s="6">
        <f>+data!B2</f>
        <v>7194.8920900000003</v>
      </c>
      <c r="C2" s="6">
        <f t="shared" ref="C2:C9" si="1">+IF(B2&lt;10000,1,IF(B2&lt;20000,2,IF(B2&lt;30000,3,IF(B2&lt;40000,4,IF(B2&lt;50000,5,IF(B2&lt;60000,6,IF(B2&lt;70000,7,8)))))))</f>
        <v>1</v>
      </c>
      <c r="G2" s="26">
        <v>1</v>
      </c>
      <c r="H2" s="21">
        <f>+COUNTIF($E:$E,$G2&amp;H$1)</f>
        <v>6</v>
      </c>
      <c r="I2" s="21">
        <f t="shared" ref="I2:O2" si="2">+COUNTIF($E:$E,$G2&amp;I$1)</f>
        <v>1</v>
      </c>
      <c r="J2" s="21">
        <f t="shared" si="2"/>
        <v>0</v>
      </c>
      <c r="K2" s="21">
        <f t="shared" si="2"/>
        <v>0</v>
      </c>
      <c r="L2" s="21">
        <f t="shared" si="2"/>
        <v>0</v>
      </c>
      <c r="M2" s="21">
        <f t="shared" si="2"/>
        <v>0</v>
      </c>
      <c r="N2" s="21">
        <f t="shared" si="2"/>
        <v>0</v>
      </c>
      <c r="O2" s="21">
        <f t="shared" si="2"/>
        <v>0</v>
      </c>
      <c r="P2" s="30">
        <f>+SUM(H2:O2)</f>
        <v>7</v>
      </c>
    </row>
    <row r="3" spans="1:22" x14ac:dyDescent="0.3">
      <c r="A3" s="8">
        <f>+A2+1</f>
        <v>2</v>
      </c>
      <c r="B3" s="9">
        <f>+data!B3</f>
        <v>9346.3574219999991</v>
      </c>
      <c r="C3" s="6">
        <f t="shared" si="1"/>
        <v>1</v>
      </c>
      <c r="D3" t="str">
        <f t="shared" ref="D3:D58" si="3">+C2&amp;" a "&amp;C3</f>
        <v>1 a 1</v>
      </c>
      <c r="E3" t="str">
        <f>+C2&amp;C3</f>
        <v>11</v>
      </c>
      <c r="G3" s="26">
        <f>+G2+1</f>
        <v>2</v>
      </c>
      <c r="H3" s="21">
        <f t="shared" ref="H3:O9" si="4">+COUNTIF($E:$E,$G3&amp;H$1)</f>
        <v>0</v>
      </c>
      <c r="I3" s="21">
        <f t="shared" si="4"/>
        <v>5</v>
      </c>
      <c r="J3" s="21">
        <f t="shared" si="4"/>
        <v>4</v>
      </c>
      <c r="K3" s="21">
        <f t="shared" si="4"/>
        <v>0</v>
      </c>
      <c r="L3" s="21">
        <f t="shared" si="4"/>
        <v>0</v>
      </c>
      <c r="M3" s="21">
        <f t="shared" si="4"/>
        <v>0</v>
      </c>
      <c r="N3" s="21">
        <f t="shared" si="4"/>
        <v>0</v>
      </c>
      <c r="O3" s="21">
        <f t="shared" si="4"/>
        <v>0</v>
      </c>
      <c r="P3" s="30">
        <f t="shared" ref="P3:P9" si="5">+SUM(H3:O3)</f>
        <v>9</v>
      </c>
    </row>
    <row r="4" spans="1:22" x14ac:dyDescent="0.3">
      <c r="A4" s="5">
        <f t="shared" ref="A4:A58" si="6">+A3+1</f>
        <v>3</v>
      </c>
      <c r="B4" s="6">
        <f>+data!B4</f>
        <v>8599.7587889999995</v>
      </c>
      <c r="C4" s="6">
        <f t="shared" si="1"/>
        <v>1</v>
      </c>
      <c r="D4" t="str">
        <f t="shared" si="3"/>
        <v>1 a 1</v>
      </c>
      <c r="E4" t="str">
        <f t="shared" ref="E4:E58" si="7">+C3&amp;C4</f>
        <v>11</v>
      </c>
      <c r="G4" s="26">
        <f t="shared" ref="G4:G9" si="8">+G3+1</f>
        <v>3</v>
      </c>
      <c r="H4" s="21">
        <f t="shared" si="4"/>
        <v>0</v>
      </c>
      <c r="I4" s="21">
        <f t="shared" si="4"/>
        <v>2</v>
      </c>
      <c r="J4" s="21">
        <f t="shared" si="4"/>
        <v>7</v>
      </c>
      <c r="K4" s="21">
        <f t="shared" si="4"/>
        <v>3</v>
      </c>
      <c r="L4" s="21">
        <f t="shared" si="4"/>
        <v>0</v>
      </c>
      <c r="M4" s="21">
        <f t="shared" si="4"/>
        <v>0</v>
      </c>
      <c r="N4" s="21">
        <f t="shared" si="4"/>
        <v>0</v>
      </c>
      <c r="O4" s="21">
        <f t="shared" si="4"/>
        <v>0</v>
      </c>
      <c r="P4" s="30">
        <f t="shared" si="5"/>
        <v>12</v>
      </c>
    </row>
    <row r="5" spans="1:22" x14ac:dyDescent="0.3">
      <c r="A5" s="8">
        <f t="shared" si="6"/>
        <v>4</v>
      </c>
      <c r="B5" s="9">
        <f>+data!B5</f>
        <v>6437.3193359999996</v>
      </c>
      <c r="C5" s="6">
        <f t="shared" si="1"/>
        <v>1</v>
      </c>
      <c r="D5" t="str">
        <f t="shared" si="3"/>
        <v>1 a 1</v>
      </c>
      <c r="E5" t="str">
        <f t="shared" si="7"/>
        <v>11</v>
      </c>
      <c r="G5" s="26">
        <f t="shared" si="8"/>
        <v>4</v>
      </c>
      <c r="H5" s="21">
        <f t="shared" si="4"/>
        <v>0</v>
      </c>
      <c r="I5" s="21">
        <f t="shared" si="4"/>
        <v>1</v>
      </c>
      <c r="J5" s="21">
        <f t="shared" si="4"/>
        <v>1</v>
      </c>
      <c r="K5" s="21">
        <f t="shared" si="4"/>
        <v>3</v>
      </c>
      <c r="L5" s="21">
        <f t="shared" si="4"/>
        <v>4</v>
      </c>
      <c r="M5" s="21">
        <f t="shared" si="4"/>
        <v>0</v>
      </c>
      <c r="N5" s="21">
        <f t="shared" si="4"/>
        <v>0</v>
      </c>
      <c r="O5" s="21">
        <f t="shared" si="4"/>
        <v>0</v>
      </c>
      <c r="P5" s="30">
        <f t="shared" si="5"/>
        <v>9</v>
      </c>
    </row>
    <row r="6" spans="1:22" x14ac:dyDescent="0.3">
      <c r="A6" s="5">
        <f t="shared" si="6"/>
        <v>5</v>
      </c>
      <c r="B6" s="6">
        <f>+data!B6</f>
        <v>8672.7822269999997</v>
      </c>
      <c r="C6" s="6">
        <f t="shared" si="1"/>
        <v>1</v>
      </c>
      <c r="D6" t="str">
        <f t="shared" si="3"/>
        <v>1 a 1</v>
      </c>
      <c r="E6" t="str">
        <f t="shared" si="7"/>
        <v>11</v>
      </c>
      <c r="G6" s="26">
        <f t="shared" si="8"/>
        <v>5</v>
      </c>
      <c r="H6" s="21">
        <f t="shared" si="4"/>
        <v>0</v>
      </c>
      <c r="I6" s="21">
        <f t="shared" si="4"/>
        <v>0</v>
      </c>
      <c r="J6" s="21">
        <f t="shared" si="4"/>
        <v>0</v>
      </c>
      <c r="K6" s="21">
        <f t="shared" si="4"/>
        <v>2</v>
      </c>
      <c r="L6" s="21">
        <f t="shared" si="4"/>
        <v>4</v>
      </c>
      <c r="M6" s="21">
        <f t="shared" si="4"/>
        <v>1</v>
      </c>
      <c r="N6" s="21">
        <f t="shared" si="4"/>
        <v>2</v>
      </c>
      <c r="O6" s="21">
        <f t="shared" si="4"/>
        <v>0</v>
      </c>
      <c r="P6" s="30">
        <f t="shared" si="5"/>
        <v>9</v>
      </c>
    </row>
    <row r="7" spans="1:22" x14ac:dyDescent="0.3">
      <c r="A7" s="8">
        <f t="shared" si="6"/>
        <v>6</v>
      </c>
      <c r="B7" s="9">
        <f>+data!B7</f>
        <v>9463.6054690000001</v>
      </c>
      <c r="C7" s="6">
        <f t="shared" si="1"/>
        <v>1</v>
      </c>
      <c r="D7" t="str">
        <f t="shared" si="3"/>
        <v>1 a 1</v>
      </c>
      <c r="E7" t="str">
        <f t="shared" si="7"/>
        <v>11</v>
      </c>
      <c r="G7" s="26">
        <f t="shared" si="8"/>
        <v>6</v>
      </c>
      <c r="H7" s="21">
        <f t="shared" si="4"/>
        <v>0</v>
      </c>
      <c r="I7" s="21">
        <f t="shared" si="4"/>
        <v>0</v>
      </c>
      <c r="J7" s="21">
        <f t="shared" si="4"/>
        <v>0</v>
      </c>
      <c r="K7" s="21">
        <f t="shared" si="4"/>
        <v>1</v>
      </c>
      <c r="L7" s="21">
        <f t="shared" si="4"/>
        <v>1</v>
      </c>
      <c r="M7" s="21">
        <f t="shared" si="4"/>
        <v>1</v>
      </c>
      <c r="N7" s="21">
        <f t="shared" si="4"/>
        <v>0</v>
      </c>
      <c r="O7" s="21">
        <f t="shared" si="4"/>
        <v>0</v>
      </c>
      <c r="P7" s="30">
        <f t="shared" si="5"/>
        <v>3</v>
      </c>
    </row>
    <row r="8" spans="1:22" x14ac:dyDescent="0.3">
      <c r="A8" s="5">
        <f t="shared" si="6"/>
        <v>7</v>
      </c>
      <c r="B8" s="6">
        <f>+data!B8</f>
        <v>9145.9853519999997</v>
      </c>
      <c r="C8" s="6">
        <f t="shared" si="1"/>
        <v>1</v>
      </c>
      <c r="D8" t="str">
        <f t="shared" si="3"/>
        <v>1 a 1</v>
      </c>
      <c r="E8" t="str">
        <f t="shared" si="7"/>
        <v>11</v>
      </c>
      <c r="G8" s="26">
        <f t="shared" si="8"/>
        <v>7</v>
      </c>
      <c r="H8" s="21">
        <f t="shared" si="4"/>
        <v>0</v>
      </c>
      <c r="I8" s="21">
        <f t="shared" si="4"/>
        <v>0</v>
      </c>
      <c r="J8" s="21">
        <f t="shared" si="4"/>
        <v>0</v>
      </c>
      <c r="K8" s="21">
        <f t="shared" si="4"/>
        <v>0</v>
      </c>
      <c r="L8" s="21">
        <f t="shared" si="4"/>
        <v>0</v>
      </c>
      <c r="M8" s="21">
        <f t="shared" si="4"/>
        <v>2</v>
      </c>
      <c r="N8" s="21">
        <f t="shared" si="4"/>
        <v>3</v>
      </c>
      <c r="O8" s="21">
        <f t="shared" si="4"/>
        <v>1</v>
      </c>
      <c r="P8" s="30">
        <f t="shared" si="5"/>
        <v>6</v>
      </c>
    </row>
    <row r="9" spans="1:22" x14ac:dyDescent="0.3">
      <c r="A9" s="8">
        <f t="shared" si="6"/>
        <v>8</v>
      </c>
      <c r="B9" s="9">
        <f>+data!B9</f>
        <v>11322.570313</v>
      </c>
      <c r="C9" s="6">
        <f t="shared" si="1"/>
        <v>2</v>
      </c>
      <c r="D9" t="str">
        <f t="shared" si="3"/>
        <v>1 a 2</v>
      </c>
      <c r="E9" t="str">
        <f t="shared" si="7"/>
        <v>12</v>
      </c>
      <c r="G9" s="26">
        <f t="shared" si="8"/>
        <v>8</v>
      </c>
      <c r="H9" s="21">
        <f t="shared" si="4"/>
        <v>0</v>
      </c>
      <c r="I9" s="21">
        <f t="shared" si="4"/>
        <v>0</v>
      </c>
      <c r="J9" s="21">
        <f t="shared" si="4"/>
        <v>0</v>
      </c>
      <c r="K9" s="21">
        <f t="shared" si="4"/>
        <v>0</v>
      </c>
      <c r="L9" s="21">
        <f t="shared" si="4"/>
        <v>0</v>
      </c>
      <c r="M9" s="21">
        <f t="shared" si="4"/>
        <v>0</v>
      </c>
      <c r="N9" s="21">
        <f t="shared" si="4"/>
        <v>1</v>
      </c>
      <c r="O9" s="21">
        <f t="shared" si="4"/>
        <v>0</v>
      </c>
      <c r="P9" s="30">
        <f t="shared" si="5"/>
        <v>1</v>
      </c>
    </row>
    <row r="10" spans="1:22" x14ac:dyDescent="0.3">
      <c r="A10" s="5">
        <f t="shared" si="6"/>
        <v>9</v>
      </c>
      <c r="B10" s="6">
        <f>+data!B10</f>
        <v>11679.316406</v>
      </c>
      <c r="C10" s="6">
        <f t="shared" ref="C10:C58" si="9">+IF(B10&lt;10000,1,IF(B10&lt;20000,2,IF(B10&lt;30000,3,IF(B10&lt;40000,4,IF(B10&lt;50000,5,IF(B10&lt;60000,6,IF(B10&lt;70000,7,8)))))))</f>
        <v>2</v>
      </c>
      <c r="D10" t="str">
        <f t="shared" si="3"/>
        <v>2 a 2</v>
      </c>
      <c r="E10" t="str">
        <f t="shared" si="7"/>
        <v>22</v>
      </c>
      <c r="G10" s="29"/>
      <c r="H10" s="26">
        <f>+SUM(H2:H9)</f>
        <v>6</v>
      </c>
      <c r="I10" s="26">
        <f t="shared" ref="I10:O10" si="10">+SUM(I2:I9)</f>
        <v>9</v>
      </c>
      <c r="J10" s="26">
        <f t="shared" si="10"/>
        <v>12</v>
      </c>
      <c r="K10" s="26">
        <f t="shared" si="10"/>
        <v>9</v>
      </c>
      <c r="L10" s="26">
        <f t="shared" si="10"/>
        <v>9</v>
      </c>
      <c r="M10" s="26">
        <f t="shared" si="10"/>
        <v>4</v>
      </c>
      <c r="N10" s="26">
        <f t="shared" si="10"/>
        <v>6</v>
      </c>
      <c r="O10" s="26">
        <f t="shared" si="10"/>
        <v>1</v>
      </c>
      <c r="P10" s="31">
        <f>+SUM(H10:O10)</f>
        <v>56</v>
      </c>
    </row>
    <row r="11" spans="1:22" x14ac:dyDescent="0.3">
      <c r="A11" s="8">
        <f t="shared" si="6"/>
        <v>10</v>
      </c>
      <c r="B11" s="9">
        <f>+data!B11</f>
        <v>10795.254883</v>
      </c>
      <c r="C11" s="6">
        <f t="shared" si="9"/>
        <v>2</v>
      </c>
      <c r="D11" t="str">
        <f t="shared" si="3"/>
        <v>2 a 2</v>
      </c>
      <c r="E11" t="str">
        <f t="shared" si="7"/>
        <v>22</v>
      </c>
      <c r="G11" s="29"/>
      <c r="H11" s="35" t="s">
        <v>38</v>
      </c>
      <c r="I11" s="35" t="s">
        <v>39</v>
      </c>
      <c r="J11" s="35" t="s">
        <v>40</v>
      </c>
      <c r="K11" s="35" t="s">
        <v>41</v>
      </c>
      <c r="L11" s="35" t="s">
        <v>42</v>
      </c>
      <c r="M11" s="35" t="s">
        <v>43</v>
      </c>
      <c r="N11" s="35" t="s">
        <v>44</v>
      </c>
      <c r="O11" s="35" t="s">
        <v>91</v>
      </c>
    </row>
    <row r="12" spans="1:22" x14ac:dyDescent="0.3">
      <c r="A12" s="5">
        <f t="shared" si="6"/>
        <v>11</v>
      </c>
      <c r="B12" s="6">
        <f>+data!B12</f>
        <v>13780.995117</v>
      </c>
      <c r="C12" s="6">
        <f t="shared" si="9"/>
        <v>2</v>
      </c>
      <c r="D12" t="str">
        <f t="shared" si="3"/>
        <v>2 a 2</v>
      </c>
      <c r="E12" t="str">
        <f t="shared" si="7"/>
        <v>22</v>
      </c>
      <c r="G12" s="3" t="s">
        <v>37</v>
      </c>
      <c r="H12" s="26">
        <v>1</v>
      </c>
      <c r="I12" s="26">
        <f>+H12+1</f>
        <v>2</v>
      </c>
      <c r="J12" s="26">
        <f t="shared" ref="J12:O12" si="11">+I12+1</f>
        <v>3</v>
      </c>
      <c r="K12" s="26">
        <f t="shared" si="11"/>
        <v>4</v>
      </c>
      <c r="L12" s="26">
        <f t="shared" si="11"/>
        <v>5</v>
      </c>
      <c r="M12" s="26">
        <f t="shared" si="11"/>
        <v>6</v>
      </c>
      <c r="N12" s="26">
        <f t="shared" si="11"/>
        <v>7</v>
      </c>
      <c r="O12" s="26">
        <f t="shared" si="11"/>
        <v>8</v>
      </c>
      <c r="S12" t="s">
        <v>27</v>
      </c>
      <c r="T12" t="s">
        <v>23</v>
      </c>
      <c r="U12" t="s">
        <v>77</v>
      </c>
      <c r="V12" t="s">
        <v>90</v>
      </c>
    </row>
    <row r="13" spans="1:22" x14ac:dyDescent="0.3">
      <c r="A13" s="8">
        <f t="shared" si="6"/>
        <v>12</v>
      </c>
      <c r="B13" s="9">
        <f>+data!B13</f>
        <v>19633.769531000002</v>
      </c>
      <c r="C13" s="6">
        <f t="shared" si="9"/>
        <v>2</v>
      </c>
      <c r="D13" t="str">
        <f t="shared" si="3"/>
        <v>2 a 2</v>
      </c>
      <c r="E13" t="str">
        <f t="shared" si="7"/>
        <v>22</v>
      </c>
      <c r="F13" t="s">
        <v>38</v>
      </c>
      <c r="G13" s="26">
        <v>1</v>
      </c>
      <c r="H13" s="32">
        <f t="shared" ref="H13:I16" si="12">+H2/$P2</f>
        <v>0.8571428571428571</v>
      </c>
      <c r="I13" s="32">
        <f t="shared" si="12"/>
        <v>0.14285714285714285</v>
      </c>
      <c r="J13" s="32">
        <f t="shared" ref="J13:O13" si="13">+J2/$P2</f>
        <v>0</v>
      </c>
      <c r="K13" s="32">
        <f t="shared" si="13"/>
        <v>0</v>
      </c>
      <c r="L13" s="32">
        <f t="shared" si="13"/>
        <v>0</v>
      </c>
      <c r="M13" s="32">
        <f t="shared" si="13"/>
        <v>0</v>
      </c>
      <c r="N13" s="32">
        <f t="shared" si="13"/>
        <v>0</v>
      </c>
      <c r="O13" s="32">
        <f t="shared" si="13"/>
        <v>0</v>
      </c>
      <c r="P13" s="34">
        <f>+SUM(H13:O13)</f>
        <v>1</v>
      </c>
      <c r="Q13">
        <v>5000</v>
      </c>
      <c r="S13" s="44">
        <f>+$S$18</f>
        <v>58969.800780999998</v>
      </c>
      <c r="T13" t="str">
        <f>+$T$18</f>
        <v>50,000-60,000</v>
      </c>
      <c r="U13" s="34">
        <f>+H18</f>
        <v>0</v>
      </c>
      <c r="V13" s="44">
        <f>+U13*S13</f>
        <v>0</v>
      </c>
    </row>
    <row r="14" spans="1:22" x14ac:dyDescent="0.3">
      <c r="A14" s="5">
        <f t="shared" si="6"/>
        <v>13</v>
      </c>
      <c r="B14" s="6">
        <f>+data!B14</f>
        <v>28994.009765999999</v>
      </c>
      <c r="C14" s="6">
        <f t="shared" si="9"/>
        <v>3</v>
      </c>
      <c r="D14" t="str">
        <f t="shared" si="3"/>
        <v>2 a 3</v>
      </c>
      <c r="E14" t="str">
        <f t="shared" si="7"/>
        <v>23</v>
      </c>
      <c r="F14" t="s">
        <v>39</v>
      </c>
      <c r="G14" s="26">
        <f>+G13+1</f>
        <v>2</v>
      </c>
      <c r="H14" s="32">
        <f t="shared" si="12"/>
        <v>0</v>
      </c>
      <c r="I14" s="32">
        <f t="shared" si="12"/>
        <v>0.55555555555555558</v>
      </c>
      <c r="J14" s="32">
        <f t="shared" ref="I14:O20" si="14">+J3/$P3</f>
        <v>0.44444444444444442</v>
      </c>
      <c r="K14" s="32">
        <f t="shared" si="14"/>
        <v>0</v>
      </c>
      <c r="L14" s="32">
        <f t="shared" si="14"/>
        <v>0</v>
      </c>
      <c r="M14" s="32">
        <f t="shared" si="14"/>
        <v>0</v>
      </c>
      <c r="N14" s="32">
        <f t="shared" si="14"/>
        <v>0</v>
      </c>
      <c r="O14" s="32">
        <f t="shared" si="14"/>
        <v>0</v>
      </c>
      <c r="P14" s="34">
        <f t="shared" ref="P14:P20" si="15">+SUM(H14:O14)</f>
        <v>1</v>
      </c>
      <c r="Q14">
        <v>15000</v>
      </c>
      <c r="S14" s="44">
        <f t="shared" ref="S14:S17" si="16">+$S$18</f>
        <v>58969.800780999998</v>
      </c>
      <c r="T14" t="str">
        <f t="shared" ref="T14:T17" si="17">+$T$18</f>
        <v>50,000-60,000</v>
      </c>
      <c r="U14" s="34">
        <f>+I18</f>
        <v>0</v>
      </c>
      <c r="V14" s="44">
        <f t="shared" ref="V14:V20" si="18">+U14*S14</f>
        <v>0</v>
      </c>
    </row>
    <row r="15" spans="1:22" x14ac:dyDescent="0.3">
      <c r="A15" s="8">
        <f t="shared" si="6"/>
        <v>14</v>
      </c>
      <c r="B15" s="9">
        <f>+data!B15</f>
        <v>33114.578125</v>
      </c>
      <c r="C15" s="6">
        <f t="shared" si="9"/>
        <v>4</v>
      </c>
      <c r="D15" t="str">
        <f t="shared" si="3"/>
        <v>3 a 4</v>
      </c>
      <c r="E15" t="str">
        <f t="shared" si="7"/>
        <v>34</v>
      </c>
      <c r="F15" t="s">
        <v>40</v>
      </c>
      <c r="G15" s="26">
        <f t="shared" ref="G15:G20" si="19">+G14+1</f>
        <v>3</v>
      </c>
      <c r="H15" s="32">
        <f t="shared" si="12"/>
        <v>0</v>
      </c>
      <c r="I15" s="32">
        <f t="shared" si="12"/>
        <v>0.16666666666666666</v>
      </c>
      <c r="J15" s="32">
        <f t="shared" si="14"/>
        <v>0.58333333333333337</v>
      </c>
      <c r="K15" s="32">
        <f t="shared" si="14"/>
        <v>0.25</v>
      </c>
      <c r="L15" s="32">
        <f t="shared" si="14"/>
        <v>0</v>
      </c>
      <c r="M15" s="32">
        <f t="shared" si="14"/>
        <v>0</v>
      </c>
      <c r="N15" s="32">
        <f t="shared" si="14"/>
        <v>0</v>
      </c>
      <c r="O15" s="32">
        <f t="shared" si="14"/>
        <v>0</v>
      </c>
      <c r="P15" s="34">
        <f t="shared" si="15"/>
        <v>1</v>
      </c>
      <c r="Q15">
        <v>25000</v>
      </c>
      <c r="S15" s="44">
        <f t="shared" si="16"/>
        <v>58969.800780999998</v>
      </c>
      <c r="T15" t="str">
        <f t="shared" si="17"/>
        <v>50,000-60,000</v>
      </c>
      <c r="U15" s="34">
        <f>+J18</f>
        <v>0</v>
      </c>
      <c r="V15" s="44">
        <f t="shared" si="18"/>
        <v>0</v>
      </c>
    </row>
    <row r="16" spans="1:22" x14ac:dyDescent="0.3">
      <c r="A16" s="5">
        <f t="shared" si="6"/>
        <v>15</v>
      </c>
      <c r="B16" s="6">
        <f>+data!B16</f>
        <v>45159.503905999998</v>
      </c>
      <c r="C16" s="6">
        <f t="shared" si="9"/>
        <v>5</v>
      </c>
      <c r="D16" t="str">
        <f t="shared" si="3"/>
        <v>4 a 5</v>
      </c>
      <c r="E16" t="str">
        <f t="shared" si="7"/>
        <v>45</v>
      </c>
      <c r="F16" t="s">
        <v>41</v>
      </c>
      <c r="G16" s="26">
        <f t="shared" si="19"/>
        <v>4</v>
      </c>
      <c r="H16" s="32">
        <f t="shared" si="12"/>
        <v>0</v>
      </c>
      <c r="I16" s="32">
        <f t="shared" si="12"/>
        <v>0.1111111111111111</v>
      </c>
      <c r="J16" s="32">
        <f t="shared" si="14"/>
        <v>0.1111111111111111</v>
      </c>
      <c r="K16" s="32">
        <f t="shared" si="14"/>
        <v>0.33333333333333331</v>
      </c>
      <c r="L16" s="32">
        <f t="shared" si="14"/>
        <v>0.44444444444444442</v>
      </c>
      <c r="M16" s="32">
        <f t="shared" si="14"/>
        <v>0</v>
      </c>
      <c r="N16" s="32">
        <f t="shared" si="14"/>
        <v>0</v>
      </c>
      <c r="O16" s="32">
        <f t="shared" si="14"/>
        <v>0</v>
      </c>
      <c r="P16" s="34">
        <f t="shared" si="15"/>
        <v>1</v>
      </c>
      <c r="Q16">
        <v>35000</v>
      </c>
      <c r="S16" s="44">
        <f t="shared" si="16"/>
        <v>58969.800780999998</v>
      </c>
      <c r="T16" t="str">
        <f t="shared" si="17"/>
        <v>50,000-60,000</v>
      </c>
      <c r="U16" s="34">
        <f>+K18</f>
        <v>0.33333333333333331</v>
      </c>
      <c r="V16" s="44">
        <f>+Q16</f>
        <v>35000</v>
      </c>
    </row>
    <row r="17" spans="1:23" x14ac:dyDescent="0.3">
      <c r="A17" s="8">
        <f t="shared" si="6"/>
        <v>16</v>
      </c>
      <c r="B17" s="9">
        <f>+data!B17</f>
        <v>58926.5625</v>
      </c>
      <c r="C17" s="6">
        <f t="shared" si="9"/>
        <v>6</v>
      </c>
      <c r="D17" t="str">
        <f t="shared" si="3"/>
        <v>5 a 6</v>
      </c>
      <c r="E17" t="str">
        <f t="shared" si="7"/>
        <v>56</v>
      </c>
      <c r="F17" t="s">
        <v>42</v>
      </c>
      <c r="G17" s="26">
        <f t="shared" si="19"/>
        <v>5</v>
      </c>
      <c r="H17" s="32">
        <f>+H6/$P6</f>
        <v>0</v>
      </c>
      <c r="I17" s="32">
        <f t="shared" si="14"/>
        <v>0</v>
      </c>
      <c r="J17" s="32">
        <f t="shared" si="14"/>
        <v>0</v>
      </c>
      <c r="K17" s="32">
        <f t="shared" si="14"/>
        <v>0.22222222222222221</v>
      </c>
      <c r="L17" s="32">
        <f t="shared" si="14"/>
        <v>0.44444444444444442</v>
      </c>
      <c r="M17" s="32">
        <f t="shared" si="14"/>
        <v>0.1111111111111111</v>
      </c>
      <c r="N17" s="32">
        <f t="shared" si="14"/>
        <v>0.22222222222222221</v>
      </c>
      <c r="O17" s="32">
        <f t="shared" si="14"/>
        <v>0</v>
      </c>
      <c r="P17" s="34">
        <f t="shared" si="15"/>
        <v>0.99999999999999989</v>
      </c>
      <c r="Q17">
        <v>45000</v>
      </c>
      <c r="S17" s="44">
        <f t="shared" si="16"/>
        <v>58969.800780999998</v>
      </c>
      <c r="T17" t="str">
        <f t="shared" si="17"/>
        <v>50,000-60,000</v>
      </c>
      <c r="U17" s="34">
        <f>+L18</f>
        <v>0.33333333333333331</v>
      </c>
      <c r="V17" s="44">
        <f>+Q17</f>
        <v>45000</v>
      </c>
      <c r="W17" s="44"/>
    </row>
    <row r="18" spans="1:23" x14ac:dyDescent="0.3">
      <c r="A18" s="5">
        <f t="shared" si="6"/>
        <v>17</v>
      </c>
      <c r="B18" s="6">
        <f>+data!B18</f>
        <v>57714.664062999997</v>
      </c>
      <c r="C18" s="6">
        <f t="shared" si="9"/>
        <v>6</v>
      </c>
      <c r="D18" t="str">
        <f t="shared" si="3"/>
        <v>6 a 6</v>
      </c>
      <c r="E18" t="str">
        <f t="shared" si="7"/>
        <v>66</v>
      </c>
      <c r="F18" t="s">
        <v>43</v>
      </c>
      <c r="G18" s="26">
        <f t="shared" si="19"/>
        <v>6</v>
      </c>
      <c r="H18" s="32">
        <f>+H7/$P7</f>
        <v>0</v>
      </c>
      <c r="I18" s="32">
        <f t="shared" si="14"/>
        <v>0</v>
      </c>
      <c r="J18" s="32">
        <f t="shared" si="14"/>
        <v>0</v>
      </c>
      <c r="K18" s="32">
        <f t="shared" si="14"/>
        <v>0.33333333333333331</v>
      </c>
      <c r="L18" s="32">
        <f t="shared" si="14"/>
        <v>0.33333333333333331</v>
      </c>
      <c r="M18" s="32">
        <f t="shared" si="14"/>
        <v>0.33333333333333331</v>
      </c>
      <c r="N18" s="32">
        <f t="shared" si="14"/>
        <v>0</v>
      </c>
      <c r="O18" s="32">
        <f t="shared" si="14"/>
        <v>0</v>
      </c>
      <c r="P18" s="45">
        <f t="shared" si="15"/>
        <v>1</v>
      </c>
      <c r="Q18" s="46">
        <v>55000</v>
      </c>
      <c r="R18" s="46"/>
      <c r="S18" s="47">
        <f>+B58</f>
        <v>58969.800780999998</v>
      </c>
      <c r="T18" s="46" t="str">
        <f>+M11</f>
        <v>50,000-60,000</v>
      </c>
      <c r="U18" s="45">
        <f>+M18</f>
        <v>0.33333333333333331</v>
      </c>
      <c r="V18" s="47">
        <f>+S18</f>
        <v>58969.800780999998</v>
      </c>
    </row>
    <row r="19" spans="1:23" x14ac:dyDescent="0.3">
      <c r="A19" s="8">
        <f t="shared" si="6"/>
        <v>18</v>
      </c>
      <c r="B19" s="9">
        <f>+data!B19</f>
        <v>37293.792969000002</v>
      </c>
      <c r="C19" s="6">
        <f t="shared" si="9"/>
        <v>4</v>
      </c>
      <c r="D19" t="str">
        <f t="shared" si="3"/>
        <v>6 a 4</v>
      </c>
      <c r="E19" t="str">
        <f t="shared" si="7"/>
        <v>64</v>
      </c>
      <c r="F19" t="s">
        <v>44</v>
      </c>
      <c r="G19" s="26">
        <f t="shared" si="19"/>
        <v>7</v>
      </c>
      <c r="H19" s="32">
        <f>+H8/$P8</f>
        <v>0</v>
      </c>
      <c r="I19" s="32">
        <f t="shared" si="14"/>
        <v>0</v>
      </c>
      <c r="J19" s="32">
        <f t="shared" si="14"/>
        <v>0</v>
      </c>
      <c r="K19" s="32">
        <f t="shared" si="14"/>
        <v>0</v>
      </c>
      <c r="L19" s="32">
        <f t="shared" si="14"/>
        <v>0</v>
      </c>
      <c r="M19" s="32">
        <f t="shared" si="14"/>
        <v>0.33333333333333331</v>
      </c>
      <c r="N19" s="32">
        <f t="shared" si="14"/>
        <v>0.5</v>
      </c>
      <c r="O19" s="32">
        <f t="shared" si="14"/>
        <v>0.16666666666666666</v>
      </c>
      <c r="P19" s="34">
        <f t="shared" si="15"/>
        <v>0.99999999999999989</v>
      </c>
      <c r="Q19">
        <v>55000</v>
      </c>
      <c r="S19" s="44">
        <f>+$S$18</f>
        <v>58969.800780999998</v>
      </c>
      <c r="T19" t="str">
        <f>+$T$18</f>
        <v>50,000-60,000</v>
      </c>
      <c r="U19" s="34">
        <f>+N18</f>
        <v>0</v>
      </c>
      <c r="V19" s="44">
        <f t="shared" si="18"/>
        <v>0</v>
      </c>
    </row>
    <row r="20" spans="1:23" x14ac:dyDescent="0.3">
      <c r="A20" s="5">
        <f t="shared" si="6"/>
        <v>19</v>
      </c>
      <c r="B20" s="6">
        <f>+data!B20</f>
        <v>35035.984375</v>
      </c>
      <c r="C20" s="6">
        <f t="shared" si="9"/>
        <v>4</v>
      </c>
      <c r="D20" t="str">
        <f t="shared" si="3"/>
        <v>4 a 4</v>
      </c>
      <c r="E20" t="str">
        <f t="shared" si="7"/>
        <v>44</v>
      </c>
      <c r="F20" t="s">
        <v>91</v>
      </c>
      <c r="G20" s="26">
        <f t="shared" si="19"/>
        <v>8</v>
      </c>
      <c r="H20" s="32">
        <f>+H9/$P9</f>
        <v>0</v>
      </c>
      <c r="I20" s="32">
        <f t="shared" si="14"/>
        <v>0</v>
      </c>
      <c r="J20" s="32">
        <f t="shared" si="14"/>
        <v>0</v>
      </c>
      <c r="K20" s="32">
        <f t="shared" si="14"/>
        <v>0</v>
      </c>
      <c r="L20" s="32">
        <f t="shared" si="14"/>
        <v>0</v>
      </c>
      <c r="M20" s="32">
        <f t="shared" si="14"/>
        <v>0</v>
      </c>
      <c r="N20" s="32">
        <f t="shared" si="14"/>
        <v>1</v>
      </c>
      <c r="O20" s="32">
        <f t="shared" si="14"/>
        <v>0</v>
      </c>
      <c r="P20" s="34">
        <f t="shared" si="15"/>
        <v>1</v>
      </c>
      <c r="Q20">
        <v>75000</v>
      </c>
      <c r="S20" s="44">
        <f t="shared" ref="S20" si="20">+$S$18</f>
        <v>58969.800780999998</v>
      </c>
      <c r="T20" t="str">
        <f t="shared" ref="T20" si="21">+$T$18</f>
        <v>50,000-60,000</v>
      </c>
      <c r="U20" s="34">
        <f>+O18</f>
        <v>0</v>
      </c>
      <c r="V20" s="44">
        <f t="shared" si="18"/>
        <v>0</v>
      </c>
    </row>
    <row r="21" spans="1:23" x14ac:dyDescent="0.3">
      <c r="A21" s="8">
        <f t="shared" si="6"/>
        <v>20</v>
      </c>
      <c r="B21" s="9">
        <f>+data!B21</f>
        <v>41460.84375</v>
      </c>
      <c r="C21" s="6">
        <f t="shared" si="9"/>
        <v>5</v>
      </c>
      <c r="D21" t="str">
        <f t="shared" si="3"/>
        <v>4 a 5</v>
      </c>
      <c r="E21" t="str">
        <f t="shared" si="7"/>
        <v>45</v>
      </c>
      <c r="G21" s="29"/>
      <c r="H21" s="26"/>
      <c r="I21" s="26"/>
      <c r="J21" s="26"/>
      <c r="K21" s="26"/>
      <c r="L21" s="26"/>
      <c r="M21" s="26"/>
      <c r="N21" s="26"/>
      <c r="O21" s="26"/>
    </row>
    <row r="22" spans="1:23" x14ac:dyDescent="0.3">
      <c r="A22" s="5">
        <f t="shared" si="6"/>
        <v>21</v>
      </c>
      <c r="B22" s="6">
        <f>+data!B22</f>
        <v>47099.773437999997</v>
      </c>
      <c r="C22" s="6">
        <f t="shared" si="9"/>
        <v>5</v>
      </c>
      <c r="D22" t="str">
        <f t="shared" si="3"/>
        <v>5 a 5</v>
      </c>
      <c r="E22" t="str">
        <f t="shared" si="7"/>
        <v>55</v>
      </c>
      <c r="V22" s="44">
        <f>+AVERAGE(V16:V18)</f>
        <v>46323.266926999997</v>
      </c>
    </row>
    <row r="23" spans="1:23" x14ac:dyDescent="0.3">
      <c r="A23" s="8">
        <f t="shared" si="6"/>
        <v>22</v>
      </c>
      <c r="B23" s="9">
        <f>+data!B23</f>
        <v>43816.742187999997</v>
      </c>
      <c r="C23" s="6">
        <f t="shared" si="9"/>
        <v>5</v>
      </c>
      <c r="D23" t="str">
        <f t="shared" si="3"/>
        <v>5 a 5</v>
      </c>
      <c r="E23" t="str">
        <f t="shared" si="7"/>
        <v>55</v>
      </c>
      <c r="G23" s="3" t="s">
        <v>37</v>
      </c>
      <c r="H23" s="26">
        <v>1</v>
      </c>
      <c r="I23" s="26">
        <f>+H23+1</f>
        <v>2</v>
      </c>
      <c r="J23" s="26">
        <f t="shared" ref="J23:O23" si="22">+I23+1</f>
        <v>3</v>
      </c>
      <c r="K23" s="26">
        <f t="shared" si="22"/>
        <v>4</v>
      </c>
      <c r="L23" s="26">
        <f t="shared" si="22"/>
        <v>5</v>
      </c>
      <c r="M23" s="26">
        <f t="shared" si="22"/>
        <v>6</v>
      </c>
      <c r="N23" s="26">
        <f t="shared" si="22"/>
        <v>7</v>
      </c>
      <c r="O23" s="26">
        <f t="shared" si="22"/>
        <v>8</v>
      </c>
    </row>
    <row r="24" spans="1:23" x14ac:dyDescent="0.3">
      <c r="A24" s="5">
        <f t="shared" si="6"/>
        <v>23</v>
      </c>
      <c r="B24" s="6">
        <f>+data!B24</f>
        <v>61320.449219000002</v>
      </c>
      <c r="C24" s="6">
        <f t="shared" si="9"/>
        <v>7</v>
      </c>
      <c r="D24" t="str">
        <f t="shared" si="3"/>
        <v>5 a 7</v>
      </c>
      <c r="E24" t="str">
        <f t="shared" si="7"/>
        <v>57</v>
      </c>
      <c r="G24" s="26">
        <v>1</v>
      </c>
      <c r="H24" s="32">
        <f>+H2/$P$10</f>
        <v>0.10714285714285714</v>
      </c>
      <c r="I24" s="32">
        <f t="shared" ref="I24:O24" si="23">+I2/$P$10</f>
        <v>1.7857142857142856E-2</v>
      </c>
      <c r="J24" s="32">
        <f t="shared" si="23"/>
        <v>0</v>
      </c>
      <c r="K24" s="32">
        <f t="shared" si="23"/>
        <v>0</v>
      </c>
      <c r="L24" s="32">
        <f t="shared" si="23"/>
        <v>0</v>
      </c>
      <c r="M24" s="32">
        <f t="shared" si="23"/>
        <v>0</v>
      </c>
      <c r="N24" s="32">
        <f t="shared" si="23"/>
        <v>0</v>
      </c>
      <c r="O24" s="32">
        <f t="shared" si="23"/>
        <v>0</v>
      </c>
    </row>
    <row r="25" spans="1:23" x14ac:dyDescent="0.3">
      <c r="A25" s="8">
        <f t="shared" si="6"/>
        <v>24</v>
      </c>
      <c r="B25" s="9">
        <f>+data!B25</f>
        <v>56907.964844000002</v>
      </c>
      <c r="C25" s="6">
        <f t="shared" si="9"/>
        <v>6</v>
      </c>
      <c r="D25" t="str">
        <f t="shared" si="3"/>
        <v>7 a 6</v>
      </c>
      <c r="E25" t="str">
        <f t="shared" si="7"/>
        <v>76</v>
      </c>
      <c r="G25" s="26">
        <f>+G24+1</f>
        <v>2</v>
      </c>
      <c r="H25" s="32">
        <f t="shared" ref="H25:O31" si="24">+H3/$P$10</f>
        <v>0</v>
      </c>
      <c r="I25" s="32">
        <f t="shared" si="24"/>
        <v>8.9285714285714288E-2</v>
      </c>
      <c r="J25" s="32">
        <f t="shared" si="24"/>
        <v>7.1428571428571425E-2</v>
      </c>
      <c r="K25" s="32">
        <f t="shared" si="24"/>
        <v>0</v>
      </c>
      <c r="L25" s="32">
        <f t="shared" si="24"/>
        <v>0</v>
      </c>
      <c r="M25" s="32">
        <f t="shared" si="24"/>
        <v>0</v>
      </c>
      <c r="N25" s="32">
        <f t="shared" si="24"/>
        <v>0</v>
      </c>
      <c r="O25" s="32">
        <f t="shared" si="24"/>
        <v>0</v>
      </c>
    </row>
    <row r="26" spans="1:23" x14ac:dyDescent="0.3">
      <c r="A26" s="5">
        <f t="shared" si="6"/>
        <v>25</v>
      </c>
      <c r="B26" s="6">
        <f>+data!B26</f>
        <v>46311.746094000002</v>
      </c>
      <c r="C26" s="6">
        <f t="shared" si="9"/>
        <v>5</v>
      </c>
      <c r="D26" t="str">
        <f t="shared" si="3"/>
        <v>6 a 5</v>
      </c>
      <c r="E26" t="str">
        <f t="shared" si="7"/>
        <v>65</v>
      </c>
      <c r="G26" s="26">
        <f t="shared" ref="G26:G31" si="25">+G25+1</f>
        <v>3</v>
      </c>
      <c r="H26" s="32">
        <f t="shared" si="24"/>
        <v>0</v>
      </c>
      <c r="I26" s="32">
        <f t="shared" si="24"/>
        <v>3.5714285714285712E-2</v>
      </c>
      <c r="J26" s="32">
        <f t="shared" si="24"/>
        <v>0.125</v>
      </c>
      <c r="K26" s="32">
        <f t="shared" si="24"/>
        <v>5.3571428571428568E-2</v>
      </c>
      <c r="L26" s="32">
        <f t="shared" si="24"/>
        <v>0</v>
      </c>
      <c r="M26" s="32">
        <f t="shared" si="24"/>
        <v>0</v>
      </c>
      <c r="N26" s="32">
        <f t="shared" si="24"/>
        <v>0</v>
      </c>
      <c r="O26" s="32">
        <f t="shared" si="24"/>
        <v>0</v>
      </c>
    </row>
    <row r="27" spans="1:23" x14ac:dyDescent="0.3">
      <c r="A27" s="8">
        <f t="shared" si="6"/>
        <v>26</v>
      </c>
      <c r="B27" s="9">
        <f>+data!B27</f>
        <v>38481.765625</v>
      </c>
      <c r="C27" s="6">
        <f t="shared" si="9"/>
        <v>4</v>
      </c>
      <c r="D27" t="str">
        <f t="shared" si="3"/>
        <v>5 a 4</v>
      </c>
      <c r="E27" t="str">
        <f t="shared" si="7"/>
        <v>54</v>
      </c>
      <c r="G27" s="26">
        <f t="shared" si="25"/>
        <v>4</v>
      </c>
      <c r="H27" s="32">
        <f t="shared" si="24"/>
        <v>0</v>
      </c>
      <c r="I27" s="32">
        <f t="shared" si="24"/>
        <v>1.7857142857142856E-2</v>
      </c>
      <c r="J27" s="32">
        <f t="shared" si="24"/>
        <v>1.7857142857142856E-2</v>
      </c>
      <c r="K27" s="32">
        <f t="shared" si="24"/>
        <v>5.3571428571428568E-2</v>
      </c>
      <c r="L27" s="32">
        <f t="shared" si="24"/>
        <v>7.1428571428571425E-2</v>
      </c>
      <c r="M27" s="32">
        <f t="shared" si="24"/>
        <v>0</v>
      </c>
      <c r="N27" s="32">
        <f t="shared" si="24"/>
        <v>0</v>
      </c>
      <c r="O27" s="32">
        <f t="shared" si="24"/>
        <v>0</v>
      </c>
    </row>
    <row r="28" spans="1:23" x14ac:dyDescent="0.3">
      <c r="A28" s="5">
        <f t="shared" si="6"/>
        <v>27</v>
      </c>
      <c r="B28" s="6">
        <f>+data!B28</f>
        <v>43194.503905999998</v>
      </c>
      <c r="C28" s="6">
        <f t="shared" si="9"/>
        <v>5</v>
      </c>
      <c r="D28" t="str">
        <f t="shared" si="3"/>
        <v>4 a 5</v>
      </c>
      <c r="E28" t="str">
        <f t="shared" si="7"/>
        <v>45</v>
      </c>
      <c r="G28" s="26">
        <f t="shared" si="25"/>
        <v>5</v>
      </c>
      <c r="H28" s="32">
        <f t="shared" si="24"/>
        <v>0</v>
      </c>
      <c r="I28" s="32">
        <f t="shared" si="24"/>
        <v>0</v>
      </c>
      <c r="J28" s="32">
        <f t="shared" si="24"/>
        <v>0</v>
      </c>
      <c r="K28" s="32">
        <f t="shared" si="24"/>
        <v>3.5714285714285712E-2</v>
      </c>
      <c r="L28" s="32">
        <f t="shared" si="24"/>
        <v>7.1428571428571425E-2</v>
      </c>
      <c r="M28" s="32">
        <f t="shared" si="24"/>
        <v>1.7857142857142856E-2</v>
      </c>
      <c r="N28" s="32">
        <f t="shared" si="24"/>
        <v>3.5714285714285712E-2</v>
      </c>
      <c r="O28" s="32">
        <f t="shared" si="24"/>
        <v>0</v>
      </c>
    </row>
    <row r="29" spans="1:23" x14ac:dyDescent="0.3">
      <c r="A29" s="8">
        <f t="shared" si="6"/>
        <v>28</v>
      </c>
      <c r="B29" s="9">
        <f>+data!B29</f>
        <v>45554.164062999997</v>
      </c>
      <c r="C29" s="6">
        <f t="shared" si="9"/>
        <v>5</v>
      </c>
      <c r="D29" t="str">
        <f t="shared" si="3"/>
        <v>5 a 5</v>
      </c>
      <c r="E29" t="str">
        <f t="shared" si="7"/>
        <v>55</v>
      </c>
      <c r="G29" s="26">
        <f t="shared" si="25"/>
        <v>6</v>
      </c>
      <c r="H29" s="32">
        <f t="shared" si="24"/>
        <v>0</v>
      </c>
      <c r="I29" s="32">
        <f t="shared" si="24"/>
        <v>0</v>
      </c>
      <c r="J29" s="32">
        <f t="shared" si="24"/>
        <v>0</v>
      </c>
      <c r="K29" s="32">
        <f t="shared" si="24"/>
        <v>1.7857142857142856E-2</v>
      </c>
      <c r="L29" s="32">
        <f t="shared" si="24"/>
        <v>1.7857142857142856E-2</v>
      </c>
      <c r="M29" s="32">
        <f t="shared" si="24"/>
        <v>1.7857142857142856E-2</v>
      </c>
      <c r="N29" s="32">
        <f t="shared" si="24"/>
        <v>0</v>
      </c>
      <c r="O29" s="32">
        <f t="shared" si="24"/>
        <v>0</v>
      </c>
    </row>
    <row r="30" spans="1:23" x14ac:dyDescent="0.3">
      <c r="A30" s="5">
        <f t="shared" si="6"/>
        <v>29</v>
      </c>
      <c r="B30" s="6">
        <f>+data!B30</f>
        <v>37713.265625</v>
      </c>
      <c r="C30" s="6">
        <f t="shared" si="9"/>
        <v>4</v>
      </c>
      <c r="D30" t="str">
        <f t="shared" si="3"/>
        <v>5 a 4</v>
      </c>
      <c r="E30" t="str">
        <f t="shared" si="7"/>
        <v>54</v>
      </c>
      <c r="G30" s="26">
        <f t="shared" si="25"/>
        <v>7</v>
      </c>
      <c r="H30" s="32">
        <f t="shared" si="24"/>
        <v>0</v>
      </c>
      <c r="I30" s="32">
        <f t="shared" si="24"/>
        <v>0</v>
      </c>
      <c r="J30" s="32">
        <f t="shared" si="24"/>
        <v>0</v>
      </c>
      <c r="K30" s="32">
        <f t="shared" si="24"/>
        <v>0</v>
      </c>
      <c r="L30" s="32">
        <f t="shared" si="24"/>
        <v>0</v>
      </c>
      <c r="M30" s="32">
        <f t="shared" si="24"/>
        <v>3.5714285714285712E-2</v>
      </c>
      <c r="N30" s="32">
        <f t="shared" si="24"/>
        <v>5.3571428571428568E-2</v>
      </c>
      <c r="O30" s="32">
        <f t="shared" si="24"/>
        <v>1.7857142857142856E-2</v>
      </c>
    </row>
    <row r="31" spans="1:23" x14ac:dyDescent="0.3">
      <c r="A31" s="8">
        <f t="shared" si="6"/>
        <v>30</v>
      </c>
      <c r="B31" s="9">
        <f>+data!B31</f>
        <v>31792.554688</v>
      </c>
      <c r="C31" s="6">
        <f t="shared" si="9"/>
        <v>4</v>
      </c>
      <c r="D31" t="str">
        <f t="shared" si="3"/>
        <v>4 a 4</v>
      </c>
      <c r="E31" t="str">
        <f t="shared" si="7"/>
        <v>44</v>
      </c>
      <c r="G31" s="26">
        <f t="shared" si="25"/>
        <v>8</v>
      </c>
      <c r="H31" s="32">
        <f t="shared" si="24"/>
        <v>0</v>
      </c>
      <c r="I31" s="32">
        <f t="shared" si="24"/>
        <v>0</v>
      </c>
      <c r="J31" s="32">
        <f t="shared" si="24"/>
        <v>0</v>
      </c>
      <c r="K31" s="32">
        <f t="shared" si="24"/>
        <v>0</v>
      </c>
      <c r="L31" s="32">
        <f t="shared" si="24"/>
        <v>0</v>
      </c>
      <c r="M31" s="32">
        <f t="shared" si="24"/>
        <v>0</v>
      </c>
      <c r="N31" s="32">
        <f t="shared" si="24"/>
        <v>1.7857142857142856E-2</v>
      </c>
      <c r="O31" s="32">
        <f t="shared" si="24"/>
        <v>0</v>
      </c>
    </row>
    <row r="32" spans="1:23" x14ac:dyDescent="0.3">
      <c r="A32" s="5">
        <f t="shared" si="6"/>
        <v>31</v>
      </c>
      <c r="B32" s="6">
        <f>+data!B32</f>
        <v>19820.470702999999</v>
      </c>
      <c r="C32" s="6">
        <f t="shared" si="9"/>
        <v>2</v>
      </c>
      <c r="D32" t="str">
        <f t="shared" si="3"/>
        <v>4 a 2</v>
      </c>
      <c r="E32" t="str">
        <f t="shared" si="7"/>
        <v>42</v>
      </c>
      <c r="G32" s="29"/>
      <c r="H32" s="33">
        <f>+SUM(H24:H31)</f>
        <v>0.10714285714285714</v>
      </c>
      <c r="I32" s="33">
        <f t="shared" ref="I32" si="26">+SUM(I24:I31)</f>
        <v>0.1607142857142857</v>
      </c>
      <c r="J32" s="33">
        <f t="shared" ref="J32:O32" si="27">+SUM(J24:J31)</f>
        <v>0.21428571428571427</v>
      </c>
      <c r="K32" s="33">
        <f t="shared" si="27"/>
        <v>0.1607142857142857</v>
      </c>
      <c r="L32" s="33">
        <f t="shared" si="27"/>
        <v>0.1607142857142857</v>
      </c>
      <c r="M32" s="33">
        <f t="shared" si="27"/>
        <v>7.1428571428571425E-2</v>
      </c>
      <c r="N32" s="33">
        <f t="shared" si="27"/>
        <v>0.10714285714285712</v>
      </c>
      <c r="O32" s="33">
        <f t="shared" si="27"/>
        <v>1.7857142857142856E-2</v>
      </c>
    </row>
    <row r="33" spans="1:15" x14ac:dyDescent="0.3">
      <c r="A33" s="8">
        <f t="shared" si="6"/>
        <v>32</v>
      </c>
      <c r="B33" s="9">
        <f>+data!B33</f>
        <v>23336.71875</v>
      </c>
      <c r="C33" s="6">
        <f t="shared" si="9"/>
        <v>3</v>
      </c>
      <c r="D33" t="str">
        <f t="shared" si="3"/>
        <v>2 a 3</v>
      </c>
      <c r="E33" t="str">
        <f t="shared" si="7"/>
        <v>23</v>
      </c>
    </row>
    <row r="34" spans="1:15" x14ac:dyDescent="0.3">
      <c r="A34" s="5">
        <f t="shared" si="6"/>
        <v>33</v>
      </c>
      <c r="B34" s="6">
        <f>+data!B34</f>
        <v>20050.498047000001</v>
      </c>
      <c r="C34" s="6">
        <f t="shared" si="9"/>
        <v>3</v>
      </c>
      <c r="D34" t="str">
        <f t="shared" si="3"/>
        <v>3 a 3</v>
      </c>
      <c r="E34" t="str">
        <f t="shared" si="7"/>
        <v>33</v>
      </c>
      <c r="H34">
        <v>5000</v>
      </c>
      <c r="I34">
        <v>15000</v>
      </c>
      <c r="J34">
        <v>25000</v>
      </c>
      <c r="K34">
        <v>35000</v>
      </c>
      <c r="L34">
        <v>45000</v>
      </c>
      <c r="M34">
        <v>55000</v>
      </c>
      <c r="N34">
        <v>55000</v>
      </c>
      <c r="O34">
        <v>75000</v>
      </c>
    </row>
    <row r="35" spans="1:15" x14ac:dyDescent="0.3">
      <c r="A35" s="8">
        <f t="shared" si="6"/>
        <v>34</v>
      </c>
      <c r="B35" s="9">
        <f>+data!B35</f>
        <v>19431.105468999998</v>
      </c>
      <c r="C35" s="6">
        <f t="shared" si="9"/>
        <v>2</v>
      </c>
      <c r="D35" t="str">
        <f t="shared" si="3"/>
        <v>3 a 2</v>
      </c>
      <c r="E35" t="str">
        <f t="shared" si="7"/>
        <v>32</v>
      </c>
      <c r="H35" s="48">
        <f>+H34*H18</f>
        <v>0</v>
      </c>
      <c r="I35" s="48">
        <f t="shared" ref="I35:J35" si="28">+I34*I18</f>
        <v>0</v>
      </c>
      <c r="J35" s="48">
        <f t="shared" si="28"/>
        <v>0</v>
      </c>
      <c r="K35" s="48">
        <f>+K34*K18</f>
        <v>11666.666666666666</v>
      </c>
      <c r="L35" s="48">
        <f>+L34*L18</f>
        <v>15000</v>
      </c>
      <c r="M35" s="48">
        <f>+M34*M18</f>
        <v>18333.333333333332</v>
      </c>
      <c r="N35" s="48">
        <f>+N34*N18</f>
        <v>0</v>
      </c>
      <c r="O35" s="48">
        <f>+O34*O18</f>
        <v>0</v>
      </c>
    </row>
    <row r="36" spans="1:15" x14ac:dyDescent="0.3">
      <c r="A36" s="5">
        <f t="shared" si="6"/>
        <v>35</v>
      </c>
      <c r="B36" s="6">
        <f>+data!B36</f>
        <v>20494.898438</v>
      </c>
      <c r="C36" s="6">
        <f t="shared" si="9"/>
        <v>3</v>
      </c>
      <c r="D36" t="str">
        <f t="shared" si="3"/>
        <v>2 a 3</v>
      </c>
      <c r="E36" t="str">
        <f t="shared" si="7"/>
        <v>23</v>
      </c>
      <c r="H36" s="42">
        <f>+SUM(H35:O35)</f>
        <v>45000</v>
      </c>
    </row>
    <row r="37" spans="1:15" x14ac:dyDescent="0.3">
      <c r="A37" s="8">
        <f t="shared" si="6"/>
        <v>36</v>
      </c>
      <c r="B37" s="9">
        <f>+data!B37</f>
        <v>17168.001952999999</v>
      </c>
      <c r="C37" s="6">
        <f t="shared" si="9"/>
        <v>2</v>
      </c>
      <c r="D37" t="str">
        <f t="shared" si="3"/>
        <v>3 a 2</v>
      </c>
      <c r="E37" t="str">
        <f t="shared" si="7"/>
        <v>32</v>
      </c>
    </row>
    <row r="38" spans="1:15" x14ac:dyDescent="0.3">
      <c r="A38" s="5">
        <f t="shared" si="6"/>
        <v>37</v>
      </c>
      <c r="B38" s="6">
        <f>+data!B38</f>
        <v>16547.914063</v>
      </c>
      <c r="C38" s="6">
        <f t="shared" si="9"/>
        <v>2</v>
      </c>
      <c r="D38" t="str">
        <f t="shared" si="3"/>
        <v>2 a 2</v>
      </c>
      <c r="E38" t="str">
        <f t="shared" si="7"/>
        <v>22</v>
      </c>
    </row>
    <row r="39" spans="1:15" x14ac:dyDescent="0.3">
      <c r="A39" s="8">
        <f t="shared" si="6"/>
        <v>38</v>
      </c>
      <c r="B39" s="9">
        <f>+data!B39</f>
        <v>23137.835938</v>
      </c>
      <c r="C39" s="6">
        <f t="shared" si="9"/>
        <v>3</v>
      </c>
      <c r="D39" t="str">
        <f t="shared" si="3"/>
        <v>2 a 3</v>
      </c>
      <c r="E39" t="str">
        <f t="shared" si="7"/>
        <v>23</v>
      </c>
    </row>
    <row r="40" spans="1:15" x14ac:dyDescent="0.3">
      <c r="A40" s="5">
        <f t="shared" si="6"/>
        <v>39</v>
      </c>
      <c r="B40" s="6">
        <f>+data!B40</f>
        <v>23150.929688</v>
      </c>
      <c r="C40" s="6">
        <f t="shared" si="9"/>
        <v>3</v>
      </c>
      <c r="D40" t="str">
        <f t="shared" si="3"/>
        <v>3 a 3</v>
      </c>
      <c r="E40" t="str">
        <f t="shared" si="7"/>
        <v>33</v>
      </c>
    </row>
    <row r="41" spans="1:15" x14ac:dyDescent="0.3">
      <c r="A41" s="8">
        <f t="shared" si="6"/>
        <v>40</v>
      </c>
      <c r="B41" s="9">
        <f>+data!B41</f>
        <v>28473.332031000002</v>
      </c>
      <c r="C41" s="6">
        <f t="shared" si="9"/>
        <v>3</v>
      </c>
      <c r="D41" t="str">
        <f t="shared" si="3"/>
        <v>3 a 3</v>
      </c>
      <c r="E41" t="str">
        <f t="shared" si="7"/>
        <v>33</v>
      </c>
    </row>
    <row r="42" spans="1:15" x14ac:dyDescent="0.3">
      <c r="A42" s="5">
        <f t="shared" si="6"/>
        <v>41</v>
      </c>
      <c r="B42" s="6">
        <f>+data!B42</f>
        <v>29227.103515999999</v>
      </c>
      <c r="C42" s="6">
        <f t="shared" si="9"/>
        <v>3</v>
      </c>
      <c r="D42" t="str">
        <f t="shared" si="3"/>
        <v>3 a 3</v>
      </c>
      <c r="E42" t="str">
        <f t="shared" si="7"/>
        <v>33</v>
      </c>
    </row>
    <row r="43" spans="1:15" x14ac:dyDescent="0.3">
      <c r="A43" s="8">
        <f t="shared" si="6"/>
        <v>42</v>
      </c>
      <c r="B43" s="9">
        <f>+data!B43</f>
        <v>27218.412109000001</v>
      </c>
      <c r="C43" s="6">
        <f t="shared" si="9"/>
        <v>3</v>
      </c>
      <c r="D43" t="str">
        <f t="shared" si="3"/>
        <v>3 a 3</v>
      </c>
      <c r="E43" t="str">
        <f t="shared" si="7"/>
        <v>33</v>
      </c>
    </row>
    <row r="44" spans="1:15" x14ac:dyDescent="0.3">
      <c r="A44" s="5">
        <f t="shared" si="6"/>
        <v>43</v>
      </c>
      <c r="B44" s="6">
        <f>+data!B44</f>
        <v>30471.847656000002</v>
      </c>
      <c r="C44" s="6">
        <f t="shared" si="9"/>
        <v>4</v>
      </c>
      <c r="D44" t="str">
        <f t="shared" si="3"/>
        <v>3 a 4</v>
      </c>
      <c r="E44" t="str">
        <f t="shared" si="7"/>
        <v>34</v>
      </c>
    </row>
    <row r="45" spans="1:15" x14ac:dyDescent="0.3">
      <c r="A45" s="8">
        <f t="shared" si="6"/>
        <v>44</v>
      </c>
      <c r="B45" s="9">
        <f>+data!B45</f>
        <v>29230.873047000001</v>
      </c>
      <c r="C45" s="6">
        <f t="shared" si="9"/>
        <v>3</v>
      </c>
      <c r="D45" t="str">
        <f t="shared" si="3"/>
        <v>4 a 3</v>
      </c>
      <c r="E45" t="str">
        <f t="shared" si="7"/>
        <v>43</v>
      </c>
    </row>
    <row r="46" spans="1:15" x14ac:dyDescent="0.3">
      <c r="A46" s="5">
        <f t="shared" si="6"/>
        <v>45</v>
      </c>
      <c r="B46" s="6">
        <f>+data!B46</f>
        <v>25934.021484000001</v>
      </c>
      <c r="C46" s="6">
        <f t="shared" si="9"/>
        <v>3</v>
      </c>
      <c r="D46" t="str">
        <f t="shared" si="3"/>
        <v>3 a 3</v>
      </c>
      <c r="E46" t="str">
        <f t="shared" si="7"/>
        <v>33</v>
      </c>
    </row>
    <row r="47" spans="1:15" x14ac:dyDescent="0.3">
      <c r="A47" s="8">
        <f t="shared" si="6"/>
        <v>46</v>
      </c>
      <c r="B47" s="9">
        <f>+data!B47</f>
        <v>26967.396484000001</v>
      </c>
      <c r="C47" s="6">
        <f t="shared" si="9"/>
        <v>3</v>
      </c>
      <c r="D47" t="str">
        <f t="shared" si="3"/>
        <v>3 a 3</v>
      </c>
      <c r="E47" t="str">
        <f t="shared" si="7"/>
        <v>33</v>
      </c>
    </row>
    <row r="48" spans="1:15" x14ac:dyDescent="0.3">
      <c r="A48" s="5">
        <f t="shared" si="6"/>
        <v>47</v>
      </c>
      <c r="B48" s="6">
        <f>+data!B48</f>
        <v>34657.273437999997</v>
      </c>
      <c r="C48" s="6">
        <f t="shared" si="9"/>
        <v>4</v>
      </c>
      <c r="D48" t="str">
        <f t="shared" si="3"/>
        <v>3 a 4</v>
      </c>
      <c r="E48" t="str">
        <f t="shared" si="7"/>
        <v>34</v>
      </c>
    </row>
    <row r="49" spans="1:5" x14ac:dyDescent="0.3">
      <c r="A49" s="8">
        <f t="shared" si="6"/>
        <v>48</v>
      </c>
      <c r="B49" s="9">
        <f>+data!B49</f>
        <v>37718.007812999997</v>
      </c>
      <c r="C49" s="6">
        <f t="shared" si="9"/>
        <v>4</v>
      </c>
      <c r="D49" t="str">
        <f t="shared" si="3"/>
        <v>4 a 4</v>
      </c>
      <c r="E49" t="str">
        <f t="shared" si="7"/>
        <v>44</v>
      </c>
    </row>
    <row r="50" spans="1:5" x14ac:dyDescent="0.3">
      <c r="A50" s="5">
        <f t="shared" si="6"/>
        <v>49</v>
      </c>
      <c r="B50" s="6">
        <f>+data!B50</f>
        <v>42280.234375</v>
      </c>
      <c r="C50" s="6">
        <f t="shared" si="9"/>
        <v>5</v>
      </c>
      <c r="D50" t="str">
        <f t="shared" si="3"/>
        <v>4 a 5</v>
      </c>
      <c r="E50" t="str">
        <f t="shared" si="7"/>
        <v>45</v>
      </c>
    </row>
    <row r="51" spans="1:5" x14ac:dyDescent="0.3">
      <c r="A51" s="8">
        <f t="shared" si="6"/>
        <v>50</v>
      </c>
      <c r="B51" s="9">
        <f>+data!B51</f>
        <v>42569.761719000002</v>
      </c>
      <c r="C51" s="6">
        <f t="shared" si="9"/>
        <v>5</v>
      </c>
      <c r="D51" t="str">
        <f t="shared" si="3"/>
        <v>5 a 5</v>
      </c>
      <c r="E51" t="str">
        <f t="shared" si="7"/>
        <v>55</v>
      </c>
    </row>
    <row r="52" spans="1:5" x14ac:dyDescent="0.3">
      <c r="A52" s="5">
        <f t="shared" si="6"/>
        <v>51</v>
      </c>
      <c r="B52" s="6">
        <f>+data!B52</f>
        <v>61168.0625</v>
      </c>
      <c r="C52" s="6">
        <f t="shared" si="9"/>
        <v>7</v>
      </c>
      <c r="D52" t="str">
        <f t="shared" si="3"/>
        <v>5 a 7</v>
      </c>
      <c r="E52" t="str">
        <f t="shared" si="7"/>
        <v>57</v>
      </c>
    </row>
    <row r="53" spans="1:5" x14ac:dyDescent="0.3">
      <c r="A53" s="8">
        <f t="shared" si="6"/>
        <v>52</v>
      </c>
      <c r="B53" s="9">
        <f>+data!B53</f>
        <v>71333.484375</v>
      </c>
      <c r="C53" s="6">
        <f t="shared" si="9"/>
        <v>8</v>
      </c>
      <c r="D53" t="str">
        <f t="shared" si="3"/>
        <v>7 a 8</v>
      </c>
      <c r="E53" t="str">
        <f t="shared" si="7"/>
        <v>78</v>
      </c>
    </row>
    <row r="54" spans="1:5" x14ac:dyDescent="0.3">
      <c r="A54" s="5">
        <f t="shared" si="6"/>
        <v>53</v>
      </c>
      <c r="B54" s="6">
        <f>+data!B54</f>
        <v>60609.496094000002</v>
      </c>
      <c r="C54" s="6">
        <f t="shared" si="9"/>
        <v>7</v>
      </c>
      <c r="D54" t="str">
        <f t="shared" si="3"/>
        <v>8 a 7</v>
      </c>
      <c r="E54" t="str">
        <f t="shared" si="7"/>
        <v>87</v>
      </c>
    </row>
    <row r="55" spans="1:5" x14ac:dyDescent="0.3">
      <c r="A55" s="8">
        <f t="shared" si="6"/>
        <v>54</v>
      </c>
      <c r="B55" s="9">
        <f>+data!B55</f>
        <v>67489.609375</v>
      </c>
      <c r="C55" s="6">
        <f t="shared" si="9"/>
        <v>7</v>
      </c>
      <c r="D55" t="str">
        <f t="shared" si="3"/>
        <v>7 a 7</v>
      </c>
      <c r="E55" t="str">
        <f t="shared" si="7"/>
        <v>77</v>
      </c>
    </row>
    <row r="56" spans="1:5" x14ac:dyDescent="0.3">
      <c r="A56" s="5">
        <f t="shared" si="6"/>
        <v>55</v>
      </c>
      <c r="B56" s="6">
        <f>+data!B56</f>
        <v>62673.605469000002</v>
      </c>
      <c r="C56" s="6">
        <f t="shared" si="9"/>
        <v>7</v>
      </c>
      <c r="D56" t="str">
        <f t="shared" si="3"/>
        <v>7 a 7</v>
      </c>
      <c r="E56" t="str">
        <f t="shared" si="7"/>
        <v>77</v>
      </c>
    </row>
    <row r="57" spans="1:5" x14ac:dyDescent="0.3">
      <c r="A57" s="8">
        <f t="shared" si="6"/>
        <v>56</v>
      </c>
      <c r="B57" s="9">
        <f>+data!B57</f>
        <v>64625.839844000002</v>
      </c>
      <c r="C57" s="6">
        <f t="shared" si="9"/>
        <v>7</v>
      </c>
      <c r="D57" t="str">
        <f t="shared" si="3"/>
        <v>7 a 7</v>
      </c>
      <c r="E57" t="str">
        <f t="shared" si="7"/>
        <v>77</v>
      </c>
    </row>
    <row r="58" spans="1:5" x14ac:dyDescent="0.3">
      <c r="A58" s="5">
        <f t="shared" si="6"/>
        <v>57</v>
      </c>
      <c r="B58" s="6">
        <f>+data!B58</f>
        <v>58969.800780999998</v>
      </c>
      <c r="C58" s="6">
        <f t="shared" si="9"/>
        <v>6</v>
      </c>
      <c r="D58" t="str">
        <f t="shared" si="3"/>
        <v>7 a 6</v>
      </c>
      <c r="E58" t="str">
        <f t="shared" si="7"/>
        <v>76</v>
      </c>
    </row>
  </sheetData>
  <conditionalFormatting sqref="H13:O20">
    <cfRule type="colorScale" priority="2">
      <colorScale>
        <cfvo type="min"/>
        <cfvo type="percentile" val="50"/>
        <cfvo type="max"/>
        <color rgb="FFF8696B"/>
        <color rgb="FFFFEB84"/>
        <color rgb="FF63BE7B"/>
      </colorScale>
    </cfRule>
  </conditionalFormatting>
  <conditionalFormatting sqref="H24:O3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F194C-ECC5-4DC1-8589-94FCBF45F335}">
  <sheetPr>
    <tabColor theme="9" tint="-0.499984740745262"/>
  </sheetPr>
  <dimension ref="A1:P82"/>
  <sheetViews>
    <sheetView topLeftCell="A2" workbookViewId="0">
      <selection activeCell="E2" sqref="E2"/>
    </sheetView>
  </sheetViews>
  <sheetFormatPr baseColWidth="10" defaultRowHeight="14.4" x14ac:dyDescent="0.3"/>
  <cols>
    <col min="5" max="5" width="20.5546875" bestFit="1" customWidth="1"/>
    <col min="8" max="8" width="17.21875" customWidth="1"/>
    <col min="9" max="9" width="14.6640625" customWidth="1"/>
  </cols>
  <sheetData>
    <row r="1" spans="1:13" ht="15" thickBot="1" x14ac:dyDescent="0.35">
      <c r="A1" t="s">
        <v>7</v>
      </c>
      <c r="B1" s="3" t="s">
        <v>8</v>
      </c>
    </row>
    <row r="2" spans="1:13" x14ac:dyDescent="0.3">
      <c r="A2">
        <v>1</v>
      </c>
      <c r="B2" s="39">
        <v>7194.8920900000003</v>
      </c>
      <c r="C2" t="s">
        <v>57</v>
      </c>
      <c r="D2" t="s">
        <v>58</v>
      </c>
      <c r="E2" s="38" t="s">
        <v>8</v>
      </c>
      <c r="F2" s="38"/>
      <c r="H2" t="s">
        <v>59</v>
      </c>
    </row>
    <row r="3" spans="1:13" ht="15" thickBot="1" x14ac:dyDescent="0.35">
      <c r="A3">
        <f>+A2+1</f>
        <v>2</v>
      </c>
      <c r="B3" s="40">
        <v>9346.3574219999991</v>
      </c>
      <c r="C3" t="s">
        <v>57</v>
      </c>
      <c r="D3" t="s">
        <v>58</v>
      </c>
    </row>
    <row r="4" spans="1:13" x14ac:dyDescent="0.3">
      <c r="A4">
        <f t="shared" ref="A4:A58" si="0">+A3+1</f>
        <v>3</v>
      </c>
      <c r="B4" s="39">
        <v>8599.7587889999995</v>
      </c>
      <c r="C4" t="s">
        <v>57</v>
      </c>
      <c r="D4" t="s">
        <v>58</v>
      </c>
      <c r="E4" t="s">
        <v>45</v>
      </c>
      <c r="F4">
        <v>33346.000197157882</v>
      </c>
      <c r="H4" s="38" t="s">
        <v>60</v>
      </c>
      <c r="I4" s="38"/>
    </row>
    <row r="5" spans="1:13" x14ac:dyDescent="0.3">
      <c r="A5">
        <f t="shared" si="0"/>
        <v>4</v>
      </c>
      <c r="B5" s="40">
        <v>6437.3193359999996</v>
      </c>
      <c r="C5" t="s">
        <v>57</v>
      </c>
      <c r="D5" t="s">
        <v>58</v>
      </c>
      <c r="E5" t="s">
        <v>46</v>
      </c>
      <c r="F5">
        <v>2411.4226661514886</v>
      </c>
      <c r="H5" t="s">
        <v>61</v>
      </c>
      <c r="I5">
        <v>0.55823742963806444</v>
      </c>
    </row>
    <row r="6" spans="1:13" x14ac:dyDescent="0.3">
      <c r="A6">
        <f t="shared" si="0"/>
        <v>5</v>
      </c>
      <c r="B6" s="39">
        <v>8672.7822269999997</v>
      </c>
      <c r="C6" t="s">
        <v>57</v>
      </c>
      <c r="D6" t="s">
        <v>58</v>
      </c>
      <c r="E6" t="s">
        <v>47</v>
      </c>
      <c r="F6">
        <v>30471.847656000002</v>
      </c>
      <c r="H6" t="s">
        <v>62</v>
      </c>
      <c r="I6">
        <v>0.31162902784891289</v>
      </c>
    </row>
    <row r="7" spans="1:13" x14ac:dyDescent="0.3">
      <c r="A7">
        <f t="shared" si="0"/>
        <v>6</v>
      </c>
      <c r="B7" s="40">
        <v>9463.6054690000001</v>
      </c>
      <c r="C7" t="s">
        <v>57</v>
      </c>
      <c r="D7" t="s">
        <v>58</v>
      </c>
      <c r="E7" t="s">
        <v>48</v>
      </c>
      <c r="F7" t="e">
        <v>#N/A</v>
      </c>
      <c r="H7" t="s">
        <v>63</v>
      </c>
      <c r="I7">
        <v>0.2991131919916204</v>
      </c>
    </row>
    <row r="8" spans="1:13" x14ac:dyDescent="0.3">
      <c r="A8">
        <f t="shared" si="0"/>
        <v>7</v>
      </c>
      <c r="B8" s="39">
        <v>9145.9853519999997</v>
      </c>
      <c r="C8" t="s">
        <v>57</v>
      </c>
      <c r="D8" t="s">
        <v>58</v>
      </c>
      <c r="E8" t="s">
        <v>49</v>
      </c>
      <c r="F8">
        <v>18205.841882902911</v>
      </c>
      <c r="H8" t="s">
        <v>46</v>
      </c>
      <c r="I8">
        <v>15241.745633473927</v>
      </c>
    </row>
    <row r="9" spans="1:13" ht="15" thickBot="1" x14ac:dyDescent="0.35">
      <c r="A9">
        <f t="shared" si="0"/>
        <v>8</v>
      </c>
      <c r="B9" s="40">
        <v>11322.570313</v>
      </c>
      <c r="C9" t="s">
        <v>57</v>
      </c>
      <c r="D9" t="s">
        <v>58</v>
      </c>
      <c r="E9" t="s">
        <v>50</v>
      </c>
      <c r="F9">
        <v>331452678.66526181</v>
      </c>
      <c r="H9" s="36" t="s">
        <v>64</v>
      </c>
      <c r="I9" s="36">
        <v>57</v>
      </c>
    </row>
    <row r="10" spans="1:13" x14ac:dyDescent="0.3">
      <c r="A10">
        <f t="shared" si="0"/>
        <v>9</v>
      </c>
      <c r="B10" s="39">
        <v>11679.316406</v>
      </c>
      <c r="C10" t="s">
        <v>57</v>
      </c>
      <c r="D10" t="s">
        <v>58</v>
      </c>
      <c r="E10" t="s">
        <v>51</v>
      </c>
      <c r="F10">
        <v>-0.90235711198821411</v>
      </c>
    </row>
    <row r="11" spans="1:13" ht="15" thickBot="1" x14ac:dyDescent="0.35">
      <c r="A11">
        <f t="shared" si="0"/>
        <v>10</v>
      </c>
      <c r="B11" s="40">
        <v>10795.254883</v>
      </c>
      <c r="C11" t="s">
        <v>57</v>
      </c>
      <c r="D11" t="s">
        <v>58</v>
      </c>
      <c r="E11" t="s">
        <v>52</v>
      </c>
      <c r="F11">
        <v>0.34797387977620814</v>
      </c>
      <c r="H11" t="s">
        <v>65</v>
      </c>
    </row>
    <row r="12" spans="1:13" x14ac:dyDescent="0.3">
      <c r="A12">
        <f t="shared" si="0"/>
        <v>11</v>
      </c>
      <c r="B12" s="39">
        <v>13780.995117</v>
      </c>
      <c r="C12" t="s">
        <v>57</v>
      </c>
      <c r="D12" t="s">
        <v>58</v>
      </c>
      <c r="E12" t="s">
        <v>23</v>
      </c>
      <c r="F12">
        <v>64896.165039</v>
      </c>
      <c r="H12" s="37"/>
      <c r="I12" s="37" t="s">
        <v>70</v>
      </c>
      <c r="J12" s="37" t="s">
        <v>71</v>
      </c>
      <c r="K12" s="37" t="s">
        <v>72</v>
      </c>
      <c r="L12" s="37" t="s">
        <v>73</v>
      </c>
      <c r="M12" s="37" t="s">
        <v>74</v>
      </c>
    </row>
    <row r="13" spans="1:13" x14ac:dyDescent="0.3">
      <c r="A13">
        <f t="shared" si="0"/>
        <v>12</v>
      </c>
      <c r="B13" s="40">
        <v>19633.769531000002</v>
      </c>
      <c r="C13" t="s">
        <v>57</v>
      </c>
      <c r="D13" t="s">
        <v>58</v>
      </c>
      <c r="E13" t="s">
        <v>53</v>
      </c>
      <c r="F13">
        <v>6437.3193359999996</v>
      </c>
      <c r="H13" t="s">
        <v>66</v>
      </c>
      <c r="I13">
        <v>1</v>
      </c>
      <c r="J13">
        <v>5784255457.700901</v>
      </c>
      <c r="K13">
        <v>5784255457.700901</v>
      </c>
      <c r="L13">
        <v>24.898778747352999</v>
      </c>
      <c r="M13">
        <v>6.420894939959968E-6</v>
      </c>
    </row>
    <row r="14" spans="1:13" x14ac:dyDescent="0.3">
      <c r="A14">
        <f t="shared" si="0"/>
        <v>13</v>
      </c>
      <c r="B14" s="39">
        <v>28994.009765999999</v>
      </c>
      <c r="C14" t="s">
        <v>57</v>
      </c>
      <c r="D14" t="s">
        <v>58</v>
      </c>
      <c r="E14" t="s">
        <v>54</v>
      </c>
      <c r="F14">
        <v>71333.484375</v>
      </c>
      <c r="H14" t="s">
        <v>67</v>
      </c>
      <c r="I14">
        <v>55</v>
      </c>
      <c r="J14">
        <v>12777094547.553684</v>
      </c>
      <c r="K14">
        <v>232310809.95552152</v>
      </c>
    </row>
    <row r="15" spans="1:13" ht="15" thickBot="1" x14ac:dyDescent="0.35">
      <c r="A15">
        <f t="shared" si="0"/>
        <v>14</v>
      </c>
      <c r="B15" s="40">
        <v>33114.578125</v>
      </c>
      <c r="C15" t="s">
        <v>57</v>
      </c>
      <c r="D15" t="s">
        <v>58</v>
      </c>
      <c r="E15" t="s">
        <v>55</v>
      </c>
      <c r="F15">
        <v>1900722.0112379992</v>
      </c>
      <c r="H15" s="36" t="s">
        <v>68</v>
      </c>
      <c r="I15" s="36">
        <v>56</v>
      </c>
      <c r="J15" s="36">
        <v>18561350005.254585</v>
      </c>
      <c r="K15" s="36"/>
      <c r="L15" s="36"/>
      <c r="M15" s="36"/>
    </row>
    <row r="16" spans="1:13" ht="15" thickBot="1" x14ac:dyDescent="0.35">
      <c r="A16">
        <f t="shared" si="0"/>
        <v>15</v>
      </c>
      <c r="B16" s="39">
        <v>45159.503905999998</v>
      </c>
      <c r="C16" t="s">
        <v>57</v>
      </c>
      <c r="D16" t="s">
        <v>58</v>
      </c>
      <c r="E16" s="36" t="s">
        <v>56</v>
      </c>
      <c r="F16" s="36">
        <v>57</v>
      </c>
    </row>
    <row r="17" spans="1:16" x14ac:dyDescent="0.3">
      <c r="A17">
        <f t="shared" si="0"/>
        <v>16</v>
      </c>
      <c r="B17" s="40">
        <v>58926.5625</v>
      </c>
      <c r="C17" t="s">
        <v>57</v>
      </c>
      <c r="D17" t="s">
        <v>58</v>
      </c>
      <c r="F17">
        <v>1</v>
      </c>
      <c r="H17" s="37"/>
      <c r="I17" s="37" t="s">
        <v>75</v>
      </c>
      <c r="J17" s="37" t="s">
        <v>46</v>
      </c>
      <c r="K17" s="37" t="s">
        <v>76</v>
      </c>
      <c r="L17" s="37" t="s">
        <v>77</v>
      </c>
      <c r="M17" s="37" t="s">
        <v>78</v>
      </c>
      <c r="N17" s="37" t="s">
        <v>79</v>
      </c>
      <c r="O17" s="37" t="s">
        <v>80</v>
      </c>
      <c r="P17" s="37" t="s">
        <v>81</v>
      </c>
    </row>
    <row r="18" spans="1:16" x14ac:dyDescent="0.3">
      <c r="A18">
        <f t="shared" si="0"/>
        <v>17</v>
      </c>
      <c r="B18" s="39">
        <v>57714.664062999997</v>
      </c>
      <c r="C18" t="s">
        <v>57</v>
      </c>
      <c r="D18" t="s">
        <v>28</v>
      </c>
      <c r="E18">
        <f>+SLOPE(B2:B58,A2:A58)</f>
        <v>612.30656719788703</v>
      </c>
      <c r="H18" t="s">
        <v>69</v>
      </c>
      <c r="I18">
        <v>15589.109748419156</v>
      </c>
      <c r="J18">
        <v>4091.3552075245752</v>
      </c>
      <c r="K18">
        <v>3.8102557606703518</v>
      </c>
      <c r="L18">
        <v>3.5229387926896465E-4</v>
      </c>
      <c r="M18">
        <v>7389.8506881966514</v>
      </c>
      <c r="N18">
        <v>23788.368808641659</v>
      </c>
      <c r="O18">
        <v>7389.8506881966514</v>
      </c>
      <c r="P18">
        <v>23788.368808641659</v>
      </c>
    </row>
    <row r="19" spans="1:16" ht="15" thickBot="1" x14ac:dyDescent="0.35">
      <c r="A19">
        <f t="shared" si="0"/>
        <v>18</v>
      </c>
      <c r="B19" s="40">
        <v>37293.792969000002</v>
      </c>
      <c r="C19" t="s">
        <v>57</v>
      </c>
      <c r="D19" t="s">
        <v>29</v>
      </c>
      <c r="E19">
        <f>+INTERCEPT(B2:B58,A2:A58)</f>
        <v>15589.10974841916</v>
      </c>
      <c r="H19" s="36" t="s">
        <v>7</v>
      </c>
      <c r="I19" s="36">
        <v>612.30656719788715</v>
      </c>
      <c r="J19" s="36">
        <v>122.70998256382489</v>
      </c>
      <c r="K19" s="36">
        <v>4.9898676081989448</v>
      </c>
      <c r="L19" s="36">
        <v>6.4208949399598139E-6</v>
      </c>
      <c r="M19" s="36">
        <v>366.39026678335188</v>
      </c>
      <c r="N19" s="36">
        <v>858.22286761242242</v>
      </c>
      <c r="O19" s="36">
        <v>366.39026678335188</v>
      </c>
      <c r="P19" s="36">
        <v>858.22286761242242</v>
      </c>
    </row>
    <row r="20" spans="1:16" x14ac:dyDescent="0.3">
      <c r="A20">
        <f t="shared" si="0"/>
        <v>19</v>
      </c>
      <c r="B20" s="39">
        <v>35035.984375</v>
      </c>
      <c r="C20" t="s">
        <v>57</v>
      </c>
      <c r="D20" t="s">
        <v>58</v>
      </c>
    </row>
    <row r="21" spans="1:16" x14ac:dyDescent="0.3">
      <c r="A21">
        <f t="shared" si="0"/>
        <v>20</v>
      </c>
      <c r="B21" s="40">
        <v>41460.84375</v>
      </c>
      <c r="C21" t="s">
        <v>57</v>
      </c>
      <c r="D21" t="s">
        <v>58</v>
      </c>
    </row>
    <row r="22" spans="1:16" x14ac:dyDescent="0.3">
      <c r="A22">
        <f t="shared" si="0"/>
        <v>21</v>
      </c>
      <c r="B22" s="39">
        <v>47099.773437999997</v>
      </c>
      <c r="C22" t="s">
        <v>57</v>
      </c>
      <c r="D22" t="s">
        <v>58</v>
      </c>
    </row>
    <row r="23" spans="1:16" x14ac:dyDescent="0.3">
      <c r="A23">
        <f t="shared" si="0"/>
        <v>22</v>
      </c>
      <c r="B23" s="40">
        <v>43816.742187999997</v>
      </c>
      <c r="C23" t="s">
        <v>57</v>
      </c>
      <c r="D23" t="s">
        <v>58</v>
      </c>
      <c r="H23" t="s">
        <v>82</v>
      </c>
      <c r="M23" t="s">
        <v>86</v>
      </c>
    </row>
    <row r="24" spans="1:16" ht="15" thickBot="1" x14ac:dyDescent="0.35">
      <c r="A24">
        <f t="shared" si="0"/>
        <v>23</v>
      </c>
      <c r="B24" s="39">
        <v>61320.449219000002</v>
      </c>
      <c r="C24" t="s">
        <v>57</v>
      </c>
      <c r="D24" t="s">
        <v>58</v>
      </c>
    </row>
    <row r="25" spans="1:16" x14ac:dyDescent="0.3">
      <c r="A25">
        <f t="shared" si="0"/>
        <v>24</v>
      </c>
      <c r="B25" s="40">
        <v>56907.964844000002</v>
      </c>
      <c r="C25" t="s">
        <v>57</v>
      </c>
      <c r="D25" t="s">
        <v>58</v>
      </c>
      <c r="E25" t="s">
        <v>88</v>
      </c>
      <c r="H25" s="37" t="s">
        <v>83</v>
      </c>
      <c r="I25" s="37" t="s">
        <v>84</v>
      </c>
      <c r="J25" s="37" t="s">
        <v>67</v>
      </c>
      <c r="K25" s="37" t="s">
        <v>85</v>
      </c>
      <c r="M25" s="37" t="s">
        <v>87</v>
      </c>
      <c r="N25" s="37" t="s">
        <v>8</v>
      </c>
    </row>
    <row r="26" spans="1:16" x14ac:dyDescent="0.3">
      <c r="A26">
        <f t="shared" si="0"/>
        <v>25</v>
      </c>
      <c r="B26" s="39">
        <v>46311.746094000002</v>
      </c>
      <c r="C26" t="s">
        <v>57</v>
      </c>
      <c r="D26" t="s">
        <v>58</v>
      </c>
      <c r="E26">
        <f>+ABS(G26)</f>
        <v>9006.5242256170422</v>
      </c>
      <c r="F26" s="41">
        <f>+B2</f>
        <v>7194.8920900000003</v>
      </c>
      <c r="G26" s="42">
        <f>+I26-F26</f>
        <v>9006.5242256170422</v>
      </c>
      <c r="H26">
        <v>1</v>
      </c>
      <c r="I26">
        <v>16201.416315617043</v>
      </c>
      <c r="J26">
        <v>-9006.5242256170422</v>
      </c>
      <c r="K26">
        <v>-0.59625932042838869</v>
      </c>
      <c r="M26">
        <v>0.87719298245613997</v>
      </c>
      <c r="N26">
        <v>6437.3193359999996</v>
      </c>
    </row>
    <row r="27" spans="1:16" x14ac:dyDescent="0.3">
      <c r="A27">
        <f t="shared" si="0"/>
        <v>26</v>
      </c>
      <c r="B27" s="40">
        <v>38481.765625</v>
      </c>
      <c r="C27" t="s">
        <v>57</v>
      </c>
      <c r="D27" t="s">
        <v>58</v>
      </c>
      <c r="E27">
        <f t="shared" ref="E27:E82" si="1">+ABS(G27)</f>
        <v>7467.3654608149318</v>
      </c>
      <c r="F27" s="41">
        <f t="shared" ref="F27:F82" si="2">+B3</f>
        <v>9346.3574219999991</v>
      </c>
      <c r="G27" s="42">
        <f t="shared" ref="G27:G82" si="3">+I27-F27</f>
        <v>7467.3654608149318</v>
      </c>
      <c r="H27">
        <v>2</v>
      </c>
      <c r="I27">
        <v>16813.722882814931</v>
      </c>
      <c r="J27">
        <v>-7467.3654608149318</v>
      </c>
      <c r="K27">
        <v>-0.49436232485688897</v>
      </c>
      <c r="M27">
        <v>2.6315789473684208</v>
      </c>
      <c r="N27">
        <v>7194.8920900000003</v>
      </c>
    </row>
    <row r="28" spans="1:16" x14ac:dyDescent="0.3">
      <c r="A28">
        <f t="shared" si="0"/>
        <v>27</v>
      </c>
      <c r="B28" s="39">
        <v>43194.503905999998</v>
      </c>
      <c r="C28" t="s">
        <v>57</v>
      </c>
      <c r="D28" t="s">
        <v>58</v>
      </c>
      <c r="E28">
        <f t="shared" si="1"/>
        <v>8826.2706610128189</v>
      </c>
      <c r="F28" s="41">
        <f t="shared" si="2"/>
        <v>8599.7587889999995</v>
      </c>
      <c r="G28" s="42">
        <f t="shared" si="3"/>
        <v>8826.2706610128189</v>
      </c>
      <c r="H28">
        <v>3</v>
      </c>
      <c r="I28">
        <v>17426.029450012818</v>
      </c>
      <c r="J28">
        <v>-8826.2706610128189</v>
      </c>
      <c r="K28">
        <v>-0.58432598574307104</v>
      </c>
      <c r="M28">
        <v>4.3859649122807012</v>
      </c>
      <c r="N28">
        <v>8599.7587889999995</v>
      </c>
    </row>
    <row r="29" spans="1:16" x14ac:dyDescent="0.3">
      <c r="A29">
        <f t="shared" si="0"/>
        <v>28</v>
      </c>
      <c r="B29" s="40">
        <v>45554.164062999997</v>
      </c>
      <c r="C29" t="s">
        <v>57</v>
      </c>
      <c r="D29" t="s">
        <v>58</v>
      </c>
      <c r="E29">
        <f t="shared" si="1"/>
        <v>11601.016681210705</v>
      </c>
      <c r="F29" s="41">
        <f t="shared" si="2"/>
        <v>6437.3193359999996</v>
      </c>
      <c r="G29" s="42">
        <f t="shared" si="3"/>
        <v>11601.016681210705</v>
      </c>
      <c r="H29">
        <v>4</v>
      </c>
      <c r="I29">
        <v>18038.336017210706</v>
      </c>
      <c r="J29">
        <v>-11601.016681210705</v>
      </c>
      <c r="K29">
        <v>-0.76802261886362644</v>
      </c>
      <c r="M29">
        <v>6.140350877192982</v>
      </c>
      <c r="N29">
        <v>8672.7822269999997</v>
      </c>
    </row>
    <row r="30" spans="1:16" x14ac:dyDescent="0.3">
      <c r="A30">
        <f t="shared" si="0"/>
        <v>29</v>
      </c>
      <c r="B30" s="39">
        <v>37713.265625</v>
      </c>
      <c r="C30" t="s">
        <v>57</v>
      </c>
      <c r="D30" t="s">
        <v>58</v>
      </c>
      <c r="E30">
        <f t="shared" si="1"/>
        <v>9977.8603574085901</v>
      </c>
      <c r="F30" s="41">
        <f t="shared" si="2"/>
        <v>8672.7822269999997</v>
      </c>
      <c r="G30" s="42">
        <f t="shared" si="3"/>
        <v>9977.8603574085901</v>
      </c>
      <c r="H30">
        <v>5</v>
      </c>
      <c r="I30">
        <v>18650.64258440859</v>
      </c>
      <c r="J30">
        <v>-9977.8603574085901</v>
      </c>
      <c r="K30">
        <v>-0.66056472918998987</v>
      </c>
      <c r="M30">
        <v>7.8947368421052628</v>
      </c>
      <c r="N30">
        <v>9145.9853519999997</v>
      </c>
    </row>
    <row r="31" spans="1:16" x14ac:dyDescent="0.3">
      <c r="A31">
        <f t="shared" si="0"/>
        <v>30</v>
      </c>
      <c r="B31" s="40">
        <v>31792.554688</v>
      </c>
      <c r="C31" t="s">
        <v>57</v>
      </c>
      <c r="D31" t="s">
        <v>58</v>
      </c>
      <c r="E31">
        <f t="shared" si="1"/>
        <v>9799.3436826064808</v>
      </c>
      <c r="F31" s="41">
        <f t="shared" si="2"/>
        <v>9463.6054690000001</v>
      </c>
      <c r="G31" s="42">
        <f t="shared" si="3"/>
        <v>9799.3436826064808</v>
      </c>
      <c r="H31">
        <v>6</v>
      </c>
      <c r="I31">
        <v>19262.949151606481</v>
      </c>
      <c r="J31">
        <v>-9799.3436826064808</v>
      </c>
      <c r="K31">
        <v>-0.64874638189682543</v>
      </c>
      <c r="M31">
        <v>9.6491228070175428</v>
      </c>
      <c r="N31">
        <v>9346.3574219999991</v>
      </c>
    </row>
    <row r="32" spans="1:16" x14ac:dyDescent="0.3">
      <c r="A32">
        <f t="shared" si="0"/>
        <v>31</v>
      </c>
      <c r="B32" s="39">
        <v>19820.470702999999</v>
      </c>
      <c r="C32" t="s">
        <v>57</v>
      </c>
      <c r="D32" t="s">
        <v>58</v>
      </c>
      <c r="E32">
        <f t="shared" si="1"/>
        <v>10729.270366804365</v>
      </c>
      <c r="F32" s="41">
        <f t="shared" si="2"/>
        <v>9145.9853519999997</v>
      </c>
      <c r="G32" s="42">
        <f t="shared" si="3"/>
        <v>10729.270366804365</v>
      </c>
      <c r="H32">
        <v>7</v>
      </c>
      <c r="I32">
        <v>19875.255718804365</v>
      </c>
      <c r="J32">
        <v>-10729.270366804365</v>
      </c>
      <c r="K32">
        <v>-0.71031035917353869</v>
      </c>
      <c r="M32">
        <v>11.403508771929824</v>
      </c>
      <c r="N32">
        <v>9463.6054690000001</v>
      </c>
    </row>
    <row r="33" spans="1:14" x14ac:dyDescent="0.3">
      <c r="A33">
        <f t="shared" si="0"/>
        <v>32</v>
      </c>
      <c r="B33" s="40">
        <v>23336.71875</v>
      </c>
      <c r="C33" t="s">
        <v>57</v>
      </c>
      <c r="D33" t="s">
        <v>58</v>
      </c>
      <c r="E33">
        <f t="shared" si="1"/>
        <v>9164.9919730022521</v>
      </c>
      <c r="F33" s="41">
        <f t="shared" si="2"/>
        <v>11322.570313</v>
      </c>
      <c r="G33" s="42">
        <f t="shared" si="3"/>
        <v>9164.9919730022521</v>
      </c>
      <c r="H33">
        <v>8</v>
      </c>
      <c r="I33">
        <v>20487.562286002252</v>
      </c>
      <c r="J33">
        <v>-9164.9919730022521</v>
      </c>
      <c r="K33">
        <v>-0.60675036769576551</v>
      </c>
      <c r="M33">
        <v>13.157894736842104</v>
      </c>
      <c r="N33">
        <v>10795.254883</v>
      </c>
    </row>
    <row r="34" spans="1:14" x14ac:dyDescent="0.3">
      <c r="A34">
        <f t="shared" si="0"/>
        <v>33</v>
      </c>
      <c r="B34" s="39">
        <v>20050.498047000001</v>
      </c>
      <c r="C34" t="s">
        <v>57</v>
      </c>
      <c r="D34" t="s">
        <v>58</v>
      </c>
      <c r="E34">
        <f t="shared" si="1"/>
        <v>9420.5524472001398</v>
      </c>
      <c r="F34" s="41">
        <f t="shared" si="2"/>
        <v>11679.316406</v>
      </c>
      <c r="G34" s="42">
        <f t="shared" si="3"/>
        <v>9420.5524472001398</v>
      </c>
      <c r="H34">
        <v>9</v>
      </c>
      <c r="I34">
        <v>21099.86885320014</v>
      </c>
      <c r="J34">
        <v>-9420.5524472001398</v>
      </c>
      <c r="K34">
        <v>-0.62366924903737975</v>
      </c>
      <c r="M34">
        <v>14.912280701754385</v>
      </c>
      <c r="N34">
        <v>11322.570313</v>
      </c>
    </row>
    <row r="35" spans="1:14" x14ac:dyDescent="0.3">
      <c r="A35">
        <f t="shared" si="0"/>
        <v>34</v>
      </c>
      <c r="B35" s="40">
        <v>19431.105468999998</v>
      </c>
      <c r="C35" t="s">
        <v>57</v>
      </c>
      <c r="D35" t="s">
        <v>58</v>
      </c>
      <c r="E35">
        <f t="shared" si="1"/>
        <v>10916.920537398028</v>
      </c>
      <c r="F35" s="41">
        <f t="shared" si="2"/>
        <v>10795.254883</v>
      </c>
      <c r="G35" s="42">
        <f t="shared" si="3"/>
        <v>10916.920537398028</v>
      </c>
      <c r="H35">
        <v>10</v>
      </c>
      <c r="I35">
        <v>21712.175420398027</v>
      </c>
      <c r="J35">
        <v>-10916.920537398028</v>
      </c>
      <c r="K35">
        <v>-0.7227333716913098</v>
      </c>
      <c r="M35">
        <v>16.666666666666664</v>
      </c>
      <c r="N35">
        <v>11679.316406</v>
      </c>
    </row>
    <row r="36" spans="1:14" x14ac:dyDescent="0.3">
      <c r="A36">
        <f t="shared" si="0"/>
        <v>35</v>
      </c>
      <c r="B36" s="39">
        <v>20494.898438</v>
      </c>
      <c r="C36" t="s">
        <v>57</v>
      </c>
      <c r="D36" t="s">
        <v>58</v>
      </c>
      <c r="E36">
        <f t="shared" si="1"/>
        <v>8543.4868705959143</v>
      </c>
      <c r="F36" s="41">
        <f t="shared" si="2"/>
        <v>13780.995117</v>
      </c>
      <c r="G36" s="42">
        <f t="shared" si="3"/>
        <v>8543.4868705959143</v>
      </c>
      <c r="H36">
        <v>11</v>
      </c>
      <c r="I36">
        <v>22324.481987595915</v>
      </c>
      <c r="J36">
        <v>-8543.4868705959143</v>
      </c>
      <c r="K36">
        <v>-0.56560483799746608</v>
      </c>
      <c r="M36">
        <v>18.421052631578945</v>
      </c>
      <c r="N36">
        <v>13780.995117</v>
      </c>
    </row>
    <row r="37" spans="1:14" x14ac:dyDescent="0.3">
      <c r="A37">
        <f t="shared" si="0"/>
        <v>36</v>
      </c>
      <c r="B37" s="40">
        <v>17168.001952999999</v>
      </c>
      <c r="C37" t="s">
        <v>57</v>
      </c>
      <c r="D37" t="s">
        <v>58</v>
      </c>
      <c r="E37">
        <f t="shared" si="1"/>
        <v>3303.0190237938004</v>
      </c>
      <c r="F37" s="41">
        <f t="shared" si="2"/>
        <v>19633.769531000002</v>
      </c>
      <c r="G37" s="42">
        <f t="shared" si="3"/>
        <v>3303.0190237938004</v>
      </c>
      <c r="H37">
        <v>12</v>
      </c>
      <c r="I37">
        <v>22936.788554793802</v>
      </c>
      <c r="J37">
        <v>-3303.0190237938004</v>
      </c>
      <c r="K37">
        <v>-0.21866991407047512</v>
      </c>
      <c r="M37">
        <v>20.175438596491226</v>
      </c>
      <c r="N37">
        <v>16547.914063</v>
      </c>
    </row>
    <row r="38" spans="1:14" x14ac:dyDescent="0.3">
      <c r="A38">
        <f t="shared" si="0"/>
        <v>37</v>
      </c>
      <c r="B38" s="39">
        <v>16547.914063</v>
      </c>
      <c r="C38" t="s">
        <v>57</v>
      </c>
      <c r="D38" t="s">
        <v>58</v>
      </c>
      <c r="E38">
        <f t="shared" si="1"/>
        <v>5444.9146440083096</v>
      </c>
      <c r="F38" s="41">
        <f t="shared" si="2"/>
        <v>28994.009765999999</v>
      </c>
      <c r="G38" s="42">
        <f t="shared" si="3"/>
        <v>-5444.9146440083096</v>
      </c>
      <c r="H38">
        <v>13</v>
      </c>
      <c r="I38">
        <v>23549.09512199169</v>
      </c>
      <c r="J38">
        <v>5444.9146440083096</v>
      </c>
      <c r="K38">
        <v>0.3604699242569962</v>
      </c>
      <c r="M38">
        <v>21.929824561403507</v>
      </c>
      <c r="N38">
        <v>17168.001952999999</v>
      </c>
    </row>
    <row r="39" spans="1:14" x14ac:dyDescent="0.3">
      <c r="A39">
        <f t="shared" si="0"/>
        <v>38</v>
      </c>
      <c r="B39" s="40">
        <v>23137.835938</v>
      </c>
      <c r="C39" t="s">
        <v>57</v>
      </c>
      <c r="D39" t="s">
        <v>58</v>
      </c>
      <c r="E39">
        <f t="shared" si="1"/>
        <v>8953.1764358104265</v>
      </c>
      <c r="F39" s="41">
        <f t="shared" si="2"/>
        <v>33114.578125</v>
      </c>
      <c r="G39" s="42">
        <f t="shared" si="3"/>
        <v>-8953.1764358104265</v>
      </c>
      <c r="H39">
        <v>14</v>
      </c>
      <c r="I39">
        <v>24161.401689189574</v>
      </c>
      <c r="J39">
        <v>8953.1764358104265</v>
      </c>
      <c r="K39">
        <v>0.59272753434758563</v>
      </c>
      <c r="M39">
        <v>23.684210526315788</v>
      </c>
      <c r="N39">
        <v>19431.105468999998</v>
      </c>
    </row>
    <row r="40" spans="1:14" x14ac:dyDescent="0.3">
      <c r="A40">
        <f t="shared" si="0"/>
        <v>39</v>
      </c>
      <c r="B40" s="39">
        <v>23150.929688</v>
      </c>
      <c r="C40" t="s">
        <v>57</v>
      </c>
      <c r="D40" t="s">
        <v>58</v>
      </c>
      <c r="E40">
        <f t="shared" si="1"/>
        <v>20385.795649612533</v>
      </c>
      <c r="F40" s="41">
        <f t="shared" si="2"/>
        <v>45159.503905999998</v>
      </c>
      <c r="G40" s="42">
        <f t="shared" si="3"/>
        <v>-20385.795649612533</v>
      </c>
      <c r="H40">
        <v>15</v>
      </c>
      <c r="I40">
        <v>24773.708256387465</v>
      </c>
      <c r="J40">
        <v>20385.795649612533</v>
      </c>
      <c r="K40">
        <v>1.3496017282513011</v>
      </c>
      <c r="M40">
        <v>25.438596491228068</v>
      </c>
      <c r="N40">
        <v>19633.769531000002</v>
      </c>
    </row>
    <row r="41" spans="1:14" x14ac:dyDescent="0.3">
      <c r="A41">
        <f t="shared" si="0"/>
        <v>40</v>
      </c>
      <c r="B41" s="40">
        <v>28473.332031000002</v>
      </c>
      <c r="C41" t="s">
        <v>57</v>
      </c>
      <c r="D41" t="s">
        <v>58</v>
      </c>
      <c r="E41">
        <f t="shared" si="1"/>
        <v>33540.547676414652</v>
      </c>
      <c r="F41" s="41">
        <f t="shared" si="2"/>
        <v>58926.5625</v>
      </c>
      <c r="G41" s="42">
        <f t="shared" si="3"/>
        <v>-33540.547676414652</v>
      </c>
      <c r="H41">
        <v>16</v>
      </c>
      <c r="I41">
        <v>25386.014823585348</v>
      </c>
      <c r="J41">
        <v>33540.547676414652</v>
      </c>
      <c r="K41">
        <v>2.2204863567071387</v>
      </c>
      <c r="M41">
        <v>27.192982456140349</v>
      </c>
      <c r="N41">
        <v>19820.470702999999</v>
      </c>
    </row>
    <row r="42" spans="1:14" x14ac:dyDescent="0.3">
      <c r="A42">
        <f t="shared" si="0"/>
        <v>41</v>
      </c>
      <c r="B42" s="39">
        <v>29227.103515999999</v>
      </c>
      <c r="C42" t="s">
        <v>57</v>
      </c>
      <c r="D42" t="s">
        <v>58</v>
      </c>
      <c r="E42">
        <f t="shared" si="1"/>
        <v>31716.342672216757</v>
      </c>
      <c r="F42" s="41">
        <f t="shared" si="2"/>
        <v>57714.664062999997</v>
      </c>
      <c r="G42" s="42">
        <f t="shared" si="3"/>
        <v>-31716.342672216757</v>
      </c>
      <c r="H42">
        <v>17</v>
      </c>
      <c r="I42">
        <v>25998.32139078324</v>
      </c>
      <c r="J42">
        <v>31716.342672216757</v>
      </c>
      <c r="K42">
        <v>2.0997184323805285</v>
      </c>
      <c r="M42">
        <v>28.94736842105263</v>
      </c>
      <c r="N42">
        <v>20050.498047000001</v>
      </c>
    </row>
    <row r="43" spans="1:14" x14ac:dyDescent="0.3">
      <c r="A43">
        <f t="shared" si="0"/>
        <v>42</v>
      </c>
      <c r="B43" s="40">
        <v>27218.412109000001</v>
      </c>
      <c r="C43" t="s">
        <v>57</v>
      </c>
      <c r="D43" t="s">
        <v>58</v>
      </c>
      <c r="E43">
        <f t="shared" si="1"/>
        <v>10683.165011018878</v>
      </c>
      <c r="F43" s="41">
        <f t="shared" si="2"/>
        <v>37293.792969000002</v>
      </c>
      <c r="G43" s="42">
        <f t="shared" si="3"/>
        <v>-10683.165011018878</v>
      </c>
      <c r="H43">
        <v>18</v>
      </c>
      <c r="I43">
        <v>26610.627957981123</v>
      </c>
      <c r="J43">
        <v>10683.165011018878</v>
      </c>
      <c r="K43">
        <v>0.70725804427157335</v>
      </c>
      <c r="M43">
        <v>30.701754385964911</v>
      </c>
      <c r="N43">
        <v>20494.898438</v>
      </c>
    </row>
    <row r="44" spans="1:14" x14ac:dyDescent="0.3">
      <c r="A44">
        <f t="shared" si="0"/>
        <v>43</v>
      </c>
      <c r="B44" s="39">
        <v>30471.847656000002</v>
      </c>
      <c r="C44" t="s">
        <v>57</v>
      </c>
      <c r="D44" t="s">
        <v>58</v>
      </c>
      <c r="E44">
        <f t="shared" si="1"/>
        <v>7813.049849820989</v>
      </c>
      <c r="F44" s="41">
        <f t="shared" si="2"/>
        <v>35035.984375</v>
      </c>
      <c r="G44" s="42">
        <f t="shared" si="3"/>
        <v>-7813.049849820989</v>
      </c>
      <c r="H44">
        <v>19</v>
      </c>
      <c r="I44">
        <v>27222.934525179011</v>
      </c>
      <c r="J44">
        <v>7813.049849820989</v>
      </c>
      <c r="K44">
        <v>0.51724768370433416</v>
      </c>
      <c r="M44">
        <v>32.456140350877192</v>
      </c>
      <c r="N44">
        <v>23137.835938</v>
      </c>
    </row>
    <row r="45" spans="1:14" x14ac:dyDescent="0.3">
      <c r="A45">
        <f t="shared" si="0"/>
        <v>44</v>
      </c>
      <c r="B45" s="40">
        <v>29230.873047000001</v>
      </c>
      <c r="C45" t="s">
        <v>57</v>
      </c>
      <c r="D45" t="s">
        <v>58</v>
      </c>
      <c r="E45">
        <f t="shared" si="1"/>
        <v>13625.602657623102</v>
      </c>
      <c r="F45" s="41">
        <f t="shared" si="2"/>
        <v>41460.84375</v>
      </c>
      <c r="G45" s="42">
        <f t="shared" si="3"/>
        <v>-13625.602657623102</v>
      </c>
      <c r="H45">
        <v>20</v>
      </c>
      <c r="I45">
        <v>27835.241092376898</v>
      </c>
      <c r="J45">
        <v>13625.602657623102</v>
      </c>
      <c r="K45">
        <v>0.90205637352904477</v>
      </c>
      <c r="M45">
        <v>34.210526315789465</v>
      </c>
      <c r="N45">
        <v>23150.929688</v>
      </c>
    </row>
    <row r="46" spans="1:14" x14ac:dyDescent="0.3">
      <c r="A46">
        <f t="shared" si="0"/>
        <v>45</v>
      </c>
      <c r="B46" s="39">
        <v>25934.021484000001</v>
      </c>
      <c r="C46" t="s">
        <v>57</v>
      </c>
      <c r="D46" t="s">
        <v>58</v>
      </c>
      <c r="E46">
        <f t="shared" si="1"/>
        <v>18652.225778425211</v>
      </c>
      <c r="F46" s="41">
        <f t="shared" si="2"/>
        <v>47099.773437999997</v>
      </c>
      <c r="G46" s="42">
        <f t="shared" si="3"/>
        <v>-18652.225778425211</v>
      </c>
      <c r="H46">
        <v>21</v>
      </c>
      <c r="I46">
        <v>28447.547659574786</v>
      </c>
      <c r="J46">
        <v>18652.225778425211</v>
      </c>
      <c r="K46">
        <v>1.2348341256317161</v>
      </c>
      <c r="M46">
        <v>35.964912280701746</v>
      </c>
      <c r="N46">
        <v>23336.71875</v>
      </c>
    </row>
    <row r="47" spans="1:14" x14ac:dyDescent="0.3">
      <c r="A47">
        <f t="shared" si="0"/>
        <v>46</v>
      </c>
      <c r="B47" s="40">
        <v>26967.396484000001</v>
      </c>
      <c r="C47" t="s">
        <v>57</v>
      </c>
      <c r="D47" t="s">
        <v>58</v>
      </c>
      <c r="E47">
        <f t="shared" si="1"/>
        <v>14756.887961227323</v>
      </c>
      <c r="F47" s="41">
        <f t="shared" si="2"/>
        <v>43816.742187999997</v>
      </c>
      <c r="G47" s="42">
        <f t="shared" si="3"/>
        <v>-14756.887961227323</v>
      </c>
      <c r="H47">
        <v>22</v>
      </c>
      <c r="I47">
        <v>29059.854226772673</v>
      </c>
      <c r="J47">
        <v>14756.887961227323</v>
      </c>
      <c r="K47">
        <v>0.97695090436471388</v>
      </c>
      <c r="M47">
        <v>37.719298245614027</v>
      </c>
      <c r="N47">
        <v>25934.021484000001</v>
      </c>
    </row>
    <row r="48" spans="1:14" x14ac:dyDescent="0.3">
      <c r="A48">
        <f t="shared" si="0"/>
        <v>47</v>
      </c>
      <c r="B48" s="39">
        <v>34657.273437999997</v>
      </c>
      <c r="C48" t="s">
        <v>57</v>
      </c>
      <c r="D48" t="s">
        <v>58</v>
      </c>
      <c r="E48">
        <f t="shared" si="1"/>
        <v>31648.288425029441</v>
      </c>
      <c r="F48" s="41">
        <f t="shared" si="2"/>
        <v>61320.449219000002</v>
      </c>
      <c r="G48" s="42">
        <f t="shared" si="3"/>
        <v>-31648.288425029441</v>
      </c>
      <c r="H48">
        <v>23</v>
      </c>
      <c r="I48">
        <v>29672.160793970561</v>
      </c>
      <c r="J48">
        <v>31648.288425029441</v>
      </c>
      <c r="K48">
        <v>2.0952130340533071</v>
      </c>
      <c r="M48">
        <v>39.473684210526308</v>
      </c>
      <c r="N48">
        <v>26967.396484000001</v>
      </c>
    </row>
    <row r="49" spans="1:14" x14ac:dyDescent="0.3">
      <c r="A49">
        <f t="shared" si="0"/>
        <v>48</v>
      </c>
      <c r="B49" s="40">
        <v>37718.007812999997</v>
      </c>
      <c r="C49" t="s">
        <v>57</v>
      </c>
      <c r="D49" t="s">
        <v>58</v>
      </c>
      <c r="E49">
        <f t="shared" si="1"/>
        <v>26623.497482831553</v>
      </c>
      <c r="F49" s="41">
        <f t="shared" si="2"/>
        <v>56907.964844000002</v>
      </c>
      <c r="G49" s="42">
        <f t="shared" si="3"/>
        <v>-26623.497482831553</v>
      </c>
      <c r="H49">
        <v>24</v>
      </c>
      <c r="I49">
        <v>30284.467361168448</v>
      </c>
      <c r="J49">
        <v>26623.497482831553</v>
      </c>
      <c r="K49">
        <v>1.7625565777515562</v>
      </c>
      <c r="M49">
        <v>41.228070175438589</v>
      </c>
      <c r="N49">
        <v>27218.412109000001</v>
      </c>
    </row>
    <row r="50" spans="1:14" x14ac:dyDescent="0.3">
      <c r="A50">
        <f t="shared" si="0"/>
        <v>49</v>
      </c>
      <c r="B50" s="39">
        <v>42280.234375</v>
      </c>
      <c r="C50" t="s">
        <v>57</v>
      </c>
      <c r="D50" t="s">
        <v>58</v>
      </c>
      <c r="E50">
        <f t="shared" si="1"/>
        <v>15414.97216563367</v>
      </c>
      <c r="F50" s="41">
        <f t="shared" si="2"/>
        <v>46311.746094000002</v>
      </c>
      <c r="G50" s="42">
        <f t="shared" si="3"/>
        <v>-15414.97216563367</v>
      </c>
      <c r="H50">
        <v>25</v>
      </c>
      <c r="I50">
        <v>30896.773928366332</v>
      </c>
      <c r="J50">
        <v>15414.97216563367</v>
      </c>
      <c r="K50">
        <v>1.0205180819655826</v>
      </c>
      <c r="M50">
        <v>42.98245614035087</v>
      </c>
      <c r="N50">
        <v>28473.332031000002</v>
      </c>
    </row>
    <row r="51" spans="1:14" x14ac:dyDescent="0.3">
      <c r="A51">
        <f t="shared" si="0"/>
        <v>50</v>
      </c>
      <c r="B51" s="40">
        <v>42569.761719000002</v>
      </c>
      <c r="C51" t="s">
        <v>57</v>
      </c>
      <c r="D51" t="s">
        <v>58</v>
      </c>
      <c r="E51">
        <f t="shared" si="1"/>
        <v>6972.6851294357766</v>
      </c>
      <c r="F51" s="41">
        <f t="shared" si="2"/>
        <v>38481.765625</v>
      </c>
      <c r="G51" s="42">
        <f t="shared" si="3"/>
        <v>-6972.6851294357766</v>
      </c>
      <c r="H51">
        <v>26</v>
      </c>
      <c r="I51">
        <v>31509.080495564223</v>
      </c>
      <c r="J51">
        <v>6972.6851294357766</v>
      </c>
      <c r="K51">
        <v>0.46161298106691906</v>
      </c>
      <c r="M51">
        <v>44.73684210526315</v>
      </c>
      <c r="N51">
        <v>28994.009765999999</v>
      </c>
    </row>
    <row r="52" spans="1:14" x14ac:dyDescent="0.3">
      <c r="A52">
        <f t="shared" si="0"/>
        <v>51</v>
      </c>
      <c r="B52" s="39">
        <v>61168.0625</v>
      </c>
      <c r="C52" t="s">
        <v>57</v>
      </c>
      <c r="D52" t="s">
        <v>58</v>
      </c>
      <c r="E52">
        <f t="shared" si="1"/>
        <v>11073.116843237891</v>
      </c>
      <c r="F52" s="41">
        <f t="shared" si="2"/>
        <v>43194.503905999998</v>
      </c>
      <c r="G52" s="42">
        <f t="shared" si="3"/>
        <v>-11073.116843237891</v>
      </c>
      <c r="H52">
        <v>27</v>
      </c>
      <c r="I52">
        <v>32121.387062762107</v>
      </c>
      <c r="J52">
        <v>11073.116843237891</v>
      </c>
      <c r="K52">
        <v>0.73307404261390652</v>
      </c>
      <c r="M52">
        <v>46.491228070175431</v>
      </c>
      <c r="N52">
        <v>29227.103515999999</v>
      </c>
    </row>
    <row r="53" spans="1:14" x14ac:dyDescent="0.3">
      <c r="A53">
        <f t="shared" si="0"/>
        <v>52</v>
      </c>
      <c r="B53" s="40">
        <v>71333.484375</v>
      </c>
      <c r="C53" t="s">
        <v>57</v>
      </c>
      <c r="D53" t="s">
        <v>58</v>
      </c>
      <c r="E53">
        <f t="shared" si="1"/>
        <v>12820.470433040002</v>
      </c>
      <c r="F53" s="41">
        <f t="shared" si="2"/>
        <v>45554.164062999997</v>
      </c>
      <c r="G53" s="42">
        <f t="shared" si="3"/>
        <v>-12820.470433040002</v>
      </c>
      <c r="H53">
        <v>28</v>
      </c>
      <c r="I53">
        <v>32733.693629959995</v>
      </c>
      <c r="J53">
        <v>12820.470433040002</v>
      </c>
      <c r="K53">
        <v>0.84875416936470449</v>
      </c>
      <c r="M53">
        <v>48.245614035087712</v>
      </c>
      <c r="N53">
        <v>29230.873047000001</v>
      </c>
    </row>
    <row r="54" spans="1:14" x14ac:dyDescent="0.3">
      <c r="A54">
        <f t="shared" si="0"/>
        <v>53</v>
      </c>
      <c r="B54" s="39">
        <v>60609.496094000002</v>
      </c>
      <c r="C54" t="s">
        <v>57</v>
      </c>
      <c r="D54" t="s">
        <v>58</v>
      </c>
      <c r="E54">
        <f t="shared" si="1"/>
        <v>4367.2654278421178</v>
      </c>
      <c r="F54" s="41">
        <f t="shared" si="2"/>
        <v>37713.265625</v>
      </c>
      <c r="G54" s="42">
        <f t="shared" si="3"/>
        <v>-4367.2654278421178</v>
      </c>
      <c r="H54">
        <v>29</v>
      </c>
      <c r="I54">
        <v>33346.000197157882</v>
      </c>
      <c r="J54">
        <v>4367.2654278421178</v>
      </c>
      <c r="K54">
        <v>0.28912626568293431</v>
      </c>
      <c r="M54">
        <v>49.999999999999993</v>
      </c>
      <c r="N54">
        <v>30471.847656000002</v>
      </c>
    </row>
    <row r="55" spans="1:14" x14ac:dyDescent="0.3">
      <c r="A55">
        <f t="shared" si="0"/>
        <v>54</v>
      </c>
      <c r="B55" s="40">
        <v>67489.609375</v>
      </c>
      <c r="C55" t="s">
        <v>57</v>
      </c>
      <c r="D55" t="s">
        <v>58</v>
      </c>
      <c r="E55">
        <f t="shared" si="1"/>
        <v>2165.7520763557732</v>
      </c>
      <c r="F55" s="41">
        <f t="shared" si="2"/>
        <v>31792.554688</v>
      </c>
      <c r="G55" s="42">
        <f t="shared" si="3"/>
        <v>2165.7520763557732</v>
      </c>
      <c r="H55">
        <v>30</v>
      </c>
      <c r="I55">
        <v>33958.306764355773</v>
      </c>
      <c r="J55">
        <v>-2165.7520763557732</v>
      </c>
      <c r="K55">
        <v>-0.14337938020433114</v>
      </c>
      <c r="M55">
        <v>51.754385964912274</v>
      </c>
      <c r="N55">
        <v>31792.554688</v>
      </c>
    </row>
    <row r="56" spans="1:14" x14ac:dyDescent="0.3">
      <c r="A56">
        <f t="shared" si="0"/>
        <v>55</v>
      </c>
      <c r="B56" s="39">
        <v>62673.605469000002</v>
      </c>
      <c r="C56" t="s">
        <v>57</v>
      </c>
      <c r="D56" t="s">
        <v>58</v>
      </c>
      <c r="E56">
        <f t="shared" si="1"/>
        <v>14750.142628553658</v>
      </c>
      <c r="F56" s="41">
        <f t="shared" si="2"/>
        <v>19820.470702999999</v>
      </c>
      <c r="G56" s="42">
        <f t="shared" si="3"/>
        <v>14750.142628553658</v>
      </c>
      <c r="H56">
        <v>31</v>
      </c>
      <c r="I56">
        <v>34570.613331553657</v>
      </c>
      <c r="J56">
        <v>-14750.142628553658</v>
      </c>
      <c r="K56">
        <v>-0.9765043428083009</v>
      </c>
      <c r="M56">
        <v>53.508771929824555</v>
      </c>
      <c r="N56">
        <v>33114.578125</v>
      </c>
    </row>
    <row r="57" spans="1:14" x14ac:dyDescent="0.3">
      <c r="A57">
        <f t="shared" si="0"/>
        <v>56</v>
      </c>
      <c r="B57" s="40">
        <v>64625.839844000002</v>
      </c>
      <c r="C57" t="s">
        <v>57</v>
      </c>
      <c r="D57" t="s">
        <v>58</v>
      </c>
      <c r="E57">
        <f t="shared" si="1"/>
        <v>11846.201148751541</v>
      </c>
      <c r="F57" s="41">
        <f t="shared" si="2"/>
        <v>23336.71875</v>
      </c>
      <c r="G57" s="42">
        <f t="shared" si="3"/>
        <v>11846.201148751541</v>
      </c>
      <c r="H57">
        <v>32</v>
      </c>
      <c r="I57">
        <v>35182.919898751541</v>
      </c>
      <c r="J57">
        <v>-11846.201148751541</v>
      </c>
      <c r="K57">
        <v>-0.78425457697902023</v>
      </c>
      <c r="M57">
        <v>55.263157894736835</v>
      </c>
      <c r="N57">
        <v>34657.273437999997</v>
      </c>
    </row>
    <row r="58" spans="1:14" x14ac:dyDescent="0.3">
      <c r="A58">
        <f t="shared" si="0"/>
        <v>57</v>
      </c>
      <c r="B58" s="39">
        <v>58969.800780999998</v>
      </c>
      <c r="E58">
        <f t="shared" si="1"/>
        <v>15744.728418949431</v>
      </c>
      <c r="F58" s="41">
        <f t="shared" si="2"/>
        <v>20050.498047000001</v>
      </c>
      <c r="G58" s="42">
        <f t="shared" si="3"/>
        <v>15744.728418949431</v>
      </c>
      <c r="H58">
        <v>33</v>
      </c>
      <c r="I58">
        <v>35795.226465949432</v>
      </c>
      <c r="J58">
        <v>-15744.728418949431</v>
      </c>
      <c r="K58">
        <v>-1.0423489497436125</v>
      </c>
      <c r="M58">
        <v>57.017543859649116</v>
      </c>
      <c r="N58">
        <v>35035.984375</v>
      </c>
    </row>
    <row r="59" spans="1:14" x14ac:dyDescent="0.3">
      <c r="E59">
        <f t="shared" si="1"/>
        <v>16976.427564147325</v>
      </c>
      <c r="F59" s="41">
        <f t="shared" si="2"/>
        <v>19431.105468999998</v>
      </c>
      <c r="G59" s="42">
        <f t="shared" si="3"/>
        <v>16976.427564147325</v>
      </c>
      <c r="H59">
        <v>34</v>
      </c>
      <c r="I59">
        <v>36407.533033147323</v>
      </c>
      <c r="J59">
        <v>-16976.427564147325</v>
      </c>
      <c r="K59">
        <v>-1.1238911825618014</v>
      </c>
      <c r="M59">
        <v>58.771929824561397</v>
      </c>
      <c r="N59">
        <v>37293.792969000002</v>
      </c>
    </row>
    <row r="60" spans="1:14" x14ac:dyDescent="0.3">
      <c r="E60">
        <f t="shared" si="1"/>
        <v>16524.941162345207</v>
      </c>
      <c r="F60" s="41">
        <f t="shared" si="2"/>
        <v>20494.898438</v>
      </c>
      <c r="G60" s="42">
        <f t="shared" si="3"/>
        <v>16524.941162345207</v>
      </c>
      <c r="H60">
        <v>35</v>
      </c>
      <c r="I60">
        <v>37019.839600345207</v>
      </c>
      <c r="J60">
        <v>-16524.941162345207</v>
      </c>
      <c r="K60">
        <v>-1.0940014083961469</v>
      </c>
      <c r="M60">
        <v>60.526315789473678</v>
      </c>
      <c r="N60">
        <v>37713.265625</v>
      </c>
    </row>
    <row r="61" spans="1:14" x14ac:dyDescent="0.3">
      <c r="E61">
        <f t="shared" si="1"/>
        <v>20464.144214543092</v>
      </c>
      <c r="F61" s="41">
        <f t="shared" si="2"/>
        <v>17168.001952999999</v>
      </c>
      <c r="G61" s="42">
        <f t="shared" si="3"/>
        <v>20464.144214543092</v>
      </c>
      <c r="H61">
        <v>36</v>
      </c>
      <c r="I61">
        <v>37632.146167543091</v>
      </c>
      <c r="J61">
        <v>-20464.144214543092</v>
      </c>
      <c r="K61">
        <v>-1.3547886417499804</v>
      </c>
      <c r="M61">
        <v>62.280701754385959</v>
      </c>
      <c r="N61">
        <v>37718.007812999997</v>
      </c>
    </row>
    <row r="62" spans="1:14" x14ac:dyDescent="0.3">
      <c r="E62">
        <f t="shared" si="1"/>
        <v>21696.538671740982</v>
      </c>
      <c r="F62" s="41">
        <f t="shared" si="2"/>
        <v>16547.914063</v>
      </c>
      <c r="G62" s="42">
        <f t="shared" si="3"/>
        <v>21696.538671740982</v>
      </c>
      <c r="H62">
        <v>37</v>
      </c>
      <c r="I62">
        <v>38244.452734740982</v>
      </c>
      <c r="J62">
        <v>-21696.538671740982</v>
      </c>
      <c r="K62">
        <v>-1.4363769063391629</v>
      </c>
      <c r="M62">
        <v>64.035087719298247</v>
      </c>
      <c r="N62">
        <v>38481.765625</v>
      </c>
    </row>
    <row r="63" spans="1:14" x14ac:dyDescent="0.3">
      <c r="E63">
        <f t="shared" si="1"/>
        <v>15718.923363938866</v>
      </c>
      <c r="F63" s="41">
        <f t="shared" si="2"/>
        <v>23137.835938</v>
      </c>
      <c r="G63" s="42">
        <f t="shared" si="3"/>
        <v>15718.923363938866</v>
      </c>
      <c r="H63">
        <v>38</v>
      </c>
      <c r="I63">
        <v>38856.759301938866</v>
      </c>
      <c r="J63">
        <v>-15718.923363938866</v>
      </c>
      <c r="K63">
        <v>-1.0406405765489395</v>
      </c>
      <c r="M63">
        <v>65.78947368421052</v>
      </c>
      <c r="N63">
        <v>41460.84375</v>
      </c>
    </row>
    <row r="64" spans="1:14" x14ac:dyDescent="0.3">
      <c r="E64">
        <f t="shared" si="1"/>
        <v>16318.136181136757</v>
      </c>
      <c r="F64" s="41">
        <f t="shared" si="2"/>
        <v>23150.929688</v>
      </c>
      <c r="G64" s="42">
        <f t="shared" si="3"/>
        <v>16318.136181136757</v>
      </c>
      <c r="H64">
        <v>39</v>
      </c>
      <c r="I64">
        <v>39469.065869136757</v>
      </c>
      <c r="J64">
        <v>-16318.136181136757</v>
      </c>
      <c r="K64">
        <v>-1.0803102891066623</v>
      </c>
      <c r="M64">
        <v>67.543859649122794</v>
      </c>
      <c r="N64">
        <v>42280.234375</v>
      </c>
    </row>
    <row r="65" spans="5:14" x14ac:dyDescent="0.3">
      <c r="E65">
        <f t="shared" si="1"/>
        <v>11608.040405334639</v>
      </c>
      <c r="F65" s="41">
        <f t="shared" si="2"/>
        <v>28473.332031000002</v>
      </c>
      <c r="G65" s="42">
        <f t="shared" si="3"/>
        <v>11608.040405334639</v>
      </c>
      <c r="H65">
        <v>40</v>
      </c>
      <c r="I65">
        <v>40081.372436334641</v>
      </c>
      <c r="J65">
        <v>-11608.040405334639</v>
      </c>
      <c r="K65">
        <v>-0.76848761078149652</v>
      </c>
      <c r="M65">
        <v>69.298245614035082</v>
      </c>
      <c r="N65">
        <v>42569.761719000002</v>
      </c>
    </row>
    <row r="66" spans="5:14" x14ac:dyDescent="0.3">
      <c r="E66">
        <f t="shared" si="1"/>
        <v>11466.575487532526</v>
      </c>
      <c r="F66" s="41">
        <f t="shared" si="2"/>
        <v>29227.103515999999</v>
      </c>
      <c r="G66" s="42">
        <f t="shared" si="3"/>
        <v>11466.575487532526</v>
      </c>
      <c r="H66">
        <v>41</v>
      </c>
      <c r="I66">
        <v>40693.679003532525</v>
      </c>
      <c r="J66">
        <v>-11466.575487532526</v>
      </c>
      <c r="K66">
        <v>-0.75912220259070617</v>
      </c>
      <c r="M66">
        <v>71.052631578947356</v>
      </c>
      <c r="N66">
        <v>43194.503905999998</v>
      </c>
    </row>
    <row r="67" spans="5:14" x14ac:dyDescent="0.3">
      <c r="E67">
        <f t="shared" si="1"/>
        <v>14087.573461730415</v>
      </c>
      <c r="F67" s="41">
        <f t="shared" si="2"/>
        <v>27218.412109000001</v>
      </c>
      <c r="G67" s="42">
        <f t="shared" si="3"/>
        <v>14087.573461730415</v>
      </c>
      <c r="H67">
        <v>42</v>
      </c>
      <c r="I67">
        <v>41305.985570730416</v>
      </c>
      <c r="J67">
        <v>-14087.573461730415</v>
      </c>
      <c r="K67">
        <v>-0.93264024704279325</v>
      </c>
      <c r="M67">
        <v>72.807017543859644</v>
      </c>
      <c r="N67">
        <v>43816.742187999997</v>
      </c>
    </row>
    <row r="68" spans="5:14" x14ac:dyDescent="0.3">
      <c r="E68">
        <f t="shared" si="1"/>
        <v>11446.444481928305</v>
      </c>
      <c r="F68" s="41">
        <f t="shared" si="2"/>
        <v>30471.847656000002</v>
      </c>
      <c r="G68" s="42">
        <f t="shared" si="3"/>
        <v>11446.444481928305</v>
      </c>
      <c r="H68">
        <v>43</v>
      </c>
      <c r="I68">
        <v>41918.292137928307</v>
      </c>
      <c r="J68">
        <v>-11446.444481928305</v>
      </c>
      <c r="K68">
        <v>-0.75778946873906428</v>
      </c>
      <c r="M68">
        <v>74.561403508771917</v>
      </c>
      <c r="N68">
        <v>45159.503905999998</v>
      </c>
    </row>
    <row r="69" spans="5:14" x14ac:dyDescent="0.3">
      <c r="E69">
        <f t="shared" si="1"/>
        <v>13299.72565812619</v>
      </c>
      <c r="F69" s="41">
        <f t="shared" si="2"/>
        <v>29230.873047000001</v>
      </c>
      <c r="G69" s="42">
        <f t="shared" si="3"/>
        <v>13299.72565812619</v>
      </c>
      <c r="H69">
        <v>44</v>
      </c>
      <c r="I69">
        <v>42530.598705126191</v>
      </c>
      <c r="J69">
        <v>-13299.72565812619</v>
      </c>
      <c r="K69">
        <v>-0.88048232416263017</v>
      </c>
      <c r="M69">
        <v>76.315789473684205</v>
      </c>
      <c r="N69">
        <v>45554.164062999997</v>
      </c>
    </row>
    <row r="70" spans="5:14" x14ac:dyDescent="0.3">
      <c r="E70">
        <f t="shared" si="1"/>
        <v>17208.883788324074</v>
      </c>
      <c r="F70" s="41">
        <f t="shared" si="2"/>
        <v>25934.021484000001</v>
      </c>
      <c r="G70" s="42">
        <f t="shared" si="3"/>
        <v>17208.883788324074</v>
      </c>
      <c r="H70">
        <v>45</v>
      </c>
      <c r="I70">
        <v>43142.905272324075</v>
      </c>
      <c r="J70">
        <v>-17208.883788324074</v>
      </c>
      <c r="K70">
        <v>-1.1392804922205428</v>
      </c>
      <c r="M70">
        <v>78.070175438596479</v>
      </c>
      <c r="N70">
        <v>46311.746094000002</v>
      </c>
    </row>
    <row r="71" spans="5:14" x14ac:dyDescent="0.3">
      <c r="E71">
        <f t="shared" si="1"/>
        <v>16787.815355521965</v>
      </c>
      <c r="F71" s="41">
        <f t="shared" si="2"/>
        <v>26967.396484000001</v>
      </c>
      <c r="G71" s="42">
        <f t="shared" si="3"/>
        <v>16787.815355521965</v>
      </c>
      <c r="H71">
        <v>46</v>
      </c>
      <c r="I71">
        <v>43755.211839521966</v>
      </c>
      <c r="J71">
        <v>-16787.815355521965</v>
      </c>
      <c r="K71">
        <v>-1.1114044801977991</v>
      </c>
      <c r="M71">
        <v>79.824561403508767</v>
      </c>
      <c r="N71">
        <v>47099.773437999997</v>
      </c>
    </row>
    <row r="72" spans="5:14" x14ac:dyDescent="0.3">
      <c r="E72">
        <f t="shared" si="1"/>
        <v>9710.2449687198605</v>
      </c>
      <c r="F72" s="41">
        <f t="shared" si="2"/>
        <v>34657.273437999997</v>
      </c>
      <c r="G72" s="42">
        <f t="shared" si="3"/>
        <v>9710.2449687198605</v>
      </c>
      <c r="H72">
        <v>47</v>
      </c>
      <c r="I72">
        <v>44367.518406719857</v>
      </c>
      <c r="J72">
        <v>-9710.2449687198605</v>
      </c>
      <c r="K72">
        <v>-0.6428477758128075</v>
      </c>
      <c r="M72">
        <v>81.578947368421041</v>
      </c>
      <c r="N72">
        <v>56907.964844000002</v>
      </c>
    </row>
    <row r="73" spans="5:14" x14ac:dyDescent="0.3">
      <c r="E73">
        <f t="shared" si="1"/>
        <v>7261.8171609177443</v>
      </c>
      <c r="F73" s="41">
        <f t="shared" si="2"/>
        <v>37718.007812999997</v>
      </c>
      <c r="G73" s="42">
        <f t="shared" si="3"/>
        <v>7261.8171609177443</v>
      </c>
      <c r="H73">
        <v>48</v>
      </c>
      <c r="I73">
        <v>44979.824973917741</v>
      </c>
      <c r="J73">
        <v>-7261.8171609177443</v>
      </c>
      <c r="K73">
        <v>-0.48075440169566402</v>
      </c>
      <c r="M73">
        <v>83.333333333333329</v>
      </c>
      <c r="N73">
        <v>57714.664062999997</v>
      </c>
    </row>
    <row r="74" spans="5:14" x14ac:dyDescent="0.3">
      <c r="E74">
        <f t="shared" si="1"/>
        <v>3311.8971661156247</v>
      </c>
      <c r="F74" s="41">
        <f t="shared" si="2"/>
        <v>42280.234375</v>
      </c>
      <c r="G74" s="42">
        <f t="shared" si="3"/>
        <v>3311.8971661156247</v>
      </c>
      <c r="H74">
        <v>49</v>
      </c>
      <c r="I74">
        <v>45592.131541115625</v>
      </c>
      <c r="J74">
        <v>-3311.8971661156247</v>
      </c>
      <c r="K74">
        <v>-0.21925767411806604</v>
      </c>
      <c r="M74">
        <v>85.087719298245602</v>
      </c>
      <c r="N74">
        <v>58926.5625</v>
      </c>
    </row>
    <row r="75" spans="5:14" x14ac:dyDescent="0.3">
      <c r="E75">
        <f t="shared" si="1"/>
        <v>3634.6763893135067</v>
      </c>
      <c r="F75" s="41">
        <f t="shared" si="2"/>
        <v>42569.761719000002</v>
      </c>
      <c r="G75" s="42">
        <f t="shared" si="3"/>
        <v>3634.6763893135067</v>
      </c>
      <c r="H75">
        <v>50</v>
      </c>
      <c r="I75">
        <v>46204.438108313509</v>
      </c>
      <c r="J75">
        <v>-3634.6763893135067</v>
      </c>
      <c r="K75">
        <v>-0.24062664126356736</v>
      </c>
      <c r="M75">
        <v>86.84210526315789</v>
      </c>
      <c r="N75">
        <v>58969.800780999998</v>
      </c>
    </row>
    <row r="76" spans="5:14" x14ac:dyDescent="0.3">
      <c r="E76">
        <f t="shared" si="1"/>
        <v>14351.3178244886</v>
      </c>
      <c r="F76" s="41">
        <f t="shared" si="2"/>
        <v>61168.0625</v>
      </c>
      <c r="G76" s="42">
        <f t="shared" si="3"/>
        <v>-14351.3178244886</v>
      </c>
      <c r="H76">
        <v>51</v>
      </c>
      <c r="I76">
        <v>46816.7446755114</v>
      </c>
      <c r="J76">
        <v>14351.3178244886</v>
      </c>
      <c r="K76">
        <v>0.95010092671961266</v>
      </c>
      <c r="M76">
        <v>88.596491228070164</v>
      </c>
      <c r="N76">
        <v>60609.496094000002</v>
      </c>
    </row>
    <row r="77" spans="5:14" x14ac:dyDescent="0.3">
      <c r="E77">
        <f t="shared" si="1"/>
        <v>23904.433132290709</v>
      </c>
      <c r="F77" s="41">
        <f t="shared" si="2"/>
        <v>71333.484375</v>
      </c>
      <c r="G77" s="42">
        <f t="shared" si="3"/>
        <v>-23904.433132290709</v>
      </c>
      <c r="H77">
        <v>52</v>
      </c>
      <c r="I77">
        <v>47429.051242709291</v>
      </c>
      <c r="J77">
        <v>23904.433132290709</v>
      </c>
      <c r="K77">
        <v>1.582546240662448</v>
      </c>
      <c r="M77">
        <v>90.350877192982452</v>
      </c>
      <c r="N77">
        <v>61168.0625</v>
      </c>
    </row>
    <row r="78" spans="5:14" x14ac:dyDescent="0.3">
      <c r="E78">
        <f t="shared" si="1"/>
        <v>12568.138284092827</v>
      </c>
      <c r="F78" s="41">
        <f t="shared" si="2"/>
        <v>60609.496094000002</v>
      </c>
      <c r="G78" s="42">
        <f t="shared" si="3"/>
        <v>-12568.138284092827</v>
      </c>
      <c r="H78">
        <v>53</v>
      </c>
      <c r="I78">
        <v>48041.357809907175</v>
      </c>
      <c r="J78">
        <v>12568.138284092827</v>
      </c>
      <c r="K78">
        <v>0.83204901298200795</v>
      </c>
      <c r="M78">
        <v>92.105263157894726</v>
      </c>
      <c r="N78">
        <v>61320.449219000002</v>
      </c>
    </row>
    <row r="79" spans="5:14" x14ac:dyDescent="0.3">
      <c r="E79">
        <f t="shared" si="1"/>
        <v>18835.944997894941</v>
      </c>
      <c r="F79" s="41">
        <f t="shared" si="2"/>
        <v>67489.609375</v>
      </c>
      <c r="G79" s="42">
        <f t="shared" si="3"/>
        <v>-18835.944997894941</v>
      </c>
      <c r="H79">
        <v>54</v>
      </c>
      <c r="I79">
        <v>48653.664377105059</v>
      </c>
      <c r="J79">
        <v>18835.944997894941</v>
      </c>
      <c r="K79">
        <v>1.2469968972189041</v>
      </c>
      <c r="M79">
        <v>93.859649122807014</v>
      </c>
      <c r="N79">
        <v>62673.605469000002</v>
      </c>
    </row>
    <row r="80" spans="5:14" x14ac:dyDescent="0.3">
      <c r="E80">
        <f t="shared" si="1"/>
        <v>13407.634524697052</v>
      </c>
      <c r="F80" s="41">
        <f t="shared" si="2"/>
        <v>62673.605469000002</v>
      </c>
      <c r="G80" s="42">
        <f t="shared" si="3"/>
        <v>-13407.634524697052</v>
      </c>
      <c r="H80">
        <v>55</v>
      </c>
      <c r="I80">
        <v>49265.97094430295</v>
      </c>
      <c r="J80">
        <v>13407.634524697052</v>
      </c>
      <c r="K80">
        <v>0.88762621961418897</v>
      </c>
      <c r="M80">
        <v>95.614035087719287</v>
      </c>
      <c r="N80">
        <v>64625.839844000002</v>
      </c>
    </row>
    <row r="81" spans="5:14" x14ac:dyDescent="0.3">
      <c r="E81">
        <f t="shared" si="1"/>
        <v>14747.562332499168</v>
      </c>
      <c r="F81" s="41">
        <f t="shared" si="2"/>
        <v>64625.839844000002</v>
      </c>
      <c r="G81" s="42">
        <f t="shared" si="3"/>
        <v>-14747.562332499168</v>
      </c>
      <c r="H81">
        <v>56</v>
      </c>
      <c r="I81">
        <v>49878.277511500833</v>
      </c>
      <c r="J81">
        <v>14747.562332499168</v>
      </c>
      <c r="K81">
        <v>0.97633351935483381</v>
      </c>
      <c r="M81">
        <v>97.368421052631575</v>
      </c>
      <c r="N81">
        <v>67489.609375</v>
      </c>
    </row>
    <row r="82" spans="5:14" ht="15" thickBot="1" x14ac:dyDescent="0.35">
      <c r="E82">
        <f t="shared" si="1"/>
        <v>8479.2167023012735</v>
      </c>
      <c r="F82" s="41">
        <f t="shared" si="2"/>
        <v>58969.800780999998</v>
      </c>
      <c r="G82" s="42">
        <f t="shared" si="3"/>
        <v>-8479.2167023012735</v>
      </c>
      <c r="H82" s="36">
        <v>57</v>
      </c>
      <c r="I82" s="36">
        <v>50490.584078698725</v>
      </c>
      <c r="J82" s="36">
        <v>8479.2167023012735</v>
      </c>
      <c r="K82" s="36">
        <v>0.56134995721202574</v>
      </c>
      <c r="M82" s="36">
        <v>99.122807017543849</v>
      </c>
      <c r="N82" s="36">
        <v>71333.484375</v>
      </c>
    </row>
  </sheetData>
  <sortState xmlns:xlrd2="http://schemas.microsoft.com/office/spreadsheetml/2017/richdata2" ref="N26:N82">
    <sortCondition ref="N26"/>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6F2F1-FC0B-4A3A-AE86-F8CFD7936661}">
  <sheetPr>
    <tabColor rgb="FFFF0000"/>
  </sheetPr>
  <dimension ref="A1:H111"/>
  <sheetViews>
    <sheetView showGridLines="0" tabSelected="1" topLeftCell="A2" workbookViewId="0">
      <selection activeCell="I4" sqref="I4"/>
    </sheetView>
  </sheetViews>
  <sheetFormatPr baseColWidth="10" defaultRowHeight="14.4" x14ac:dyDescent="0.3"/>
  <cols>
    <col min="1" max="1" width="22.88671875" style="49" bestFit="1" customWidth="1"/>
    <col min="2" max="3" width="11.5546875" style="49"/>
    <col min="4" max="4" width="16.109375" style="49" customWidth="1"/>
    <col min="5" max="5" width="17" style="49" customWidth="1"/>
    <col min="6" max="7" width="11.5546875" style="49"/>
    <col min="8" max="8" width="58.109375" style="49" customWidth="1"/>
    <col min="9" max="16384" width="11.5546875" style="49"/>
  </cols>
  <sheetData>
    <row r="1" spans="1:8" x14ac:dyDescent="0.3">
      <c r="A1" s="116" t="s">
        <v>18</v>
      </c>
      <c r="B1" s="116"/>
      <c r="C1" s="116"/>
      <c r="D1" s="116"/>
      <c r="E1" s="116"/>
      <c r="F1" s="116"/>
      <c r="G1" s="116"/>
    </row>
    <row r="2" spans="1:8" ht="28.8" x14ac:dyDescent="0.3">
      <c r="A2" s="108" t="s">
        <v>19</v>
      </c>
      <c r="B2" s="108" t="s">
        <v>92</v>
      </c>
      <c r="C2" s="108" t="s">
        <v>93</v>
      </c>
      <c r="D2" s="109" t="s">
        <v>95</v>
      </c>
      <c r="E2" s="109" t="s">
        <v>96</v>
      </c>
      <c r="F2" s="109" t="s">
        <v>94</v>
      </c>
      <c r="G2" s="108" t="s">
        <v>23</v>
      </c>
      <c r="H2" s="108" t="s">
        <v>64</v>
      </c>
    </row>
    <row r="3" spans="1:8" ht="58.05" customHeight="1" x14ac:dyDescent="0.3">
      <c r="A3" s="110" t="s">
        <v>24</v>
      </c>
      <c r="B3" s="99">
        <f>+'01. PROMEDIO MÓVIL'!H58</f>
        <v>6831.3295627716043</v>
      </c>
      <c r="C3" s="100">
        <f>+'01. PROMEDIO MÓVIL'!J58</f>
        <v>20.058315195265735</v>
      </c>
      <c r="D3" s="101">
        <f>+MIN('01. PROMEDIO MÓVIL'!$K$5:$K$58)</f>
        <v>-16.308343793324632</v>
      </c>
      <c r="E3" s="101">
        <f>+MAX('01. PROMEDIO MÓVIL'!$K$5:$K$58)</f>
        <v>1.1238373081158215</v>
      </c>
      <c r="F3" s="99">
        <f>1.25*B3</f>
        <v>8539.1619534645051</v>
      </c>
      <c r="G3" s="102">
        <f>+E3-D3</f>
        <v>17.432181101440452</v>
      </c>
      <c r="H3" s="112" t="s">
        <v>108</v>
      </c>
    </row>
    <row r="4" spans="1:8" ht="58.05" customHeight="1" x14ac:dyDescent="0.3">
      <c r="A4" s="111" t="s">
        <v>89</v>
      </c>
      <c r="B4" s="104">
        <f>+'02. REGRESION LINEAL'!H58</f>
        <v>13360.921124262908</v>
      </c>
      <c r="C4" s="105">
        <f>+'02. REGRESION LINEAL'!J58</f>
        <v>54.017409540606572</v>
      </c>
      <c r="D4" s="106">
        <f>+MIN('02. REGRESION LINEAL'!$K$2:$K$58)</f>
        <v>-12.731981910268251</v>
      </c>
      <c r="E4" s="106">
        <f>+MAX('02. REGRESION LINEAL'!$K$2:$K$58)</f>
        <v>12</v>
      </c>
      <c r="F4" s="104">
        <f>1.25*B4</f>
        <v>16701.151405328634</v>
      </c>
      <c r="G4" s="107">
        <f>+E4-D4</f>
        <v>24.731981910268253</v>
      </c>
      <c r="H4" s="113" t="s">
        <v>107</v>
      </c>
    </row>
    <row r="5" spans="1:8" ht="58.05" customHeight="1" x14ac:dyDescent="0.3">
      <c r="A5" s="110" t="s">
        <v>34</v>
      </c>
      <c r="B5" s="99">
        <f>+'03. CUBICA'!H58</f>
        <v>8159.0286487017538</v>
      </c>
      <c r="C5" s="100">
        <f>+'03. CUBICA'!J58</f>
        <v>38.767120145885002</v>
      </c>
      <c r="D5" s="101">
        <f>+MIN('03. CUBICA'!$K$5:$K$58)</f>
        <v>-6.41982078245106</v>
      </c>
      <c r="E5" s="101">
        <f>+MAX('03. CUBICA'!$K$5:$K$58)</f>
        <v>6.7389451952696193</v>
      </c>
      <c r="F5" s="99">
        <f t="shared" ref="F5:F6" si="0">1.25*B5</f>
        <v>10198.785810877192</v>
      </c>
      <c r="G5" s="102">
        <f>+E5-D5</f>
        <v>13.15876597772068</v>
      </c>
      <c r="H5" s="112" t="s">
        <v>109</v>
      </c>
    </row>
    <row r="6" spans="1:8" ht="58.05" customHeight="1" x14ac:dyDescent="0.3">
      <c r="A6" s="111" t="s">
        <v>35</v>
      </c>
      <c r="B6" s="104">
        <f>+'04. SUAVIZACIÓN EXPO'!H59</f>
        <v>5418.0652961080332</v>
      </c>
      <c r="C6" s="105">
        <f>+'04. SUAVIZACIÓN EXPO'!J59</f>
        <v>21.456062471102094</v>
      </c>
      <c r="D6" s="106">
        <f>+MIN('04. SUAVIZACIÓN EXPO'!$K$6:$K$59)</f>
        <v>-7.0851494336060501</v>
      </c>
      <c r="E6" s="106">
        <f>+MAX('04. SUAVIZACIÓN EXPO'!$K$6:$K$59)</f>
        <v>5.9386402319506146</v>
      </c>
      <c r="F6" s="104">
        <f t="shared" si="0"/>
        <v>6772.5816201350417</v>
      </c>
      <c r="G6" s="107">
        <f t="shared" ref="G6:G7" si="1">+E6-D6</f>
        <v>13.023789665556665</v>
      </c>
      <c r="H6" s="113" t="s">
        <v>110</v>
      </c>
    </row>
    <row r="7" spans="1:8" ht="58.05" customHeight="1" x14ac:dyDescent="0.3">
      <c r="A7" s="110" t="s">
        <v>97</v>
      </c>
      <c r="B7" s="99">
        <f>+'05. HOLT'!I59</f>
        <v>5884.3040571811116</v>
      </c>
      <c r="C7" s="100">
        <f>+'05. HOLT'!K59</f>
        <v>19.993646320578812</v>
      </c>
      <c r="D7" s="101">
        <f>+MIN('05. HOLT'!$L$6:$L$59)</f>
        <v>-5.8998925635477431</v>
      </c>
      <c r="E7" s="101">
        <f>+MAX('05. HOLT'!$L$6:$L$59)</f>
        <v>3.7184342811917084</v>
      </c>
      <c r="F7" s="99">
        <f>1.25*B7</f>
        <v>7355.3800714763893</v>
      </c>
      <c r="G7" s="102">
        <f t="shared" si="1"/>
        <v>9.6183268447394514</v>
      </c>
      <c r="H7" s="112" t="s">
        <v>111</v>
      </c>
    </row>
    <row r="8" spans="1:8" ht="58.05" customHeight="1" x14ac:dyDescent="0.3">
      <c r="A8" s="111" t="s">
        <v>106</v>
      </c>
      <c r="B8" s="104">
        <f>+'06. WINTER'!Z3</f>
        <v>5485.5145790136376</v>
      </c>
      <c r="C8" s="105">
        <f>+'06. WINTER'!Z4</f>
        <v>21.127044058339433</v>
      </c>
      <c r="D8" s="106">
        <f>+'06. WINTER'!Z6</f>
        <v>-5.9875659893216699</v>
      </c>
      <c r="E8" s="106">
        <f>+'06. WINTER'!Z7</f>
        <v>4.4865489930901177</v>
      </c>
      <c r="F8" s="104">
        <f>1.25*B8</f>
        <v>6856.8932237670469</v>
      </c>
      <c r="G8" s="107">
        <f t="shared" ref="G8" si="2">+E8-D8</f>
        <v>10.474114982411788</v>
      </c>
      <c r="H8" s="113" t="s">
        <v>112</v>
      </c>
    </row>
    <row r="54" spans="1:2" x14ac:dyDescent="0.3">
      <c r="A54" s="53" t="s">
        <v>0</v>
      </c>
      <c r="B54" s="54" t="s">
        <v>1</v>
      </c>
    </row>
    <row r="55" spans="1:2" x14ac:dyDescent="0.3">
      <c r="A55" s="114">
        <v>43831</v>
      </c>
      <c r="B55" s="2">
        <v>7194.8920900000003</v>
      </c>
    </row>
    <row r="56" spans="1:2" x14ac:dyDescent="0.3">
      <c r="A56" s="115">
        <v>43862</v>
      </c>
      <c r="B56" s="56">
        <v>9346.3574219999991</v>
      </c>
    </row>
    <row r="57" spans="1:2" x14ac:dyDescent="0.3">
      <c r="A57" s="114">
        <v>43891</v>
      </c>
      <c r="B57" s="2">
        <v>8599.7587889999995</v>
      </c>
    </row>
    <row r="58" spans="1:2" x14ac:dyDescent="0.3">
      <c r="A58" s="115">
        <v>43922</v>
      </c>
      <c r="B58" s="56">
        <v>6437.3193359999996</v>
      </c>
    </row>
    <row r="59" spans="1:2" x14ac:dyDescent="0.3">
      <c r="A59" s="114">
        <v>43952</v>
      </c>
      <c r="B59" s="2">
        <v>8672.7822269999997</v>
      </c>
    </row>
    <row r="60" spans="1:2" x14ac:dyDescent="0.3">
      <c r="A60" s="115">
        <v>43983</v>
      </c>
      <c r="B60" s="56">
        <v>9463.6054690000001</v>
      </c>
    </row>
    <row r="61" spans="1:2" x14ac:dyDescent="0.3">
      <c r="A61" s="114">
        <v>44013</v>
      </c>
      <c r="B61" s="2">
        <v>9145.9853519999997</v>
      </c>
    </row>
    <row r="62" spans="1:2" x14ac:dyDescent="0.3">
      <c r="A62" s="115">
        <v>44044</v>
      </c>
      <c r="B62" s="56">
        <v>11322.570313</v>
      </c>
    </row>
    <row r="63" spans="1:2" x14ac:dyDescent="0.3">
      <c r="A63" s="114">
        <v>44075</v>
      </c>
      <c r="B63" s="2">
        <v>11679.316406</v>
      </c>
    </row>
    <row r="64" spans="1:2" x14ac:dyDescent="0.3">
      <c r="A64" s="115">
        <v>44105</v>
      </c>
      <c r="B64" s="56">
        <v>10795.254883</v>
      </c>
    </row>
    <row r="65" spans="1:2" x14ac:dyDescent="0.3">
      <c r="A65" s="114">
        <v>44136</v>
      </c>
      <c r="B65" s="2">
        <v>13780.995117</v>
      </c>
    </row>
    <row r="66" spans="1:2" x14ac:dyDescent="0.3">
      <c r="A66" s="115">
        <v>44166</v>
      </c>
      <c r="B66" s="56">
        <v>19633.769531000002</v>
      </c>
    </row>
    <row r="67" spans="1:2" x14ac:dyDescent="0.3">
      <c r="A67" s="114">
        <v>44197</v>
      </c>
      <c r="B67" s="2">
        <v>28994.009765999999</v>
      </c>
    </row>
    <row r="68" spans="1:2" x14ac:dyDescent="0.3">
      <c r="A68" s="115">
        <v>44228</v>
      </c>
      <c r="B68" s="56">
        <v>33114.578125</v>
      </c>
    </row>
    <row r="69" spans="1:2" x14ac:dyDescent="0.3">
      <c r="A69" s="114">
        <v>44256</v>
      </c>
      <c r="B69" s="2">
        <v>45159.503905999998</v>
      </c>
    </row>
    <row r="70" spans="1:2" x14ac:dyDescent="0.3">
      <c r="A70" s="115">
        <v>44287</v>
      </c>
      <c r="B70" s="56">
        <v>58926.5625</v>
      </c>
    </row>
    <row r="71" spans="1:2" x14ac:dyDescent="0.3">
      <c r="A71" s="114">
        <v>44317</v>
      </c>
      <c r="B71" s="2">
        <v>57714.664062999997</v>
      </c>
    </row>
    <row r="72" spans="1:2" x14ac:dyDescent="0.3">
      <c r="A72" s="115">
        <v>44348</v>
      </c>
      <c r="B72" s="56">
        <v>37293.792969000002</v>
      </c>
    </row>
    <row r="73" spans="1:2" x14ac:dyDescent="0.3">
      <c r="A73" s="114">
        <v>44378</v>
      </c>
      <c r="B73" s="2">
        <v>35035.984375</v>
      </c>
    </row>
    <row r="74" spans="1:2" x14ac:dyDescent="0.3">
      <c r="A74" s="115">
        <v>44409</v>
      </c>
      <c r="B74" s="56">
        <v>41460.84375</v>
      </c>
    </row>
    <row r="75" spans="1:2" x14ac:dyDescent="0.3">
      <c r="A75" s="114">
        <v>44440</v>
      </c>
      <c r="B75" s="2">
        <v>47099.773437999997</v>
      </c>
    </row>
    <row r="76" spans="1:2" x14ac:dyDescent="0.3">
      <c r="A76" s="115">
        <v>44470</v>
      </c>
      <c r="B76" s="56">
        <v>43816.742187999997</v>
      </c>
    </row>
    <row r="77" spans="1:2" x14ac:dyDescent="0.3">
      <c r="A77" s="114">
        <v>44501</v>
      </c>
      <c r="B77" s="2">
        <v>61320.449219000002</v>
      </c>
    </row>
    <row r="78" spans="1:2" x14ac:dyDescent="0.3">
      <c r="A78" s="115">
        <v>44531</v>
      </c>
      <c r="B78" s="56">
        <v>56907.964844000002</v>
      </c>
    </row>
    <row r="79" spans="1:2" x14ac:dyDescent="0.3">
      <c r="A79" s="114">
        <v>44562</v>
      </c>
      <c r="B79" s="2">
        <v>46311.746094000002</v>
      </c>
    </row>
    <row r="80" spans="1:2" x14ac:dyDescent="0.3">
      <c r="A80" s="115">
        <v>44593</v>
      </c>
      <c r="B80" s="56">
        <v>38481.765625</v>
      </c>
    </row>
    <row r="81" spans="1:2" x14ac:dyDescent="0.3">
      <c r="A81" s="114">
        <v>44621</v>
      </c>
      <c r="B81" s="2">
        <v>43194.503905999998</v>
      </c>
    </row>
    <row r="82" spans="1:2" x14ac:dyDescent="0.3">
      <c r="A82" s="115">
        <v>44652</v>
      </c>
      <c r="B82" s="56">
        <v>45554.164062999997</v>
      </c>
    </row>
    <row r="83" spans="1:2" x14ac:dyDescent="0.3">
      <c r="A83" s="114">
        <v>44682</v>
      </c>
      <c r="B83" s="2">
        <v>37713.265625</v>
      </c>
    </row>
    <row r="84" spans="1:2" x14ac:dyDescent="0.3">
      <c r="A84" s="115">
        <v>44713</v>
      </c>
      <c r="B84" s="56">
        <v>31792.554688</v>
      </c>
    </row>
    <row r="85" spans="1:2" x14ac:dyDescent="0.3">
      <c r="A85" s="114">
        <v>44743</v>
      </c>
      <c r="B85" s="2">
        <v>19820.470702999999</v>
      </c>
    </row>
    <row r="86" spans="1:2" x14ac:dyDescent="0.3">
      <c r="A86" s="115">
        <v>44774</v>
      </c>
      <c r="B86" s="56">
        <v>23336.71875</v>
      </c>
    </row>
    <row r="87" spans="1:2" x14ac:dyDescent="0.3">
      <c r="A87" s="114">
        <v>44805</v>
      </c>
      <c r="B87" s="2">
        <v>20050.498047000001</v>
      </c>
    </row>
    <row r="88" spans="1:2" x14ac:dyDescent="0.3">
      <c r="A88" s="115">
        <v>44835</v>
      </c>
      <c r="B88" s="56">
        <v>19431.105468999998</v>
      </c>
    </row>
    <row r="89" spans="1:2" x14ac:dyDescent="0.3">
      <c r="A89" s="114">
        <v>44866</v>
      </c>
      <c r="B89" s="2">
        <v>20494.898438</v>
      </c>
    </row>
    <row r="90" spans="1:2" x14ac:dyDescent="0.3">
      <c r="A90" s="115">
        <v>44896</v>
      </c>
      <c r="B90" s="56">
        <v>17168.001952999999</v>
      </c>
    </row>
    <row r="91" spans="1:2" x14ac:dyDescent="0.3">
      <c r="A91" s="114">
        <v>44927</v>
      </c>
      <c r="B91" s="2">
        <v>16547.914063</v>
      </c>
    </row>
    <row r="92" spans="1:2" x14ac:dyDescent="0.3">
      <c r="A92" s="115">
        <v>44958</v>
      </c>
      <c r="B92" s="56">
        <v>23137.835938</v>
      </c>
    </row>
    <row r="93" spans="1:2" x14ac:dyDescent="0.3">
      <c r="A93" s="114">
        <v>44986</v>
      </c>
      <c r="B93" s="2">
        <v>23150.929688</v>
      </c>
    </row>
    <row r="94" spans="1:2" x14ac:dyDescent="0.3">
      <c r="A94" s="115">
        <v>45017</v>
      </c>
      <c r="B94" s="56">
        <v>28473.332031000002</v>
      </c>
    </row>
    <row r="95" spans="1:2" x14ac:dyDescent="0.3">
      <c r="A95" s="114">
        <v>45047</v>
      </c>
      <c r="B95" s="2">
        <v>29227.103515999999</v>
      </c>
    </row>
    <row r="96" spans="1:2" x14ac:dyDescent="0.3">
      <c r="A96" s="115">
        <v>45078</v>
      </c>
      <c r="B96" s="56">
        <v>27218.412109000001</v>
      </c>
    </row>
    <row r="97" spans="1:2" x14ac:dyDescent="0.3">
      <c r="A97" s="114">
        <v>45108</v>
      </c>
      <c r="B97" s="2">
        <v>30471.847656000002</v>
      </c>
    </row>
    <row r="98" spans="1:2" x14ac:dyDescent="0.3">
      <c r="A98" s="115">
        <v>45139</v>
      </c>
      <c r="B98" s="56">
        <v>29230.873047000001</v>
      </c>
    </row>
    <row r="99" spans="1:2" x14ac:dyDescent="0.3">
      <c r="A99" s="114">
        <v>45170</v>
      </c>
      <c r="B99" s="2">
        <v>25934.021484000001</v>
      </c>
    </row>
    <row r="100" spans="1:2" x14ac:dyDescent="0.3">
      <c r="A100" s="115">
        <v>45200</v>
      </c>
      <c r="B100" s="56">
        <v>26967.396484000001</v>
      </c>
    </row>
    <row r="101" spans="1:2" x14ac:dyDescent="0.3">
      <c r="A101" s="114">
        <v>45231</v>
      </c>
      <c r="B101" s="2">
        <v>34657.273437999997</v>
      </c>
    </row>
    <row r="102" spans="1:2" x14ac:dyDescent="0.3">
      <c r="A102" s="115">
        <v>45261</v>
      </c>
      <c r="B102" s="56">
        <v>37718.007812999997</v>
      </c>
    </row>
    <row r="103" spans="1:2" x14ac:dyDescent="0.3">
      <c r="A103" s="114">
        <v>45292</v>
      </c>
      <c r="B103" s="2">
        <v>42280.234375</v>
      </c>
    </row>
    <row r="104" spans="1:2" x14ac:dyDescent="0.3">
      <c r="A104" s="115">
        <v>45323</v>
      </c>
      <c r="B104" s="56">
        <v>42569.761719000002</v>
      </c>
    </row>
    <row r="105" spans="1:2" x14ac:dyDescent="0.3">
      <c r="A105" s="114">
        <v>45352</v>
      </c>
      <c r="B105" s="2">
        <v>61168.0625</v>
      </c>
    </row>
    <row r="106" spans="1:2" x14ac:dyDescent="0.3">
      <c r="A106" s="115">
        <v>45383</v>
      </c>
      <c r="B106" s="56">
        <v>71333.484375</v>
      </c>
    </row>
    <row r="107" spans="1:2" x14ac:dyDescent="0.3">
      <c r="A107" s="114">
        <v>45413</v>
      </c>
      <c r="B107" s="2">
        <v>60609.496094000002</v>
      </c>
    </row>
    <row r="108" spans="1:2" x14ac:dyDescent="0.3">
      <c r="A108" s="115">
        <v>45444</v>
      </c>
      <c r="B108" s="56">
        <v>67489.609375</v>
      </c>
    </row>
    <row r="109" spans="1:2" x14ac:dyDescent="0.3">
      <c r="A109" s="114">
        <v>45474</v>
      </c>
      <c r="B109" s="2">
        <v>62673.605469000002</v>
      </c>
    </row>
    <row r="110" spans="1:2" x14ac:dyDescent="0.3">
      <c r="A110" s="115">
        <v>45505</v>
      </c>
      <c r="B110" s="56">
        <v>64625.839844000002</v>
      </c>
    </row>
    <row r="111" spans="1:2" x14ac:dyDescent="0.3">
      <c r="A111" s="114">
        <v>45536</v>
      </c>
      <c r="B111" s="2">
        <v>58969.800780999998</v>
      </c>
    </row>
  </sheetData>
  <mergeCells count="1">
    <mergeCell ref="A1:G1"/>
  </mergeCells>
  <conditionalFormatting sqref="B3:B8">
    <cfRule type="dataBar" priority="9">
      <dataBar>
        <cfvo type="min"/>
        <cfvo type="max"/>
        <color rgb="FFFFB628"/>
      </dataBar>
      <extLst>
        <ext xmlns:x14="http://schemas.microsoft.com/office/spreadsheetml/2009/9/main" uri="{B025F937-C7B1-47D3-B67F-A62EFF666E3E}">
          <x14:id>{C78839D4-AEAA-4B20-A982-16D37C599CCB}</x14:id>
        </ext>
      </extLst>
    </cfRule>
  </conditionalFormatting>
  <conditionalFormatting sqref="C3:C8">
    <cfRule type="dataBar" priority="11">
      <dataBar>
        <cfvo type="min"/>
        <cfvo type="max"/>
        <color rgb="FF008AEF"/>
      </dataBar>
      <extLst>
        <ext xmlns:x14="http://schemas.microsoft.com/office/spreadsheetml/2009/9/main" uri="{B025F937-C7B1-47D3-B67F-A62EFF666E3E}">
          <x14:id>{58AA2DBD-CA40-4164-9C8A-F7BA0194E96A}</x14:id>
        </ext>
      </extLst>
    </cfRule>
  </conditionalFormatting>
  <conditionalFormatting sqref="F3:F8">
    <cfRule type="dataBar" priority="13">
      <dataBar>
        <cfvo type="min"/>
        <cfvo type="max"/>
        <color rgb="FFFFB628"/>
      </dataBar>
      <extLst>
        <ext xmlns:x14="http://schemas.microsoft.com/office/spreadsheetml/2009/9/main" uri="{B025F937-C7B1-47D3-B67F-A62EFF666E3E}">
          <x14:id>{0FFE92A2-1C9D-4CEA-A1E9-5FB5E35E6C82}</x14:id>
        </ext>
      </extLst>
    </cfRule>
  </conditionalFormatting>
  <conditionalFormatting sqref="G3:G8">
    <cfRule type="dataBar" priority="15">
      <dataBar>
        <cfvo type="min"/>
        <cfvo type="max"/>
        <color rgb="FF008AEF"/>
      </dataBar>
      <extLst>
        <ext xmlns:x14="http://schemas.microsoft.com/office/spreadsheetml/2009/9/main" uri="{B025F937-C7B1-47D3-B67F-A62EFF666E3E}">
          <x14:id>{2116236E-8380-44ED-9E0C-3761E62404D5}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78839D4-AEAA-4B20-A982-16D37C599CCB}">
            <x14:dataBar minLength="0" maxLength="100" border="1" negativeBarBorderColorSameAsPositive="0">
              <x14:cfvo type="autoMin"/>
              <x14:cfvo type="autoMax"/>
              <x14:borderColor rgb="FFFFB628"/>
              <x14:negativeFillColor rgb="FFFF0000"/>
              <x14:negativeBorderColor rgb="FFFF0000"/>
              <x14:axisColor rgb="FF000000"/>
            </x14:dataBar>
          </x14:cfRule>
          <xm:sqref>B3:B8</xm:sqref>
        </x14:conditionalFormatting>
        <x14:conditionalFormatting xmlns:xm="http://schemas.microsoft.com/office/excel/2006/main">
          <x14:cfRule type="dataBar" id="{58AA2DBD-CA40-4164-9C8A-F7BA0194E96A}">
            <x14:dataBar minLength="0" maxLength="100" border="1" negativeBarBorderColorSameAsPositive="0">
              <x14:cfvo type="autoMin"/>
              <x14:cfvo type="autoMax"/>
              <x14:borderColor rgb="FF008AEF"/>
              <x14:negativeFillColor rgb="FFFF0000"/>
              <x14:negativeBorderColor rgb="FFFF0000"/>
              <x14:axisColor rgb="FF000000"/>
            </x14:dataBar>
          </x14:cfRule>
          <xm:sqref>C3:C8</xm:sqref>
        </x14:conditionalFormatting>
        <x14:conditionalFormatting xmlns:xm="http://schemas.microsoft.com/office/excel/2006/main">
          <x14:cfRule type="dataBar" id="{0FFE92A2-1C9D-4CEA-A1E9-5FB5E35E6C82}">
            <x14:dataBar minLength="0" maxLength="100" border="1" negativeBarBorderColorSameAsPositive="0">
              <x14:cfvo type="autoMin"/>
              <x14:cfvo type="autoMax"/>
              <x14:borderColor rgb="FFFFB628"/>
              <x14:negativeFillColor rgb="FFFF0000"/>
              <x14:negativeBorderColor rgb="FFFF0000"/>
              <x14:axisColor rgb="FF000000"/>
            </x14:dataBar>
          </x14:cfRule>
          <xm:sqref>F3:F8</xm:sqref>
        </x14:conditionalFormatting>
        <x14:conditionalFormatting xmlns:xm="http://schemas.microsoft.com/office/excel/2006/main">
          <x14:cfRule type="dataBar" id="{2116236E-8380-44ED-9E0C-3761E62404D5}">
            <x14:dataBar minLength="0" maxLength="100" border="1" negativeBarBorderColorSameAsPositive="0">
              <x14:cfvo type="autoMin"/>
              <x14:cfvo type="autoMax"/>
              <x14:borderColor rgb="FF008AEF"/>
              <x14:negativeFillColor rgb="FFFF0000"/>
              <x14:negativeBorderColor rgb="FFFF0000"/>
              <x14:axisColor rgb="FF000000"/>
            </x14:dataBar>
          </x14:cfRule>
          <xm:sqref>G3:G8</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525B4-E9B5-42B8-917F-BCD627A44882}">
  <dimension ref="A1:B58"/>
  <sheetViews>
    <sheetView topLeftCell="A37" workbookViewId="0">
      <selection activeCell="L48" sqref="L48"/>
    </sheetView>
  </sheetViews>
  <sheetFormatPr baseColWidth="10" defaultRowHeight="14.4" x14ac:dyDescent="0.3"/>
  <sheetData>
    <row r="1" spans="1:2" x14ac:dyDescent="0.3">
      <c r="A1" s="3" t="s">
        <v>7</v>
      </c>
      <c r="B1" s="3" t="s">
        <v>27</v>
      </c>
    </row>
    <row r="2" spans="1:2" x14ac:dyDescent="0.3">
      <c r="A2" s="5">
        <v>1</v>
      </c>
      <c r="B2" s="6">
        <f>+data!B2</f>
        <v>7194.8920900000003</v>
      </c>
    </row>
    <row r="3" spans="1:2" x14ac:dyDescent="0.3">
      <c r="A3" s="8">
        <f>+A2+1</f>
        <v>2</v>
      </c>
      <c r="B3" s="9">
        <f>+data!B3</f>
        <v>9346.3574219999991</v>
      </c>
    </row>
    <row r="4" spans="1:2" x14ac:dyDescent="0.3">
      <c r="A4" s="5">
        <f t="shared" ref="A4:A58" si="0">+A3+1</f>
        <v>3</v>
      </c>
      <c r="B4" s="6">
        <f>+data!B4</f>
        <v>8599.7587889999995</v>
      </c>
    </row>
    <row r="5" spans="1:2" x14ac:dyDescent="0.3">
      <c r="A5" s="8">
        <f t="shared" si="0"/>
        <v>4</v>
      </c>
      <c r="B5" s="9">
        <f>+data!B5</f>
        <v>6437.3193359999996</v>
      </c>
    </row>
    <row r="6" spans="1:2" x14ac:dyDescent="0.3">
      <c r="A6" s="5">
        <f t="shared" si="0"/>
        <v>5</v>
      </c>
      <c r="B6" s="6">
        <f>+data!B6</f>
        <v>8672.7822269999997</v>
      </c>
    </row>
    <row r="7" spans="1:2" x14ac:dyDescent="0.3">
      <c r="A7" s="8">
        <f t="shared" si="0"/>
        <v>6</v>
      </c>
      <c r="B7" s="9">
        <f>+data!B7</f>
        <v>9463.6054690000001</v>
      </c>
    </row>
    <row r="8" spans="1:2" x14ac:dyDescent="0.3">
      <c r="A8" s="5">
        <f t="shared" si="0"/>
        <v>7</v>
      </c>
      <c r="B8" s="6">
        <f>+data!B8</f>
        <v>9145.9853519999997</v>
      </c>
    </row>
    <row r="9" spans="1:2" x14ac:dyDescent="0.3">
      <c r="A9" s="8">
        <f t="shared" si="0"/>
        <v>8</v>
      </c>
      <c r="B9" s="9">
        <f>+data!B9</f>
        <v>11322.570313</v>
      </c>
    </row>
    <row r="10" spans="1:2" x14ac:dyDescent="0.3">
      <c r="A10" s="5">
        <f t="shared" si="0"/>
        <v>9</v>
      </c>
      <c r="B10" s="6">
        <f>+data!B10</f>
        <v>11679.316406</v>
      </c>
    </row>
    <row r="11" spans="1:2" x14ac:dyDescent="0.3">
      <c r="A11" s="8">
        <f t="shared" si="0"/>
        <v>10</v>
      </c>
      <c r="B11" s="9">
        <f>+data!B11</f>
        <v>10795.254883</v>
      </c>
    </row>
    <row r="12" spans="1:2" x14ac:dyDescent="0.3">
      <c r="A12" s="5">
        <f t="shared" si="0"/>
        <v>11</v>
      </c>
      <c r="B12" s="6">
        <f>+data!B12</f>
        <v>13780.995117</v>
      </c>
    </row>
    <row r="13" spans="1:2" x14ac:dyDescent="0.3">
      <c r="A13" s="8">
        <f t="shared" si="0"/>
        <v>12</v>
      </c>
      <c r="B13" s="9">
        <f>+data!B13</f>
        <v>19633.769531000002</v>
      </c>
    </row>
    <row r="14" spans="1:2" x14ac:dyDescent="0.3">
      <c r="A14" s="5">
        <f t="shared" si="0"/>
        <v>13</v>
      </c>
      <c r="B14" s="6">
        <f>+data!B14</f>
        <v>28994.009765999999</v>
      </c>
    </row>
    <row r="15" spans="1:2" x14ac:dyDescent="0.3">
      <c r="A15" s="8">
        <f t="shared" si="0"/>
        <v>14</v>
      </c>
      <c r="B15" s="9">
        <f>+data!B15</f>
        <v>33114.578125</v>
      </c>
    </row>
    <row r="16" spans="1:2" x14ac:dyDescent="0.3">
      <c r="A16" s="5">
        <f t="shared" si="0"/>
        <v>15</v>
      </c>
      <c r="B16" s="6">
        <f>+data!B16</f>
        <v>45159.503905999998</v>
      </c>
    </row>
    <row r="17" spans="1:2" x14ac:dyDescent="0.3">
      <c r="A17" s="8">
        <f t="shared" si="0"/>
        <v>16</v>
      </c>
      <c r="B17" s="9">
        <f>+data!B17</f>
        <v>58926.5625</v>
      </c>
    </row>
    <row r="18" spans="1:2" x14ac:dyDescent="0.3">
      <c r="A18" s="5">
        <f t="shared" si="0"/>
        <v>17</v>
      </c>
      <c r="B18" s="6">
        <f>+data!B18</f>
        <v>57714.664062999997</v>
      </c>
    </row>
    <row r="19" spans="1:2" x14ac:dyDescent="0.3">
      <c r="A19" s="8">
        <f t="shared" si="0"/>
        <v>18</v>
      </c>
      <c r="B19" s="9">
        <f>+data!B19</f>
        <v>37293.792969000002</v>
      </c>
    </row>
    <row r="20" spans="1:2" x14ac:dyDescent="0.3">
      <c r="A20" s="5">
        <f t="shared" si="0"/>
        <v>19</v>
      </c>
      <c r="B20" s="6">
        <f>+data!B20</f>
        <v>35035.984375</v>
      </c>
    </row>
    <row r="21" spans="1:2" x14ac:dyDescent="0.3">
      <c r="A21" s="8">
        <f t="shared" si="0"/>
        <v>20</v>
      </c>
      <c r="B21" s="9">
        <f>+data!B21</f>
        <v>41460.84375</v>
      </c>
    </row>
    <row r="22" spans="1:2" x14ac:dyDescent="0.3">
      <c r="A22" s="5">
        <f t="shared" si="0"/>
        <v>21</v>
      </c>
      <c r="B22" s="6">
        <f>+data!B22</f>
        <v>47099.773437999997</v>
      </c>
    </row>
    <row r="23" spans="1:2" x14ac:dyDescent="0.3">
      <c r="A23" s="8">
        <f t="shared" si="0"/>
        <v>22</v>
      </c>
      <c r="B23" s="9">
        <f>+data!B23</f>
        <v>43816.742187999997</v>
      </c>
    </row>
    <row r="24" spans="1:2" x14ac:dyDescent="0.3">
      <c r="A24" s="5">
        <f t="shared" si="0"/>
        <v>23</v>
      </c>
      <c r="B24" s="6">
        <f>+data!B24</f>
        <v>61320.449219000002</v>
      </c>
    </row>
    <row r="25" spans="1:2" x14ac:dyDescent="0.3">
      <c r="A25" s="8">
        <f t="shared" si="0"/>
        <v>24</v>
      </c>
      <c r="B25" s="9">
        <f>+data!B25</f>
        <v>56907.964844000002</v>
      </c>
    </row>
    <row r="26" spans="1:2" x14ac:dyDescent="0.3">
      <c r="A26" s="5">
        <f t="shared" si="0"/>
        <v>25</v>
      </c>
      <c r="B26" s="6">
        <f>+data!B26</f>
        <v>46311.746094000002</v>
      </c>
    </row>
    <row r="27" spans="1:2" x14ac:dyDescent="0.3">
      <c r="A27" s="8">
        <f t="shared" si="0"/>
        <v>26</v>
      </c>
      <c r="B27" s="9">
        <f>+data!B27</f>
        <v>38481.765625</v>
      </c>
    </row>
    <row r="28" spans="1:2" x14ac:dyDescent="0.3">
      <c r="A28" s="5">
        <f t="shared" si="0"/>
        <v>27</v>
      </c>
      <c r="B28" s="6">
        <f>+data!B28</f>
        <v>43194.503905999998</v>
      </c>
    </row>
    <row r="29" spans="1:2" x14ac:dyDescent="0.3">
      <c r="A29" s="8">
        <f t="shared" si="0"/>
        <v>28</v>
      </c>
      <c r="B29" s="9">
        <f>+data!B29</f>
        <v>45554.164062999997</v>
      </c>
    </row>
    <row r="30" spans="1:2" x14ac:dyDescent="0.3">
      <c r="A30" s="5">
        <f t="shared" si="0"/>
        <v>29</v>
      </c>
      <c r="B30" s="6">
        <f>+data!B30</f>
        <v>37713.265625</v>
      </c>
    </row>
    <row r="31" spans="1:2" x14ac:dyDescent="0.3">
      <c r="A31" s="8">
        <f t="shared" si="0"/>
        <v>30</v>
      </c>
      <c r="B31" s="9">
        <f>+data!B31</f>
        <v>31792.554688</v>
      </c>
    </row>
    <row r="32" spans="1:2" x14ac:dyDescent="0.3">
      <c r="A32" s="5">
        <f t="shared" si="0"/>
        <v>31</v>
      </c>
      <c r="B32" s="6">
        <f>+data!B32</f>
        <v>19820.470702999999</v>
      </c>
    </row>
    <row r="33" spans="1:2" x14ac:dyDescent="0.3">
      <c r="A33" s="8">
        <f t="shared" si="0"/>
        <v>32</v>
      </c>
      <c r="B33" s="9">
        <f>+data!B33</f>
        <v>23336.71875</v>
      </c>
    </row>
    <row r="34" spans="1:2" x14ac:dyDescent="0.3">
      <c r="A34" s="5">
        <f t="shared" si="0"/>
        <v>33</v>
      </c>
      <c r="B34" s="6">
        <f>+data!B34</f>
        <v>20050.498047000001</v>
      </c>
    </row>
    <row r="35" spans="1:2" x14ac:dyDescent="0.3">
      <c r="A35" s="8">
        <f t="shared" si="0"/>
        <v>34</v>
      </c>
      <c r="B35" s="9">
        <f>+data!B35</f>
        <v>19431.105468999998</v>
      </c>
    </row>
    <row r="36" spans="1:2" x14ac:dyDescent="0.3">
      <c r="A36" s="5">
        <f t="shared" si="0"/>
        <v>35</v>
      </c>
      <c r="B36" s="6">
        <f>+data!B36</f>
        <v>20494.898438</v>
      </c>
    </row>
    <row r="37" spans="1:2" x14ac:dyDescent="0.3">
      <c r="A37" s="8">
        <f t="shared" si="0"/>
        <v>36</v>
      </c>
      <c r="B37" s="9">
        <f>+data!B37</f>
        <v>17168.001952999999</v>
      </c>
    </row>
    <row r="38" spans="1:2" x14ac:dyDescent="0.3">
      <c r="A38" s="5">
        <f t="shared" si="0"/>
        <v>37</v>
      </c>
      <c r="B38" s="6">
        <f>+data!B38</f>
        <v>16547.914063</v>
      </c>
    </row>
    <row r="39" spans="1:2" x14ac:dyDescent="0.3">
      <c r="A39" s="8">
        <f t="shared" si="0"/>
        <v>38</v>
      </c>
      <c r="B39" s="9">
        <f>+data!B39</f>
        <v>23137.835938</v>
      </c>
    </row>
    <row r="40" spans="1:2" x14ac:dyDescent="0.3">
      <c r="A40" s="5">
        <f t="shared" si="0"/>
        <v>39</v>
      </c>
      <c r="B40" s="6">
        <f>+data!B40</f>
        <v>23150.929688</v>
      </c>
    </row>
    <row r="41" spans="1:2" x14ac:dyDescent="0.3">
      <c r="A41" s="8">
        <f t="shared" si="0"/>
        <v>40</v>
      </c>
      <c r="B41" s="9">
        <f>+data!B41</f>
        <v>28473.332031000002</v>
      </c>
    </row>
    <row r="42" spans="1:2" x14ac:dyDescent="0.3">
      <c r="A42" s="5">
        <f t="shared" si="0"/>
        <v>41</v>
      </c>
      <c r="B42" s="6">
        <f>+data!B42</f>
        <v>29227.103515999999</v>
      </c>
    </row>
    <row r="43" spans="1:2" x14ac:dyDescent="0.3">
      <c r="A43" s="8">
        <f t="shared" si="0"/>
        <v>42</v>
      </c>
      <c r="B43" s="9">
        <f>+data!B43</f>
        <v>27218.412109000001</v>
      </c>
    </row>
    <row r="44" spans="1:2" x14ac:dyDescent="0.3">
      <c r="A44" s="5">
        <f t="shared" si="0"/>
        <v>43</v>
      </c>
      <c r="B44" s="6">
        <f>+data!B44</f>
        <v>30471.847656000002</v>
      </c>
    </row>
    <row r="45" spans="1:2" x14ac:dyDescent="0.3">
      <c r="A45" s="8">
        <f t="shared" si="0"/>
        <v>44</v>
      </c>
      <c r="B45" s="9">
        <f>+data!B45</f>
        <v>29230.873047000001</v>
      </c>
    </row>
    <row r="46" spans="1:2" x14ac:dyDescent="0.3">
      <c r="A46" s="5">
        <f t="shared" si="0"/>
        <v>45</v>
      </c>
      <c r="B46" s="6">
        <f>+data!B46</f>
        <v>25934.021484000001</v>
      </c>
    </row>
    <row r="47" spans="1:2" x14ac:dyDescent="0.3">
      <c r="A47" s="8">
        <f t="shared" si="0"/>
        <v>46</v>
      </c>
      <c r="B47" s="9">
        <f>+data!B47</f>
        <v>26967.396484000001</v>
      </c>
    </row>
    <row r="48" spans="1:2" x14ac:dyDescent="0.3">
      <c r="A48" s="5">
        <f t="shared" si="0"/>
        <v>47</v>
      </c>
      <c r="B48" s="6">
        <f>+data!B48</f>
        <v>34657.273437999997</v>
      </c>
    </row>
    <row r="49" spans="1:2" x14ac:dyDescent="0.3">
      <c r="A49" s="8">
        <f t="shared" si="0"/>
        <v>48</v>
      </c>
      <c r="B49" s="9">
        <f>+data!B49</f>
        <v>37718.007812999997</v>
      </c>
    </row>
    <row r="50" spans="1:2" x14ac:dyDescent="0.3">
      <c r="A50" s="5">
        <f t="shared" si="0"/>
        <v>49</v>
      </c>
      <c r="B50" s="6">
        <f>+data!B50</f>
        <v>42280.234375</v>
      </c>
    </row>
    <row r="51" spans="1:2" x14ac:dyDescent="0.3">
      <c r="A51" s="8">
        <f t="shared" si="0"/>
        <v>50</v>
      </c>
      <c r="B51" s="9">
        <f>+data!B51</f>
        <v>42569.761719000002</v>
      </c>
    </row>
    <row r="52" spans="1:2" x14ac:dyDescent="0.3">
      <c r="A52" s="5">
        <f t="shared" si="0"/>
        <v>51</v>
      </c>
      <c r="B52" s="6">
        <f>+data!B52</f>
        <v>61168.0625</v>
      </c>
    </row>
    <row r="53" spans="1:2" x14ac:dyDescent="0.3">
      <c r="A53" s="8">
        <f t="shared" si="0"/>
        <v>52</v>
      </c>
      <c r="B53" s="9">
        <f>+data!B53</f>
        <v>71333.484375</v>
      </c>
    </row>
    <row r="54" spans="1:2" x14ac:dyDescent="0.3">
      <c r="A54" s="5">
        <f t="shared" si="0"/>
        <v>53</v>
      </c>
      <c r="B54" s="6">
        <f>+data!B54</f>
        <v>60609.496094000002</v>
      </c>
    </row>
    <row r="55" spans="1:2" x14ac:dyDescent="0.3">
      <c r="A55" s="8">
        <f t="shared" si="0"/>
        <v>54</v>
      </c>
      <c r="B55" s="9">
        <f>+data!B55</f>
        <v>67489.609375</v>
      </c>
    </row>
    <row r="56" spans="1:2" x14ac:dyDescent="0.3">
      <c r="A56" s="5">
        <f t="shared" si="0"/>
        <v>55</v>
      </c>
      <c r="B56" s="6">
        <f>+data!B56</f>
        <v>62673.605469000002</v>
      </c>
    </row>
    <row r="57" spans="1:2" x14ac:dyDescent="0.3">
      <c r="A57" s="8">
        <f t="shared" si="0"/>
        <v>56</v>
      </c>
      <c r="B57" s="9">
        <f>+data!B57</f>
        <v>64625.839844000002</v>
      </c>
    </row>
    <row r="58" spans="1:2" x14ac:dyDescent="0.3">
      <c r="A58" s="5">
        <f t="shared" si="0"/>
        <v>57</v>
      </c>
      <c r="B58" s="6">
        <f>+data!B58</f>
        <v>58969.800780999998</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3F10B-844A-4E71-92BA-148A1733197B}">
  <dimension ref="A1:G8"/>
  <sheetViews>
    <sheetView workbookViewId="0">
      <selection activeCell="A10" sqref="A10"/>
    </sheetView>
  </sheetViews>
  <sheetFormatPr baseColWidth="10" defaultRowHeight="14.4" x14ac:dyDescent="0.3"/>
  <cols>
    <col min="1" max="1" width="20.88671875" bestFit="1" customWidth="1"/>
    <col min="4" max="4" width="12" bestFit="1" customWidth="1"/>
    <col min="5" max="5" width="12.77734375" bestFit="1" customWidth="1"/>
  </cols>
  <sheetData>
    <row r="1" spans="1:7" x14ac:dyDescent="0.3">
      <c r="A1" s="117" t="s">
        <v>18</v>
      </c>
      <c r="B1" s="117"/>
      <c r="C1" s="117"/>
      <c r="D1" s="117"/>
      <c r="E1" s="117"/>
      <c r="F1" s="117"/>
      <c r="G1" s="117"/>
    </row>
    <row r="2" spans="1:7" x14ac:dyDescent="0.3">
      <c r="A2" s="15" t="s">
        <v>19</v>
      </c>
      <c r="B2" s="15" t="s">
        <v>14</v>
      </c>
      <c r="C2" s="15" t="s">
        <v>16</v>
      </c>
      <c r="D2" s="15" t="s">
        <v>20</v>
      </c>
      <c r="E2" s="15" t="s">
        <v>21</v>
      </c>
      <c r="F2" s="15" t="s">
        <v>22</v>
      </c>
      <c r="G2" s="15" t="s">
        <v>23</v>
      </c>
    </row>
    <row r="3" spans="1:7" x14ac:dyDescent="0.3">
      <c r="A3" s="16" t="s">
        <v>24</v>
      </c>
      <c r="B3" s="17">
        <f>+'01. PROMEDIO MÓVIL'!H58</f>
        <v>6831.3295627716043</v>
      </c>
      <c r="C3" s="18">
        <f>+'01. PROMEDIO MÓVIL'!J58</f>
        <v>20.058315195265735</v>
      </c>
      <c r="D3" s="19">
        <f>+MIN('01. PROMEDIO MÓVIL'!K:K)</f>
        <v>-16.308343793324632</v>
      </c>
      <c r="E3" s="19">
        <f>+MAX('01. PROMEDIO MÓVIL'!K:K)</f>
        <v>1.1238373081158215</v>
      </c>
      <c r="F3" s="20">
        <f>1.25*B3</f>
        <v>8539.1619534645051</v>
      </c>
      <c r="G3" s="19">
        <f>+E3-D3</f>
        <v>17.432181101440452</v>
      </c>
    </row>
    <row r="4" spans="1:7" x14ac:dyDescent="0.3">
      <c r="A4" s="16"/>
      <c r="B4" s="17"/>
      <c r="C4" s="18"/>
      <c r="D4" s="19"/>
      <c r="E4" s="19"/>
      <c r="F4" s="20"/>
      <c r="G4" s="19"/>
    </row>
    <row r="5" spans="1:7" x14ac:dyDescent="0.3">
      <c r="A5" s="16"/>
      <c r="B5" s="17"/>
      <c r="C5" s="18"/>
      <c r="D5" s="19"/>
      <c r="E5" s="19"/>
      <c r="F5" s="20"/>
      <c r="G5" s="19"/>
    </row>
    <row r="6" spans="1:7" x14ac:dyDescent="0.3">
      <c r="A6" s="16"/>
      <c r="B6" s="17"/>
      <c r="C6" s="18"/>
      <c r="D6" s="19"/>
      <c r="E6" s="19"/>
      <c r="F6" s="20"/>
      <c r="G6" s="19"/>
    </row>
    <row r="7" spans="1:7" x14ac:dyDescent="0.3">
      <c r="A7" s="16"/>
      <c r="B7" s="17"/>
      <c r="C7" s="18"/>
      <c r="D7" s="19"/>
      <c r="E7" s="19"/>
      <c r="F7" s="20"/>
      <c r="G7" s="19"/>
    </row>
    <row r="8" spans="1:7" x14ac:dyDescent="0.3">
      <c r="A8" s="16"/>
      <c r="B8" s="17"/>
      <c r="C8" s="18"/>
      <c r="D8" s="19"/>
      <c r="E8" s="19"/>
      <c r="F8" s="20"/>
      <c r="G8" s="19"/>
    </row>
  </sheetData>
  <mergeCells count="1">
    <mergeCell ref="A1:G1"/>
  </mergeCells>
  <conditionalFormatting sqref="B3:B8">
    <cfRule type="dataBar" priority="4">
      <dataBar>
        <cfvo type="min"/>
        <cfvo type="max"/>
        <color rgb="FFFFB628"/>
      </dataBar>
      <extLst>
        <ext xmlns:x14="http://schemas.microsoft.com/office/spreadsheetml/2009/9/main" uri="{B025F937-C7B1-47D3-B67F-A62EFF666E3E}">
          <x14:id>{63A9CA84-D520-4DD9-9167-7B46AA91F47B}</x14:id>
        </ext>
      </extLst>
    </cfRule>
  </conditionalFormatting>
  <conditionalFormatting sqref="C3:C8">
    <cfRule type="dataBar" priority="2">
      <dataBar>
        <cfvo type="min"/>
        <cfvo type="max"/>
        <color rgb="FF008AEF"/>
      </dataBar>
      <extLst>
        <ext xmlns:x14="http://schemas.microsoft.com/office/spreadsheetml/2009/9/main" uri="{B025F937-C7B1-47D3-B67F-A62EFF666E3E}">
          <x14:id>{BE3874FF-6633-4144-873D-42275C4A6224}</x14:id>
        </ext>
      </extLst>
    </cfRule>
  </conditionalFormatting>
  <conditionalFormatting sqref="F3:F8">
    <cfRule type="dataBar" priority="3">
      <dataBar>
        <cfvo type="min"/>
        <cfvo type="max"/>
        <color rgb="FFFFB628"/>
      </dataBar>
      <extLst>
        <ext xmlns:x14="http://schemas.microsoft.com/office/spreadsheetml/2009/9/main" uri="{B025F937-C7B1-47D3-B67F-A62EFF666E3E}">
          <x14:id>{6D024DEC-AF03-44B8-84C3-BE258A0784D8}</x14:id>
        </ext>
      </extLst>
    </cfRule>
  </conditionalFormatting>
  <conditionalFormatting sqref="G3:G8">
    <cfRule type="dataBar" priority="1">
      <dataBar>
        <cfvo type="min"/>
        <cfvo type="max"/>
        <color rgb="FF008AEF"/>
      </dataBar>
      <extLst>
        <ext xmlns:x14="http://schemas.microsoft.com/office/spreadsheetml/2009/9/main" uri="{B025F937-C7B1-47D3-B67F-A62EFF666E3E}">
          <x14:id>{E668F2B9-5696-4184-8CA4-33463438EF9E}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3A9CA84-D520-4DD9-9167-7B46AA91F47B}">
            <x14:dataBar minLength="0" maxLength="100" border="1" negativeBarBorderColorSameAsPositive="0">
              <x14:cfvo type="autoMin"/>
              <x14:cfvo type="autoMax"/>
              <x14:borderColor rgb="FFFFB628"/>
              <x14:negativeFillColor rgb="FFFF0000"/>
              <x14:negativeBorderColor rgb="FFFF0000"/>
              <x14:axisColor rgb="FF000000"/>
            </x14:dataBar>
          </x14:cfRule>
          <xm:sqref>B3:B8</xm:sqref>
        </x14:conditionalFormatting>
        <x14:conditionalFormatting xmlns:xm="http://schemas.microsoft.com/office/excel/2006/main">
          <x14:cfRule type="dataBar" id="{BE3874FF-6633-4144-873D-42275C4A6224}">
            <x14:dataBar minLength="0" maxLength="100" border="1" negativeBarBorderColorSameAsPositive="0">
              <x14:cfvo type="autoMin"/>
              <x14:cfvo type="autoMax"/>
              <x14:borderColor rgb="FF008AEF"/>
              <x14:negativeFillColor rgb="FFFF0000"/>
              <x14:negativeBorderColor rgb="FFFF0000"/>
              <x14:axisColor rgb="FF000000"/>
            </x14:dataBar>
          </x14:cfRule>
          <xm:sqref>C3:C8</xm:sqref>
        </x14:conditionalFormatting>
        <x14:conditionalFormatting xmlns:xm="http://schemas.microsoft.com/office/excel/2006/main">
          <x14:cfRule type="dataBar" id="{6D024DEC-AF03-44B8-84C3-BE258A0784D8}">
            <x14:dataBar minLength="0" maxLength="100" border="1" negativeBarBorderColorSameAsPositive="0">
              <x14:cfvo type="autoMin"/>
              <x14:cfvo type="autoMax"/>
              <x14:borderColor rgb="FFFFB628"/>
              <x14:negativeFillColor rgb="FFFF0000"/>
              <x14:negativeBorderColor rgb="FFFF0000"/>
              <x14:axisColor rgb="FF000000"/>
            </x14:dataBar>
          </x14:cfRule>
          <xm:sqref>F3:F8</xm:sqref>
        </x14:conditionalFormatting>
        <x14:conditionalFormatting xmlns:xm="http://schemas.microsoft.com/office/excel/2006/main">
          <x14:cfRule type="dataBar" id="{E668F2B9-5696-4184-8CA4-33463438EF9E}">
            <x14:dataBar minLength="0" maxLength="100" border="1" negativeBarBorderColorSameAsPositive="0">
              <x14:cfvo type="autoMin"/>
              <x14:cfvo type="autoMax"/>
              <x14:borderColor rgb="FF008AEF"/>
              <x14:negativeFillColor rgb="FFFF0000"/>
              <x14:negativeBorderColor rgb="FFFF0000"/>
              <x14:axisColor rgb="FF000000"/>
            </x14:dataBar>
          </x14:cfRule>
          <xm:sqref>G3:G8</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8DDB3-ABF4-4749-ABD6-B9FFFB79FD5C}">
  <dimension ref="A1:B58"/>
  <sheetViews>
    <sheetView workbookViewId="0">
      <selection activeCell="B1" sqref="B1:B22"/>
    </sheetView>
  </sheetViews>
  <sheetFormatPr baseColWidth="10" defaultRowHeight="14.4" x14ac:dyDescent="0.3"/>
  <sheetData>
    <row r="1" spans="1:2" x14ac:dyDescent="0.3">
      <c r="A1" t="s">
        <v>0</v>
      </c>
      <c r="B1" s="2" t="s">
        <v>1</v>
      </c>
    </row>
    <row r="2" spans="1:2" x14ac:dyDescent="0.3">
      <c r="A2" s="1">
        <v>43831</v>
      </c>
      <c r="B2" s="2">
        <v>7194.8920900000003</v>
      </c>
    </row>
    <row r="3" spans="1:2" x14ac:dyDescent="0.3">
      <c r="A3" s="1">
        <v>43862</v>
      </c>
      <c r="B3" s="2">
        <v>9346.3574219999991</v>
      </c>
    </row>
    <row r="4" spans="1:2" x14ac:dyDescent="0.3">
      <c r="A4" s="1">
        <v>43891</v>
      </c>
      <c r="B4" s="2">
        <v>8599.7587889999995</v>
      </c>
    </row>
    <row r="5" spans="1:2" x14ac:dyDescent="0.3">
      <c r="A5" s="1">
        <v>43922</v>
      </c>
      <c r="B5" s="2">
        <v>6437.3193359999996</v>
      </c>
    </row>
    <row r="6" spans="1:2" x14ac:dyDescent="0.3">
      <c r="A6" s="1">
        <v>43952</v>
      </c>
      <c r="B6" s="2">
        <v>8672.7822269999997</v>
      </c>
    </row>
    <row r="7" spans="1:2" x14ac:dyDescent="0.3">
      <c r="A7" s="1">
        <v>43983</v>
      </c>
      <c r="B7" s="2">
        <v>9463.6054690000001</v>
      </c>
    </row>
    <row r="8" spans="1:2" x14ac:dyDescent="0.3">
      <c r="A8" s="1">
        <v>44013</v>
      </c>
      <c r="B8" s="2">
        <v>9145.9853519999997</v>
      </c>
    </row>
    <row r="9" spans="1:2" x14ac:dyDescent="0.3">
      <c r="A9" s="1">
        <v>44044</v>
      </c>
      <c r="B9" s="2">
        <v>11322.570313</v>
      </c>
    </row>
    <row r="10" spans="1:2" x14ac:dyDescent="0.3">
      <c r="A10" s="1">
        <v>44075</v>
      </c>
      <c r="B10" s="2">
        <v>11679.316406</v>
      </c>
    </row>
    <row r="11" spans="1:2" x14ac:dyDescent="0.3">
      <c r="A11" s="1">
        <v>44105</v>
      </c>
      <c r="B11" s="2">
        <v>10795.254883</v>
      </c>
    </row>
    <row r="12" spans="1:2" x14ac:dyDescent="0.3">
      <c r="A12" s="1">
        <v>44136</v>
      </c>
      <c r="B12" s="2">
        <v>13780.995117</v>
      </c>
    </row>
    <row r="13" spans="1:2" x14ac:dyDescent="0.3">
      <c r="A13" s="1">
        <v>44166</v>
      </c>
      <c r="B13" s="2">
        <v>19633.769531000002</v>
      </c>
    </row>
    <row r="14" spans="1:2" x14ac:dyDescent="0.3">
      <c r="A14" s="1">
        <v>44197</v>
      </c>
      <c r="B14" s="2">
        <v>28994.009765999999</v>
      </c>
    </row>
    <row r="15" spans="1:2" x14ac:dyDescent="0.3">
      <c r="A15" s="1">
        <v>44228</v>
      </c>
      <c r="B15" s="2">
        <v>33114.578125</v>
      </c>
    </row>
    <row r="16" spans="1:2" x14ac:dyDescent="0.3">
      <c r="A16" s="1">
        <v>44256</v>
      </c>
      <c r="B16" s="2">
        <v>45159.503905999998</v>
      </c>
    </row>
    <row r="17" spans="1:2" x14ac:dyDescent="0.3">
      <c r="A17" s="1">
        <v>44287</v>
      </c>
      <c r="B17" s="2">
        <v>58926.5625</v>
      </c>
    </row>
    <row r="18" spans="1:2" x14ac:dyDescent="0.3">
      <c r="A18" s="1">
        <v>44317</v>
      </c>
      <c r="B18" s="2">
        <v>57714.664062999997</v>
      </c>
    </row>
    <row r="19" spans="1:2" x14ac:dyDescent="0.3">
      <c r="A19" s="1">
        <v>44348</v>
      </c>
      <c r="B19" s="2">
        <v>37293.792969000002</v>
      </c>
    </row>
    <row r="20" spans="1:2" x14ac:dyDescent="0.3">
      <c r="A20" s="1">
        <v>44378</v>
      </c>
      <c r="B20" s="2">
        <v>35035.984375</v>
      </c>
    </row>
    <row r="21" spans="1:2" x14ac:dyDescent="0.3">
      <c r="A21" s="1">
        <v>44409</v>
      </c>
      <c r="B21" s="2">
        <v>41460.84375</v>
      </c>
    </row>
    <row r="22" spans="1:2" x14ac:dyDescent="0.3">
      <c r="A22" s="1">
        <v>44440</v>
      </c>
      <c r="B22" s="2">
        <v>47099.773437999997</v>
      </c>
    </row>
    <row r="23" spans="1:2" x14ac:dyDescent="0.3">
      <c r="A23" s="1">
        <v>44470</v>
      </c>
      <c r="B23" s="2">
        <v>43816.742187999997</v>
      </c>
    </row>
    <row r="24" spans="1:2" x14ac:dyDescent="0.3">
      <c r="A24" s="1">
        <v>44501</v>
      </c>
      <c r="B24" s="2">
        <v>61320.449219000002</v>
      </c>
    </row>
    <row r="25" spans="1:2" x14ac:dyDescent="0.3">
      <c r="A25" s="1">
        <v>44531</v>
      </c>
      <c r="B25" s="2">
        <v>56907.964844000002</v>
      </c>
    </row>
    <row r="26" spans="1:2" x14ac:dyDescent="0.3">
      <c r="A26" s="1">
        <v>44562</v>
      </c>
      <c r="B26" s="2">
        <v>46311.746094000002</v>
      </c>
    </row>
    <row r="27" spans="1:2" x14ac:dyDescent="0.3">
      <c r="A27" s="1">
        <v>44593</v>
      </c>
      <c r="B27" s="2">
        <v>38481.765625</v>
      </c>
    </row>
    <row r="28" spans="1:2" x14ac:dyDescent="0.3">
      <c r="A28" s="1">
        <v>44621</v>
      </c>
      <c r="B28" s="2">
        <v>43194.503905999998</v>
      </c>
    </row>
    <row r="29" spans="1:2" x14ac:dyDescent="0.3">
      <c r="A29" s="1">
        <v>44652</v>
      </c>
      <c r="B29" s="2">
        <v>45554.164062999997</v>
      </c>
    </row>
    <row r="30" spans="1:2" x14ac:dyDescent="0.3">
      <c r="A30" s="1">
        <v>44682</v>
      </c>
      <c r="B30" s="2">
        <v>37713.265625</v>
      </c>
    </row>
    <row r="31" spans="1:2" x14ac:dyDescent="0.3">
      <c r="A31" s="1">
        <v>44713</v>
      </c>
      <c r="B31" s="2">
        <v>31792.554688</v>
      </c>
    </row>
    <row r="32" spans="1:2" x14ac:dyDescent="0.3">
      <c r="A32" s="1">
        <v>44743</v>
      </c>
      <c r="B32" s="2">
        <v>19820.470702999999</v>
      </c>
    </row>
    <row r="33" spans="1:2" x14ac:dyDescent="0.3">
      <c r="A33" s="1">
        <v>44774</v>
      </c>
      <c r="B33" s="2">
        <v>23336.71875</v>
      </c>
    </row>
    <row r="34" spans="1:2" x14ac:dyDescent="0.3">
      <c r="A34" s="1">
        <v>44805</v>
      </c>
      <c r="B34" s="2">
        <v>20050.498047000001</v>
      </c>
    </row>
    <row r="35" spans="1:2" x14ac:dyDescent="0.3">
      <c r="A35" s="1">
        <v>44835</v>
      </c>
      <c r="B35" s="2">
        <v>19431.105468999998</v>
      </c>
    </row>
    <row r="36" spans="1:2" x14ac:dyDescent="0.3">
      <c r="A36" s="1">
        <v>44866</v>
      </c>
      <c r="B36" s="2">
        <v>20494.898438</v>
      </c>
    </row>
    <row r="37" spans="1:2" x14ac:dyDescent="0.3">
      <c r="A37" s="1">
        <v>44896</v>
      </c>
      <c r="B37" s="2">
        <v>17168.001952999999</v>
      </c>
    </row>
    <row r="38" spans="1:2" x14ac:dyDescent="0.3">
      <c r="A38" s="1">
        <v>44927</v>
      </c>
      <c r="B38" s="2">
        <v>16547.914063</v>
      </c>
    </row>
    <row r="39" spans="1:2" x14ac:dyDescent="0.3">
      <c r="A39" s="1">
        <v>44958</v>
      </c>
      <c r="B39" s="2">
        <v>23137.835938</v>
      </c>
    </row>
    <row r="40" spans="1:2" x14ac:dyDescent="0.3">
      <c r="A40" s="1">
        <v>44986</v>
      </c>
      <c r="B40" s="2">
        <v>23150.929688</v>
      </c>
    </row>
    <row r="41" spans="1:2" x14ac:dyDescent="0.3">
      <c r="A41" s="1">
        <v>45017</v>
      </c>
      <c r="B41" s="2">
        <v>28473.332031000002</v>
      </c>
    </row>
    <row r="42" spans="1:2" x14ac:dyDescent="0.3">
      <c r="A42" s="1">
        <v>45047</v>
      </c>
      <c r="B42" s="2">
        <v>29227.103515999999</v>
      </c>
    </row>
    <row r="43" spans="1:2" x14ac:dyDescent="0.3">
      <c r="A43" s="1">
        <v>45078</v>
      </c>
      <c r="B43" s="2">
        <v>27218.412109000001</v>
      </c>
    </row>
    <row r="44" spans="1:2" x14ac:dyDescent="0.3">
      <c r="A44" s="1">
        <v>45108</v>
      </c>
      <c r="B44" s="2">
        <v>30471.847656000002</v>
      </c>
    </row>
    <row r="45" spans="1:2" x14ac:dyDescent="0.3">
      <c r="A45" s="1">
        <v>45139</v>
      </c>
      <c r="B45" s="2">
        <v>29230.873047000001</v>
      </c>
    </row>
    <row r="46" spans="1:2" x14ac:dyDescent="0.3">
      <c r="A46" s="1">
        <v>45170</v>
      </c>
      <c r="B46" s="2">
        <v>25934.021484000001</v>
      </c>
    </row>
    <row r="47" spans="1:2" x14ac:dyDescent="0.3">
      <c r="A47" s="1">
        <v>45200</v>
      </c>
      <c r="B47" s="2">
        <v>26967.396484000001</v>
      </c>
    </row>
    <row r="48" spans="1:2" x14ac:dyDescent="0.3">
      <c r="A48" s="1">
        <v>45231</v>
      </c>
      <c r="B48" s="2">
        <v>34657.273437999997</v>
      </c>
    </row>
    <row r="49" spans="1:2" x14ac:dyDescent="0.3">
      <c r="A49" s="1">
        <v>45261</v>
      </c>
      <c r="B49" s="2">
        <v>37718.007812999997</v>
      </c>
    </row>
    <row r="50" spans="1:2" x14ac:dyDescent="0.3">
      <c r="A50" s="1">
        <v>45292</v>
      </c>
      <c r="B50" s="2">
        <v>42280.234375</v>
      </c>
    </row>
    <row r="51" spans="1:2" x14ac:dyDescent="0.3">
      <c r="A51" s="1">
        <v>45323</v>
      </c>
      <c r="B51" s="2">
        <v>42569.761719000002</v>
      </c>
    </row>
    <row r="52" spans="1:2" x14ac:dyDescent="0.3">
      <c r="A52" s="1">
        <v>45352</v>
      </c>
      <c r="B52" s="2">
        <v>61168.0625</v>
      </c>
    </row>
    <row r="53" spans="1:2" x14ac:dyDescent="0.3">
      <c r="A53" s="1">
        <v>45383</v>
      </c>
      <c r="B53" s="2">
        <v>71333.484375</v>
      </c>
    </row>
    <row r="54" spans="1:2" x14ac:dyDescent="0.3">
      <c r="A54" s="1">
        <v>45413</v>
      </c>
      <c r="B54" s="2">
        <v>60609.496094000002</v>
      </c>
    </row>
    <row r="55" spans="1:2" x14ac:dyDescent="0.3">
      <c r="A55" s="1">
        <v>45444</v>
      </c>
      <c r="B55" s="2">
        <v>67489.609375</v>
      </c>
    </row>
    <row r="56" spans="1:2" x14ac:dyDescent="0.3">
      <c r="A56" s="1">
        <v>45474</v>
      </c>
      <c r="B56" s="2">
        <v>62673.605469000002</v>
      </c>
    </row>
    <row r="57" spans="1:2" x14ac:dyDescent="0.3">
      <c r="A57" s="1">
        <v>45505</v>
      </c>
      <c r="B57" s="2">
        <v>64625.839844000002</v>
      </c>
    </row>
    <row r="58" spans="1:2" x14ac:dyDescent="0.3">
      <c r="A58" s="1">
        <v>45536</v>
      </c>
      <c r="B58" s="2">
        <v>58969.800780999998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D9064-135F-469F-B28F-A84C2335DF5C}">
  <sheetPr>
    <tabColor rgb="FFFF0000"/>
  </sheetPr>
  <dimension ref="B1:AH47"/>
  <sheetViews>
    <sheetView showGridLines="0" topLeftCell="G1" workbookViewId="0">
      <selection activeCell="H10" sqref="H10"/>
    </sheetView>
  </sheetViews>
  <sheetFormatPr baseColWidth="10" defaultRowHeight="14.4" x14ac:dyDescent="0.3"/>
  <cols>
    <col min="1" max="6" width="0" hidden="1" customWidth="1"/>
    <col min="7" max="7" width="5.33203125" customWidth="1"/>
    <col min="8" max="8" width="28.21875" customWidth="1"/>
    <col min="14" max="14" width="10.21875" customWidth="1"/>
    <col min="15" max="15" width="29.6640625" hidden="1" customWidth="1"/>
    <col min="18" max="35" width="0" hidden="1" customWidth="1"/>
  </cols>
  <sheetData>
    <row r="1" spans="2:34" ht="43.2" x14ac:dyDescent="0.3">
      <c r="B1" t="s">
        <v>119</v>
      </c>
      <c r="H1" s="108" t="s">
        <v>126</v>
      </c>
      <c r="I1" s="108" t="s">
        <v>92</v>
      </c>
      <c r="J1" s="108" t="s">
        <v>93</v>
      </c>
      <c r="K1" s="109" t="s">
        <v>95</v>
      </c>
      <c r="L1" s="109" t="s">
        <v>96</v>
      </c>
      <c r="M1" s="109" t="s">
        <v>94</v>
      </c>
      <c r="N1" s="108" t="s">
        <v>23</v>
      </c>
      <c r="O1" s="108" t="s">
        <v>64</v>
      </c>
      <c r="S1" t="s">
        <v>123</v>
      </c>
      <c r="Z1" t="s">
        <v>121</v>
      </c>
      <c r="AE1" t="s">
        <v>122</v>
      </c>
    </row>
    <row r="2" spans="2:34" x14ac:dyDescent="0.3">
      <c r="B2" t="s">
        <v>7</v>
      </c>
      <c r="C2" t="s">
        <v>116</v>
      </c>
      <c r="D2" t="s">
        <v>117</v>
      </c>
      <c r="E2" t="s">
        <v>118</v>
      </c>
      <c r="H2" s="110" t="s">
        <v>119</v>
      </c>
      <c r="I2" s="99">
        <v>2157.7091999999998</v>
      </c>
      <c r="J2" s="100">
        <v>5.9322999999999997</v>
      </c>
      <c r="K2" s="101">
        <f>+MIN('RANDOM FOREST'!$K$14:$K$58)</f>
        <v>-9.5227968381606996</v>
      </c>
      <c r="L2" s="101">
        <f>+MAX('RANDOM FOREST'!$K$14:$K$58)</f>
        <v>-1</v>
      </c>
      <c r="M2" s="99">
        <f>+I2*1.25</f>
        <v>2697.1364999999996</v>
      </c>
      <c r="N2" s="102">
        <f>+K2-L2</f>
        <v>-8.5227968381606996</v>
      </c>
      <c r="O2" s="112"/>
      <c r="S2" t="s">
        <v>114</v>
      </c>
      <c r="T2" t="s">
        <v>116</v>
      </c>
      <c r="U2" t="s">
        <v>117</v>
      </c>
      <c r="V2" t="s">
        <v>118</v>
      </c>
      <c r="Z2" t="s">
        <v>114</v>
      </c>
      <c r="AA2" t="s">
        <v>116</v>
      </c>
      <c r="AB2" t="s">
        <v>117</v>
      </c>
      <c r="AC2" t="s">
        <v>118</v>
      </c>
      <c r="AE2" t="s">
        <v>114</v>
      </c>
      <c r="AF2" t="s">
        <v>124</v>
      </c>
      <c r="AG2" t="s">
        <v>125</v>
      </c>
      <c r="AH2" t="s">
        <v>115</v>
      </c>
    </row>
    <row r="3" spans="2:34" x14ac:dyDescent="0.3">
      <c r="B3">
        <v>13</v>
      </c>
      <c r="C3">
        <v>28994.0098</v>
      </c>
      <c r="D3">
        <v>27053.014299999999</v>
      </c>
      <c r="E3">
        <v>-1940.9955</v>
      </c>
      <c r="F3">
        <f>+ABS(E3)</f>
        <v>1940.9955</v>
      </c>
      <c r="H3" s="111" t="s">
        <v>120</v>
      </c>
      <c r="I3" s="104">
        <f>+'GAUSSIAN PROCESSES'!H58</f>
        <v>6706.6020659333326</v>
      </c>
      <c r="J3" s="105">
        <f>+'GAUSSIAN PROCESSES'!J58</f>
        <v>18.762350174117611</v>
      </c>
      <c r="K3" s="106">
        <f>+MIN('GAUSSIAN PROCESSES'!$K$14:$K$58)</f>
        <v>-5.961349935091012</v>
      </c>
      <c r="L3" s="106">
        <f>+MAX('GAUSSIAN PROCESSES'!$K$14:$K$58)</f>
        <v>6.4308853530822194</v>
      </c>
      <c r="M3" s="104">
        <f>+I3*1.25</f>
        <v>8383.252582416666</v>
      </c>
      <c r="N3" s="107">
        <f>+K3-L3</f>
        <v>-12.392235288173232</v>
      </c>
      <c r="O3" s="113"/>
      <c r="S3">
        <v>13</v>
      </c>
      <c r="T3">
        <v>28994.0098</v>
      </c>
      <c r="U3">
        <v>38324.997600000002</v>
      </c>
      <c r="V3">
        <v>9330.9878000000008</v>
      </c>
      <c r="Z3">
        <v>13</v>
      </c>
      <c r="AA3">
        <v>28994.0098</v>
      </c>
      <c r="AB3">
        <v>31757.1626</v>
      </c>
      <c r="AC3">
        <v>2763.1527999999998</v>
      </c>
      <c r="AE3">
        <v>13</v>
      </c>
      <c r="AF3">
        <v>28994.0098</v>
      </c>
      <c r="AG3">
        <v>28206.808099999998</v>
      </c>
      <c r="AH3">
        <v>-787.20169999999996</v>
      </c>
    </row>
    <row r="4" spans="2:34" x14ac:dyDescent="0.3">
      <c r="B4">
        <v>14</v>
      </c>
      <c r="C4">
        <v>33114.578099999999</v>
      </c>
      <c r="D4">
        <v>30564.8586</v>
      </c>
      <c r="E4">
        <v>-2549.7195000000002</v>
      </c>
      <c r="F4">
        <f t="shared" ref="F4:F47" si="0">+ABS(E4)</f>
        <v>2549.7195000000002</v>
      </c>
      <c r="H4" s="110" t="s">
        <v>121</v>
      </c>
      <c r="I4" s="99">
        <f>+'MULTILAYER PERCEPTRON'!H58</f>
        <v>1894.7937858</v>
      </c>
      <c r="J4" s="100">
        <f>+'MULTILAYER PERCEPTRON'!J58</f>
        <v>5.7458629892651381</v>
      </c>
      <c r="K4" s="101">
        <f>+MIN('MULTILAYER PERCEPTRON'!$K$14:$K$58)</f>
        <v>1</v>
      </c>
      <c r="L4" s="101">
        <f>+MAX('MULTILAYER PERCEPTRON'!$K$14:$K$58)</f>
        <v>41.441363163351795</v>
      </c>
      <c r="M4" s="99">
        <f>+I4*1.25</f>
        <v>2368.4922322500001</v>
      </c>
      <c r="N4" s="102">
        <f>+K4-L4</f>
        <v>-40.441363163351795</v>
      </c>
      <c r="O4" s="112"/>
      <c r="S4">
        <v>14</v>
      </c>
      <c r="T4">
        <v>33114.578099999999</v>
      </c>
      <c r="U4">
        <v>41033.042800000003</v>
      </c>
      <c r="V4">
        <v>7918.4647000000004</v>
      </c>
      <c r="Z4">
        <v>14</v>
      </c>
      <c r="AA4">
        <v>33114.578099999999</v>
      </c>
      <c r="AB4">
        <v>35429.974600000001</v>
      </c>
      <c r="AC4">
        <v>2315.3964000000001</v>
      </c>
      <c r="AE4">
        <v>14</v>
      </c>
      <c r="AF4">
        <v>33114.578099999999</v>
      </c>
      <c r="AG4">
        <v>32990.486400000002</v>
      </c>
      <c r="AH4">
        <v>-124.0917</v>
      </c>
    </row>
    <row r="5" spans="2:34" x14ac:dyDescent="0.3">
      <c r="B5">
        <v>15</v>
      </c>
      <c r="C5">
        <v>45159.503900000003</v>
      </c>
      <c r="D5">
        <v>40289.777099999999</v>
      </c>
      <c r="E5">
        <v>-4869.7268999999997</v>
      </c>
      <c r="F5">
        <f t="shared" si="0"/>
        <v>4869.7268999999997</v>
      </c>
      <c r="H5" s="111" t="s">
        <v>122</v>
      </c>
      <c r="I5" s="104">
        <f>+SMOreg!H58</f>
        <v>4264.5902498444439</v>
      </c>
      <c r="J5" s="105">
        <f>+SMOreg!J58</f>
        <v>11.0418416289001</v>
      </c>
      <c r="K5" s="106">
        <f>+MIN(SMOreg!$K$14:$K$58)</f>
        <v>-11.999632158064099</v>
      </c>
      <c r="L5" s="106">
        <f>+MAX(SMOreg!$K$14:$K$58)</f>
        <v>-1</v>
      </c>
      <c r="M5" s="104">
        <f>+I5*1.25</f>
        <v>5330.7378123055551</v>
      </c>
      <c r="N5" s="107">
        <f>+K5-L5</f>
        <v>-10.999632158064099</v>
      </c>
      <c r="O5" s="113"/>
      <c r="S5">
        <v>15</v>
      </c>
      <c r="T5">
        <v>45159.503900000003</v>
      </c>
      <c r="U5">
        <v>43043.5628</v>
      </c>
      <c r="V5">
        <v>-2115.9411</v>
      </c>
      <c r="Z5">
        <v>15</v>
      </c>
      <c r="AA5">
        <v>45159.503900000003</v>
      </c>
      <c r="AB5">
        <v>45828.6613</v>
      </c>
      <c r="AC5">
        <v>669.15740000000005</v>
      </c>
      <c r="AE5">
        <v>15</v>
      </c>
      <c r="AF5">
        <v>45159.503900000003</v>
      </c>
      <c r="AG5">
        <v>34375.315499999997</v>
      </c>
      <c r="AH5">
        <v>-10784.1885</v>
      </c>
    </row>
    <row r="6" spans="2:34" x14ac:dyDescent="0.3">
      <c r="B6">
        <v>16</v>
      </c>
      <c r="C6">
        <v>58926.5625</v>
      </c>
      <c r="D6">
        <v>51966.866099999999</v>
      </c>
      <c r="E6">
        <v>-6959.6963999999998</v>
      </c>
      <c r="F6">
        <f t="shared" si="0"/>
        <v>6959.6963999999998</v>
      </c>
      <c r="S6">
        <v>16</v>
      </c>
      <c r="T6">
        <v>58926.5625</v>
      </c>
      <c r="U6">
        <v>47784.233399999997</v>
      </c>
      <c r="V6">
        <v>-11142.329100000001</v>
      </c>
      <c r="Z6">
        <v>16</v>
      </c>
      <c r="AA6">
        <v>58926.5625</v>
      </c>
      <c r="AB6">
        <v>62974.841500000002</v>
      </c>
      <c r="AC6">
        <v>4048.279</v>
      </c>
      <c r="AE6">
        <v>16</v>
      </c>
      <c r="AF6">
        <v>58926.5625</v>
      </c>
      <c r="AG6">
        <v>43490.217100000002</v>
      </c>
      <c r="AH6">
        <v>-15436.3454</v>
      </c>
    </row>
    <row r="7" spans="2:34" x14ac:dyDescent="0.3">
      <c r="B7">
        <v>17</v>
      </c>
      <c r="C7">
        <v>57714.664100000002</v>
      </c>
      <c r="D7">
        <v>53836.189599999998</v>
      </c>
      <c r="E7">
        <v>-3878.4744999999998</v>
      </c>
      <c r="F7">
        <f t="shared" si="0"/>
        <v>3878.4744999999998</v>
      </c>
      <c r="S7">
        <v>17</v>
      </c>
      <c r="T7">
        <v>57714.664100000002</v>
      </c>
      <c r="U7">
        <v>52486.004099999998</v>
      </c>
      <c r="V7">
        <v>-5228.66</v>
      </c>
      <c r="Z7">
        <v>17</v>
      </c>
      <c r="AA7">
        <v>57714.664100000002</v>
      </c>
      <c r="AB7">
        <v>57984.705999999998</v>
      </c>
      <c r="AC7">
        <v>270.0419</v>
      </c>
      <c r="AE7">
        <v>17</v>
      </c>
      <c r="AF7">
        <v>57714.664100000002</v>
      </c>
      <c r="AG7">
        <v>52063.2143</v>
      </c>
      <c r="AH7">
        <v>-5651.4498000000003</v>
      </c>
    </row>
    <row r="8" spans="2:34" x14ac:dyDescent="0.3">
      <c r="B8">
        <v>18</v>
      </c>
      <c r="C8">
        <v>37293.792999999998</v>
      </c>
      <c r="D8">
        <v>41517.229299999999</v>
      </c>
      <c r="E8">
        <v>4223.4363000000003</v>
      </c>
      <c r="F8">
        <f t="shared" si="0"/>
        <v>4223.4363000000003</v>
      </c>
      <c r="S8">
        <v>18</v>
      </c>
      <c r="T8">
        <v>37293.792999999998</v>
      </c>
      <c r="U8">
        <v>53061.642200000002</v>
      </c>
      <c r="V8">
        <v>15767.849200000001</v>
      </c>
      <c r="Z8">
        <v>18</v>
      </c>
      <c r="AA8">
        <v>37293.792999999998</v>
      </c>
      <c r="AB8">
        <v>37475.159099999997</v>
      </c>
      <c r="AC8">
        <v>181.36619999999999</v>
      </c>
      <c r="AE8">
        <v>18</v>
      </c>
      <c r="AF8">
        <v>37293.792999999998</v>
      </c>
      <c r="AG8">
        <v>50065.227599999998</v>
      </c>
      <c r="AH8">
        <v>12771.4347</v>
      </c>
    </row>
    <row r="9" spans="2:34" x14ac:dyDescent="0.3">
      <c r="B9">
        <v>19</v>
      </c>
      <c r="C9">
        <v>35035.984400000001</v>
      </c>
      <c r="D9">
        <v>37749.506200000003</v>
      </c>
      <c r="E9">
        <v>2713.5218</v>
      </c>
      <c r="F9">
        <f t="shared" si="0"/>
        <v>2713.5218</v>
      </c>
      <c r="S9">
        <v>19</v>
      </c>
      <c r="T9">
        <v>35035.984400000001</v>
      </c>
      <c r="U9">
        <v>47550.694199999998</v>
      </c>
      <c r="V9">
        <v>12514.7099</v>
      </c>
      <c r="Z9">
        <v>19</v>
      </c>
      <c r="AA9">
        <v>35035.984400000001</v>
      </c>
      <c r="AB9">
        <v>34322.966699999997</v>
      </c>
      <c r="AC9">
        <v>-713.01769999999999</v>
      </c>
      <c r="AE9">
        <v>19</v>
      </c>
      <c r="AF9">
        <v>35035.984400000001</v>
      </c>
      <c r="AG9">
        <v>38391.371800000001</v>
      </c>
      <c r="AH9">
        <v>3355.3874000000001</v>
      </c>
    </row>
    <row r="10" spans="2:34" x14ac:dyDescent="0.3">
      <c r="B10">
        <v>20</v>
      </c>
      <c r="C10">
        <v>41460.843800000002</v>
      </c>
      <c r="D10">
        <v>41408.516100000001</v>
      </c>
      <c r="E10">
        <v>-52.327599999999997</v>
      </c>
      <c r="F10">
        <f t="shared" si="0"/>
        <v>52.327599999999997</v>
      </c>
      <c r="S10">
        <v>20</v>
      </c>
      <c r="T10">
        <v>41460.843800000002</v>
      </c>
      <c r="U10">
        <v>45741.2333</v>
      </c>
      <c r="V10">
        <v>4280.3896000000004</v>
      </c>
      <c r="Z10">
        <v>20</v>
      </c>
      <c r="AA10">
        <v>41460.843800000002</v>
      </c>
      <c r="AB10">
        <v>40802.079100000003</v>
      </c>
      <c r="AC10">
        <v>-658.76459999999997</v>
      </c>
      <c r="AE10">
        <v>20</v>
      </c>
      <c r="AF10">
        <v>41460.843800000002</v>
      </c>
      <c r="AG10">
        <v>41470.056600000004</v>
      </c>
      <c r="AH10">
        <v>9.2127999999999997</v>
      </c>
    </row>
    <row r="11" spans="2:34" x14ac:dyDescent="0.3">
      <c r="B11">
        <v>21</v>
      </c>
      <c r="C11">
        <v>47099.773399999998</v>
      </c>
      <c r="D11">
        <v>46144.305899999999</v>
      </c>
      <c r="E11">
        <v>-955.46749999999997</v>
      </c>
      <c r="F11">
        <f t="shared" si="0"/>
        <v>955.46749999999997</v>
      </c>
      <c r="S11">
        <v>21</v>
      </c>
      <c r="T11">
        <v>47099.773399999998</v>
      </c>
      <c r="U11">
        <v>46723.981599999999</v>
      </c>
      <c r="V11">
        <v>-375.7919</v>
      </c>
      <c r="Z11">
        <v>21</v>
      </c>
      <c r="AA11">
        <v>47099.773399999998</v>
      </c>
      <c r="AB11">
        <v>49950.641199999998</v>
      </c>
      <c r="AC11">
        <v>2850.8676999999998</v>
      </c>
      <c r="AE11">
        <v>21</v>
      </c>
      <c r="AF11">
        <v>47099.773399999998</v>
      </c>
      <c r="AG11">
        <v>45342.875999999997</v>
      </c>
      <c r="AH11">
        <v>-1756.8974000000001</v>
      </c>
    </row>
    <row r="12" spans="2:34" x14ac:dyDescent="0.3">
      <c r="B12">
        <v>22</v>
      </c>
      <c r="C12">
        <v>43816.742200000001</v>
      </c>
      <c r="D12">
        <v>45072.987999999998</v>
      </c>
      <c r="E12">
        <v>1256.2457999999999</v>
      </c>
      <c r="F12">
        <f t="shared" si="0"/>
        <v>1256.2457999999999</v>
      </c>
      <c r="S12">
        <v>22</v>
      </c>
      <c r="T12">
        <v>43816.742200000001</v>
      </c>
      <c r="U12">
        <v>48014.711199999998</v>
      </c>
      <c r="V12">
        <v>4197.9691000000003</v>
      </c>
      <c r="Z12">
        <v>22</v>
      </c>
      <c r="AA12">
        <v>43816.742200000001</v>
      </c>
      <c r="AB12">
        <v>46516.212099999997</v>
      </c>
      <c r="AC12">
        <v>2699.4699000000001</v>
      </c>
      <c r="AE12">
        <v>22</v>
      </c>
      <c r="AF12">
        <v>43816.742200000001</v>
      </c>
      <c r="AG12">
        <v>45258.865400000002</v>
      </c>
      <c r="AH12">
        <v>1442.1232</v>
      </c>
    </row>
    <row r="13" spans="2:34" x14ac:dyDescent="0.3">
      <c r="B13">
        <v>23</v>
      </c>
      <c r="C13">
        <v>61320.449200000003</v>
      </c>
      <c r="D13">
        <v>54235.794999999998</v>
      </c>
      <c r="E13">
        <v>-7084.6541999999999</v>
      </c>
      <c r="F13">
        <f t="shared" si="0"/>
        <v>7084.6541999999999</v>
      </c>
      <c r="S13">
        <v>23</v>
      </c>
      <c r="T13">
        <v>61320.449200000003</v>
      </c>
      <c r="U13">
        <v>46523.0144</v>
      </c>
      <c r="V13">
        <v>-14797.434800000001</v>
      </c>
      <c r="Z13">
        <v>23</v>
      </c>
      <c r="AA13">
        <v>61320.449200000003</v>
      </c>
      <c r="AB13">
        <v>62883.018100000001</v>
      </c>
      <c r="AC13">
        <v>1562.5688</v>
      </c>
      <c r="AE13">
        <v>23</v>
      </c>
      <c r="AF13">
        <v>61320.449200000003</v>
      </c>
      <c r="AG13">
        <v>42266.930200000003</v>
      </c>
      <c r="AH13">
        <v>-19053.519</v>
      </c>
    </row>
    <row r="14" spans="2:34" x14ac:dyDescent="0.3">
      <c r="B14">
        <v>24</v>
      </c>
      <c r="C14">
        <v>56907.964800000002</v>
      </c>
      <c r="D14">
        <v>53709.585500000001</v>
      </c>
      <c r="E14">
        <v>-3198.3793999999998</v>
      </c>
      <c r="F14">
        <f t="shared" si="0"/>
        <v>3198.3793999999998</v>
      </c>
      <c r="S14">
        <v>24</v>
      </c>
      <c r="T14">
        <v>56907.964800000002</v>
      </c>
      <c r="U14">
        <v>50195.479099999997</v>
      </c>
      <c r="V14">
        <v>-6712.4858000000004</v>
      </c>
      <c r="Z14">
        <v>24</v>
      </c>
      <c r="AA14">
        <v>56907.964800000002</v>
      </c>
      <c r="AB14">
        <v>57509.777699999999</v>
      </c>
      <c r="AC14">
        <v>601.81280000000004</v>
      </c>
      <c r="AE14">
        <v>24</v>
      </c>
      <c r="AF14">
        <v>56907.964800000002</v>
      </c>
      <c r="AG14">
        <v>56830.444799999997</v>
      </c>
      <c r="AH14">
        <v>-77.520099999999999</v>
      </c>
    </row>
    <row r="15" spans="2:34" x14ac:dyDescent="0.3">
      <c r="B15">
        <v>25</v>
      </c>
      <c r="C15">
        <v>46311.746099999997</v>
      </c>
      <c r="D15">
        <v>44929.974699999999</v>
      </c>
      <c r="E15">
        <v>-1381.7714000000001</v>
      </c>
      <c r="F15">
        <f t="shared" si="0"/>
        <v>1381.7714000000001</v>
      </c>
      <c r="S15">
        <v>25</v>
      </c>
      <c r="T15">
        <v>46311.746099999997</v>
      </c>
      <c r="U15">
        <v>44407.6976</v>
      </c>
      <c r="V15">
        <v>-1904.0485000000001</v>
      </c>
      <c r="Z15">
        <v>25</v>
      </c>
      <c r="AA15">
        <v>46311.746099999997</v>
      </c>
      <c r="AB15">
        <v>47544.785900000003</v>
      </c>
      <c r="AC15">
        <v>1233.0398</v>
      </c>
      <c r="AE15">
        <v>25</v>
      </c>
      <c r="AF15">
        <v>46311.746099999997</v>
      </c>
      <c r="AG15">
        <v>47949.940300000002</v>
      </c>
      <c r="AH15">
        <v>1638.1941999999999</v>
      </c>
    </row>
    <row r="16" spans="2:34" x14ac:dyDescent="0.3">
      <c r="B16">
        <v>26</v>
      </c>
      <c r="C16">
        <v>38481.765599999999</v>
      </c>
      <c r="D16">
        <v>39633.495999999999</v>
      </c>
      <c r="E16">
        <v>1151.7303999999999</v>
      </c>
      <c r="F16">
        <f t="shared" si="0"/>
        <v>1151.7303999999999</v>
      </c>
      <c r="S16">
        <v>26</v>
      </c>
      <c r="T16">
        <v>38481.765599999999</v>
      </c>
      <c r="U16">
        <v>37140.363100000002</v>
      </c>
      <c r="V16">
        <v>-1341.4025999999999</v>
      </c>
      <c r="Z16">
        <v>26</v>
      </c>
      <c r="AA16">
        <v>38481.765599999999</v>
      </c>
      <c r="AB16">
        <v>40873.347399999999</v>
      </c>
      <c r="AC16">
        <v>2391.5817999999999</v>
      </c>
      <c r="AE16">
        <v>26</v>
      </c>
      <c r="AF16">
        <v>38481.765599999999</v>
      </c>
      <c r="AG16">
        <v>38488.408600000002</v>
      </c>
      <c r="AH16">
        <v>6.6429999999999998</v>
      </c>
    </row>
    <row r="17" spans="2:34" x14ac:dyDescent="0.3">
      <c r="B17">
        <v>27</v>
      </c>
      <c r="C17">
        <v>43194.503900000003</v>
      </c>
      <c r="D17">
        <v>42070.012699999999</v>
      </c>
      <c r="E17">
        <v>-1124.4911999999999</v>
      </c>
      <c r="F17">
        <f t="shared" si="0"/>
        <v>1124.4911999999999</v>
      </c>
      <c r="S17">
        <v>27</v>
      </c>
      <c r="T17">
        <v>43194.503900000003</v>
      </c>
      <c r="U17">
        <v>31485.8966</v>
      </c>
      <c r="V17">
        <v>-11708.6073</v>
      </c>
      <c r="Z17">
        <v>27</v>
      </c>
      <c r="AA17">
        <v>43194.503900000003</v>
      </c>
      <c r="AB17">
        <v>44429.870499999997</v>
      </c>
      <c r="AC17">
        <v>1235.3666000000001</v>
      </c>
      <c r="AE17">
        <v>27</v>
      </c>
      <c r="AF17">
        <v>43194.503900000003</v>
      </c>
      <c r="AG17">
        <v>37645.701200000003</v>
      </c>
      <c r="AH17">
        <v>-5548.8027000000002</v>
      </c>
    </row>
    <row r="18" spans="2:34" x14ac:dyDescent="0.3">
      <c r="B18">
        <v>28</v>
      </c>
      <c r="C18">
        <v>45554.164100000002</v>
      </c>
      <c r="D18">
        <v>42727.052000000003</v>
      </c>
      <c r="E18">
        <v>-2827.1120000000001</v>
      </c>
      <c r="F18">
        <f t="shared" si="0"/>
        <v>2827.1120000000001</v>
      </c>
      <c r="S18">
        <v>28</v>
      </c>
      <c r="T18">
        <v>45554.164100000002</v>
      </c>
      <c r="U18">
        <v>30307.368699999999</v>
      </c>
      <c r="V18">
        <v>-15246.795400000001</v>
      </c>
      <c r="Z18">
        <v>28</v>
      </c>
      <c r="AA18">
        <v>45554.164100000002</v>
      </c>
      <c r="AB18">
        <v>49174.526899999997</v>
      </c>
      <c r="AC18">
        <v>3620.3627999999999</v>
      </c>
      <c r="AE18">
        <v>28</v>
      </c>
      <c r="AF18">
        <v>45554.164100000002</v>
      </c>
      <c r="AG18">
        <v>43351.891100000001</v>
      </c>
      <c r="AH18">
        <v>-2202.2728999999999</v>
      </c>
    </row>
    <row r="19" spans="2:34" x14ac:dyDescent="0.3">
      <c r="B19">
        <v>29</v>
      </c>
      <c r="C19">
        <v>37713.265599999999</v>
      </c>
      <c r="D19">
        <v>39281.647299999997</v>
      </c>
      <c r="E19">
        <v>1568.3816999999999</v>
      </c>
      <c r="F19">
        <f t="shared" si="0"/>
        <v>1568.3816999999999</v>
      </c>
      <c r="S19">
        <v>29</v>
      </c>
      <c r="T19">
        <v>37713.265599999999</v>
      </c>
      <c r="U19">
        <v>31025.455699999999</v>
      </c>
      <c r="V19">
        <v>-6687.8099000000002</v>
      </c>
      <c r="Z19">
        <v>29</v>
      </c>
      <c r="AA19">
        <v>37713.265599999999</v>
      </c>
      <c r="AB19">
        <v>38376.272400000002</v>
      </c>
      <c r="AC19">
        <v>663.00670000000002</v>
      </c>
      <c r="AE19">
        <v>29</v>
      </c>
      <c r="AF19">
        <v>37713.265599999999</v>
      </c>
      <c r="AG19">
        <v>37621.898800000003</v>
      </c>
      <c r="AH19">
        <v>-91.366799999999998</v>
      </c>
    </row>
    <row r="20" spans="2:34" x14ac:dyDescent="0.3">
      <c r="B20">
        <v>30</v>
      </c>
      <c r="C20">
        <v>31792.554700000001</v>
      </c>
      <c r="D20">
        <v>37064.970500000003</v>
      </c>
      <c r="E20">
        <v>5272.4159</v>
      </c>
      <c r="F20">
        <f t="shared" si="0"/>
        <v>5272.4159</v>
      </c>
      <c r="S20">
        <v>30</v>
      </c>
      <c r="T20">
        <v>31792.554700000001</v>
      </c>
      <c r="U20">
        <v>33734.589699999997</v>
      </c>
      <c r="V20">
        <v>1942.0351000000001</v>
      </c>
      <c r="Z20">
        <v>30</v>
      </c>
      <c r="AA20">
        <v>31792.554700000001</v>
      </c>
      <c r="AB20">
        <v>30966.782800000001</v>
      </c>
      <c r="AC20">
        <v>-825.77189999999996</v>
      </c>
      <c r="AE20">
        <v>30</v>
      </c>
      <c r="AF20">
        <v>31792.554700000001</v>
      </c>
      <c r="AG20">
        <v>33579.547599999998</v>
      </c>
      <c r="AH20">
        <v>1786.9929</v>
      </c>
    </row>
    <row r="21" spans="2:34" x14ac:dyDescent="0.3">
      <c r="B21">
        <v>31</v>
      </c>
      <c r="C21">
        <v>19820.470700000002</v>
      </c>
      <c r="D21">
        <v>28230.183700000001</v>
      </c>
      <c r="E21">
        <v>8409.7129999999997</v>
      </c>
      <c r="F21">
        <f t="shared" si="0"/>
        <v>8409.7129999999997</v>
      </c>
      <c r="S21">
        <v>31</v>
      </c>
      <c r="T21">
        <v>19820.470700000002</v>
      </c>
      <c r="U21">
        <v>31211.900099999999</v>
      </c>
      <c r="V21">
        <v>11391.429400000001</v>
      </c>
      <c r="Z21">
        <v>31</v>
      </c>
      <c r="AA21">
        <v>19820.470700000002</v>
      </c>
      <c r="AB21">
        <v>21689.155299999999</v>
      </c>
      <c r="AC21">
        <v>1868.6846</v>
      </c>
      <c r="AE21">
        <v>31</v>
      </c>
      <c r="AF21">
        <v>19820.470700000002</v>
      </c>
      <c r="AG21">
        <v>32794.652399999999</v>
      </c>
      <c r="AH21">
        <v>12974.181699999999</v>
      </c>
    </row>
    <row r="22" spans="2:34" x14ac:dyDescent="0.3">
      <c r="B22">
        <v>32</v>
      </c>
      <c r="C22">
        <v>23336.718799999999</v>
      </c>
      <c r="D22">
        <v>24586.650600000001</v>
      </c>
      <c r="E22">
        <v>1249.9318000000001</v>
      </c>
      <c r="F22">
        <f t="shared" si="0"/>
        <v>1249.9318000000001</v>
      </c>
      <c r="S22">
        <v>32</v>
      </c>
      <c r="T22">
        <v>23336.718799999999</v>
      </c>
      <c r="U22">
        <v>22049.160899999999</v>
      </c>
      <c r="V22">
        <v>-1287.5578</v>
      </c>
      <c r="Z22">
        <v>32</v>
      </c>
      <c r="AA22">
        <v>23336.718799999999</v>
      </c>
      <c r="AB22">
        <v>26990.408500000001</v>
      </c>
      <c r="AC22">
        <v>3653.6898000000001</v>
      </c>
      <c r="AE22">
        <v>32</v>
      </c>
      <c r="AF22">
        <v>23336.718799999999</v>
      </c>
      <c r="AG22">
        <v>23208.7405</v>
      </c>
      <c r="AH22">
        <v>-127.9782</v>
      </c>
    </row>
    <row r="23" spans="2:34" x14ac:dyDescent="0.3">
      <c r="B23">
        <v>33</v>
      </c>
      <c r="C23">
        <v>20050.498</v>
      </c>
      <c r="D23">
        <v>20109.884900000001</v>
      </c>
      <c r="E23">
        <v>59.386800000000001</v>
      </c>
      <c r="F23">
        <f t="shared" si="0"/>
        <v>59.386800000000001</v>
      </c>
      <c r="S23">
        <v>33</v>
      </c>
      <c r="T23">
        <v>20050.498</v>
      </c>
      <c r="U23">
        <v>17308.3858</v>
      </c>
      <c r="V23">
        <v>-2742.1122</v>
      </c>
      <c r="Z23">
        <v>33</v>
      </c>
      <c r="AA23">
        <v>20050.498</v>
      </c>
      <c r="AB23">
        <v>21596.0612</v>
      </c>
      <c r="AC23">
        <v>1545.5631000000001</v>
      </c>
      <c r="AE23">
        <v>33</v>
      </c>
      <c r="AF23">
        <v>20050.498</v>
      </c>
      <c r="AG23">
        <v>20024.660899999999</v>
      </c>
      <c r="AH23">
        <v>-25.8371</v>
      </c>
    </row>
    <row r="24" spans="2:34" x14ac:dyDescent="0.3">
      <c r="B24">
        <v>34</v>
      </c>
      <c r="C24">
        <v>19431.105500000001</v>
      </c>
      <c r="D24">
        <v>20921.736199999999</v>
      </c>
      <c r="E24">
        <v>1490.6306999999999</v>
      </c>
      <c r="F24">
        <f t="shared" si="0"/>
        <v>1490.6306999999999</v>
      </c>
      <c r="S24">
        <v>34</v>
      </c>
      <c r="T24">
        <v>19431.105500000001</v>
      </c>
      <c r="U24">
        <v>17111.642100000001</v>
      </c>
      <c r="V24">
        <v>-2319.4634000000001</v>
      </c>
      <c r="Z24">
        <v>34</v>
      </c>
      <c r="AA24">
        <v>19431.105500000001</v>
      </c>
      <c r="AB24">
        <v>20876.750499999998</v>
      </c>
      <c r="AC24">
        <v>1445.645</v>
      </c>
      <c r="AE24">
        <v>34</v>
      </c>
      <c r="AF24">
        <v>19431.105500000001</v>
      </c>
      <c r="AG24">
        <v>20516.940399999999</v>
      </c>
      <c r="AH24">
        <v>1085.8349000000001</v>
      </c>
    </row>
    <row r="25" spans="2:34" x14ac:dyDescent="0.3">
      <c r="B25">
        <v>35</v>
      </c>
      <c r="C25">
        <v>20494.898399999998</v>
      </c>
      <c r="D25">
        <v>20133.0707</v>
      </c>
      <c r="E25">
        <v>-361.82780000000002</v>
      </c>
      <c r="F25">
        <f t="shared" si="0"/>
        <v>361.82780000000002</v>
      </c>
      <c r="S25">
        <v>35</v>
      </c>
      <c r="T25">
        <v>20494.898399999998</v>
      </c>
      <c r="U25">
        <v>12632.9154</v>
      </c>
      <c r="V25">
        <v>-7861.9831000000004</v>
      </c>
      <c r="Z25">
        <v>35</v>
      </c>
      <c r="AA25">
        <v>20494.898399999998</v>
      </c>
      <c r="AB25">
        <v>20419.2821</v>
      </c>
      <c r="AC25">
        <v>-75.616299999999995</v>
      </c>
      <c r="AE25">
        <v>35</v>
      </c>
      <c r="AF25">
        <v>20494.898399999998</v>
      </c>
      <c r="AG25">
        <v>17997.631399999998</v>
      </c>
      <c r="AH25">
        <v>-2497.2671</v>
      </c>
    </row>
    <row r="26" spans="2:34" x14ac:dyDescent="0.3">
      <c r="B26">
        <v>36</v>
      </c>
      <c r="C26">
        <v>17168.002</v>
      </c>
      <c r="D26">
        <v>19014.504400000002</v>
      </c>
      <c r="E26">
        <v>1846.5025000000001</v>
      </c>
      <c r="F26">
        <f t="shared" si="0"/>
        <v>1846.5025000000001</v>
      </c>
      <c r="S26">
        <v>36</v>
      </c>
      <c r="T26">
        <v>17168.002</v>
      </c>
      <c r="U26">
        <v>15364.284600000001</v>
      </c>
      <c r="V26">
        <v>-1803.7174</v>
      </c>
      <c r="Z26">
        <v>36</v>
      </c>
      <c r="AA26">
        <v>17168.002</v>
      </c>
      <c r="AB26">
        <v>18162.605100000001</v>
      </c>
      <c r="AC26">
        <v>994.60310000000004</v>
      </c>
      <c r="AE26">
        <v>36</v>
      </c>
      <c r="AF26">
        <v>17168.002</v>
      </c>
      <c r="AG26">
        <v>18770.290300000001</v>
      </c>
      <c r="AH26">
        <v>1602.2882999999999</v>
      </c>
    </row>
    <row r="27" spans="2:34" x14ac:dyDescent="0.3">
      <c r="B27">
        <v>37</v>
      </c>
      <c r="C27">
        <v>16547.914100000002</v>
      </c>
      <c r="D27">
        <v>18807.179199999999</v>
      </c>
      <c r="E27">
        <v>2259.2651999999998</v>
      </c>
      <c r="F27">
        <f t="shared" si="0"/>
        <v>2259.2651999999998</v>
      </c>
      <c r="S27">
        <v>37</v>
      </c>
      <c r="T27">
        <v>16547.914100000002</v>
      </c>
      <c r="U27">
        <v>17057.702099999999</v>
      </c>
      <c r="V27">
        <v>509.78800000000001</v>
      </c>
      <c r="Z27">
        <v>37</v>
      </c>
      <c r="AA27">
        <v>16547.914100000002</v>
      </c>
      <c r="AB27">
        <v>20066.298200000001</v>
      </c>
      <c r="AC27">
        <v>3518.3842</v>
      </c>
      <c r="AE27">
        <v>37</v>
      </c>
      <c r="AF27">
        <v>16547.914100000002</v>
      </c>
      <c r="AG27">
        <v>16975.284299999999</v>
      </c>
      <c r="AH27">
        <v>427.37029999999999</v>
      </c>
    </row>
    <row r="28" spans="2:34" x14ac:dyDescent="0.3">
      <c r="B28">
        <v>38</v>
      </c>
      <c r="C28">
        <v>23137.835899999998</v>
      </c>
      <c r="D28">
        <v>23197.661800000002</v>
      </c>
      <c r="E28">
        <v>59.825899999999997</v>
      </c>
      <c r="F28">
        <f t="shared" si="0"/>
        <v>59.825899999999997</v>
      </c>
      <c r="S28">
        <v>38</v>
      </c>
      <c r="T28">
        <v>23137.835899999998</v>
      </c>
      <c r="U28">
        <v>18847.066299999999</v>
      </c>
      <c r="V28">
        <v>-4290.7695999999996</v>
      </c>
      <c r="Z28">
        <v>38</v>
      </c>
      <c r="AA28">
        <v>23137.835899999998</v>
      </c>
      <c r="AB28">
        <v>25760.636600000002</v>
      </c>
      <c r="AC28">
        <v>2622.8006</v>
      </c>
      <c r="AE28">
        <v>38</v>
      </c>
      <c r="AF28">
        <v>23137.835899999998</v>
      </c>
      <c r="AG28">
        <v>17516.062600000001</v>
      </c>
      <c r="AH28">
        <v>-5621.7732999999998</v>
      </c>
    </row>
    <row r="29" spans="2:34" x14ac:dyDescent="0.3">
      <c r="B29">
        <v>39</v>
      </c>
      <c r="C29">
        <v>23150.929700000001</v>
      </c>
      <c r="D29">
        <v>23158.320899999999</v>
      </c>
      <c r="E29">
        <v>7.3912000000000004</v>
      </c>
      <c r="F29">
        <f t="shared" si="0"/>
        <v>7.3912000000000004</v>
      </c>
      <c r="S29">
        <v>39</v>
      </c>
      <c r="T29">
        <v>23150.929700000001</v>
      </c>
      <c r="U29">
        <v>21197.165799999999</v>
      </c>
      <c r="V29">
        <v>-1953.7637999999999</v>
      </c>
      <c r="Z29">
        <v>39</v>
      </c>
      <c r="AA29">
        <v>23150.929700000001</v>
      </c>
      <c r="AB29">
        <v>27149.996800000001</v>
      </c>
      <c r="AC29">
        <v>3999.0671000000002</v>
      </c>
      <c r="AE29">
        <v>39</v>
      </c>
      <c r="AF29">
        <v>23150.929700000001</v>
      </c>
      <c r="AG29">
        <v>23050.819899999999</v>
      </c>
      <c r="AH29">
        <v>-100.10980000000001</v>
      </c>
    </row>
    <row r="30" spans="2:34" x14ac:dyDescent="0.3">
      <c r="B30">
        <v>40</v>
      </c>
      <c r="C30">
        <v>28473.331999999999</v>
      </c>
      <c r="D30">
        <v>26649.2179</v>
      </c>
      <c r="E30">
        <v>-1824.1142</v>
      </c>
      <c r="F30">
        <f t="shared" si="0"/>
        <v>1824.1142</v>
      </c>
      <c r="S30">
        <v>40</v>
      </c>
      <c r="T30">
        <v>28473.331999999999</v>
      </c>
      <c r="U30">
        <v>23432.2192</v>
      </c>
      <c r="V30">
        <v>-5041.1127999999999</v>
      </c>
      <c r="Z30">
        <v>40</v>
      </c>
      <c r="AA30">
        <v>28473.331999999999</v>
      </c>
      <c r="AB30">
        <v>30262.448</v>
      </c>
      <c r="AC30">
        <v>1789.116</v>
      </c>
      <c r="AE30">
        <v>40</v>
      </c>
      <c r="AF30">
        <v>28473.331999999999</v>
      </c>
      <c r="AG30">
        <v>23005.560099999999</v>
      </c>
      <c r="AH30">
        <v>-5467.7718999999997</v>
      </c>
    </row>
    <row r="31" spans="2:34" x14ac:dyDescent="0.3">
      <c r="B31">
        <v>41</v>
      </c>
      <c r="C31">
        <v>29227.103500000001</v>
      </c>
      <c r="D31">
        <v>28644.4954</v>
      </c>
      <c r="E31">
        <v>-582.60810000000004</v>
      </c>
      <c r="F31">
        <f t="shared" si="0"/>
        <v>582.60810000000004</v>
      </c>
      <c r="S31">
        <v>41</v>
      </c>
      <c r="T31">
        <v>29227.103500000001</v>
      </c>
      <c r="U31">
        <v>30844.301200000002</v>
      </c>
      <c r="V31">
        <v>1617.1976999999999</v>
      </c>
      <c r="Z31">
        <v>41</v>
      </c>
      <c r="AA31">
        <v>29227.103500000001</v>
      </c>
      <c r="AB31">
        <v>33247.688099999999</v>
      </c>
      <c r="AC31">
        <v>4020.5846000000001</v>
      </c>
      <c r="AE31">
        <v>41</v>
      </c>
      <c r="AF31">
        <v>29227.103500000001</v>
      </c>
      <c r="AG31">
        <v>29463.130700000002</v>
      </c>
      <c r="AH31">
        <v>236.02719999999999</v>
      </c>
    </row>
    <row r="32" spans="2:34" x14ac:dyDescent="0.3">
      <c r="B32">
        <v>42</v>
      </c>
      <c r="C32">
        <v>27218.412100000001</v>
      </c>
      <c r="D32">
        <v>27124.383399999999</v>
      </c>
      <c r="E32">
        <v>-94.028700000000001</v>
      </c>
      <c r="F32">
        <f t="shared" si="0"/>
        <v>94.028700000000001</v>
      </c>
      <c r="S32">
        <v>42</v>
      </c>
      <c r="T32">
        <v>27218.412100000001</v>
      </c>
      <c r="U32">
        <v>35193.0789</v>
      </c>
      <c r="V32">
        <v>7974.6668</v>
      </c>
      <c r="Z32">
        <v>42</v>
      </c>
      <c r="AA32">
        <v>27218.412100000001</v>
      </c>
      <c r="AB32">
        <v>29313.309499999999</v>
      </c>
      <c r="AC32">
        <v>2094.8973999999998</v>
      </c>
      <c r="AE32">
        <v>42</v>
      </c>
      <c r="AF32">
        <v>27218.412100000001</v>
      </c>
      <c r="AG32">
        <v>30486.84</v>
      </c>
      <c r="AH32">
        <v>3268.4279000000001</v>
      </c>
    </row>
    <row r="33" spans="2:34" x14ac:dyDescent="0.3">
      <c r="B33">
        <v>43</v>
      </c>
      <c r="C33">
        <v>30471.847699999998</v>
      </c>
      <c r="D33">
        <v>30266.625700000001</v>
      </c>
      <c r="E33">
        <v>-205.22190000000001</v>
      </c>
      <c r="F33">
        <f t="shared" si="0"/>
        <v>205.22190000000001</v>
      </c>
      <c r="S33">
        <v>43</v>
      </c>
      <c r="T33">
        <v>30471.847699999998</v>
      </c>
      <c r="U33">
        <v>39902.967199999999</v>
      </c>
      <c r="V33">
        <v>9431.1195000000007</v>
      </c>
      <c r="Z33">
        <v>43</v>
      </c>
      <c r="AA33">
        <v>30471.847699999998</v>
      </c>
      <c r="AB33">
        <v>31593.9107</v>
      </c>
      <c r="AC33">
        <v>1122.0630000000001</v>
      </c>
      <c r="AE33">
        <v>43</v>
      </c>
      <c r="AF33">
        <v>30471.847699999998</v>
      </c>
      <c r="AG33">
        <v>33972.938199999997</v>
      </c>
      <c r="AH33">
        <v>3501.0906</v>
      </c>
    </row>
    <row r="34" spans="2:34" x14ac:dyDescent="0.3">
      <c r="B34">
        <v>44</v>
      </c>
      <c r="C34">
        <v>29230.873</v>
      </c>
      <c r="D34">
        <v>29339.1083</v>
      </c>
      <c r="E34">
        <v>108.23520000000001</v>
      </c>
      <c r="F34">
        <f t="shared" si="0"/>
        <v>108.23520000000001</v>
      </c>
      <c r="S34">
        <v>44</v>
      </c>
      <c r="T34">
        <v>29230.873</v>
      </c>
      <c r="U34">
        <v>40136.449099999998</v>
      </c>
      <c r="V34">
        <v>10905.5761</v>
      </c>
      <c r="Z34">
        <v>44</v>
      </c>
      <c r="AA34">
        <v>29230.873</v>
      </c>
      <c r="AB34">
        <v>28639.267400000001</v>
      </c>
      <c r="AC34">
        <v>-591.60569999999996</v>
      </c>
      <c r="AE34">
        <v>44</v>
      </c>
      <c r="AF34">
        <v>29230.873</v>
      </c>
      <c r="AG34">
        <v>34472.178200000002</v>
      </c>
      <c r="AH34">
        <v>5241.3050999999996</v>
      </c>
    </row>
    <row r="35" spans="2:34" x14ac:dyDescent="0.3">
      <c r="B35">
        <v>45</v>
      </c>
      <c r="C35">
        <v>25934.021499999999</v>
      </c>
      <c r="D35">
        <v>27749.089400000001</v>
      </c>
      <c r="E35">
        <v>1815.0679</v>
      </c>
      <c r="F35">
        <f t="shared" si="0"/>
        <v>1815.0679</v>
      </c>
      <c r="S35">
        <v>45</v>
      </c>
      <c r="T35">
        <v>25934.021499999999</v>
      </c>
      <c r="U35">
        <v>41843.4378</v>
      </c>
      <c r="V35">
        <v>15909.4164</v>
      </c>
      <c r="Z35">
        <v>45</v>
      </c>
      <c r="AA35">
        <v>25934.021499999999</v>
      </c>
      <c r="AB35">
        <v>25427.356199999998</v>
      </c>
      <c r="AC35">
        <v>-506.66520000000003</v>
      </c>
      <c r="AE35">
        <v>45</v>
      </c>
      <c r="AF35">
        <v>25934.021499999999</v>
      </c>
      <c r="AG35">
        <v>35209.321799999998</v>
      </c>
      <c r="AH35">
        <v>9275.3003000000008</v>
      </c>
    </row>
    <row r="36" spans="2:34" x14ac:dyDescent="0.3">
      <c r="B36">
        <v>46</v>
      </c>
      <c r="C36">
        <v>26967.396499999999</v>
      </c>
      <c r="D36">
        <v>28877.090199999999</v>
      </c>
      <c r="E36">
        <v>1909.6937</v>
      </c>
      <c r="F36">
        <f t="shared" si="0"/>
        <v>1909.6937</v>
      </c>
      <c r="S36">
        <v>46</v>
      </c>
      <c r="T36">
        <v>26967.396499999999</v>
      </c>
      <c r="U36">
        <v>41256.2592</v>
      </c>
      <c r="V36">
        <v>14288.8627</v>
      </c>
      <c r="Z36">
        <v>46</v>
      </c>
      <c r="AA36">
        <v>26967.396499999999</v>
      </c>
      <c r="AB36">
        <v>30838.048500000001</v>
      </c>
      <c r="AC36">
        <v>3870.652</v>
      </c>
      <c r="AE36">
        <v>46</v>
      </c>
      <c r="AF36">
        <v>26967.396499999999</v>
      </c>
      <c r="AG36">
        <v>33694.624799999998</v>
      </c>
      <c r="AH36">
        <v>6727.2282999999998</v>
      </c>
    </row>
    <row r="37" spans="2:34" x14ac:dyDescent="0.3">
      <c r="B37">
        <v>47</v>
      </c>
      <c r="C37">
        <v>34657.273399999998</v>
      </c>
      <c r="D37">
        <v>32850.315999999999</v>
      </c>
      <c r="E37">
        <v>-1806.9575</v>
      </c>
      <c r="F37">
        <f t="shared" si="0"/>
        <v>1806.9575</v>
      </c>
      <c r="S37">
        <v>47</v>
      </c>
      <c r="T37">
        <v>34657.273399999998</v>
      </c>
      <c r="U37">
        <v>40820.3053</v>
      </c>
      <c r="V37">
        <v>6163.0319</v>
      </c>
      <c r="Z37">
        <v>47</v>
      </c>
      <c r="AA37">
        <v>34657.273399999998</v>
      </c>
      <c r="AB37">
        <v>35639.252200000003</v>
      </c>
      <c r="AC37">
        <v>981.9787</v>
      </c>
      <c r="AE37">
        <v>47</v>
      </c>
      <c r="AF37">
        <v>34657.273399999998</v>
      </c>
      <c r="AG37">
        <v>34047.120300000002</v>
      </c>
      <c r="AH37">
        <v>-610.15309999999999</v>
      </c>
    </row>
    <row r="38" spans="2:34" x14ac:dyDescent="0.3">
      <c r="B38">
        <v>48</v>
      </c>
      <c r="C38">
        <v>37718.007799999999</v>
      </c>
      <c r="D38">
        <v>38084.326200000003</v>
      </c>
      <c r="E38">
        <v>366.3184</v>
      </c>
      <c r="F38">
        <f t="shared" si="0"/>
        <v>366.3184</v>
      </c>
      <c r="S38">
        <v>48</v>
      </c>
      <c r="T38">
        <v>37718.007799999999</v>
      </c>
      <c r="U38">
        <v>44603.127399999998</v>
      </c>
      <c r="V38">
        <v>6885.1196</v>
      </c>
      <c r="Z38">
        <v>48</v>
      </c>
      <c r="AA38">
        <v>37718.007799999999</v>
      </c>
      <c r="AB38">
        <v>38750.736900000004</v>
      </c>
      <c r="AC38">
        <v>1032.7291</v>
      </c>
      <c r="AE38">
        <v>48</v>
      </c>
      <c r="AF38">
        <v>37718.007799999999</v>
      </c>
      <c r="AG38">
        <v>40377.923199999997</v>
      </c>
      <c r="AH38">
        <v>2659.9153999999999</v>
      </c>
    </row>
    <row r="39" spans="2:34" x14ac:dyDescent="0.3">
      <c r="B39">
        <v>49</v>
      </c>
      <c r="C39">
        <v>42280.234400000001</v>
      </c>
      <c r="D39">
        <v>40819.020600000003</v>
      </c>
      <c r="E39">
        <v>-1461.2138</v>
      </c>
      <c r="F39">
        <f t="shared" si="0"/>
        <v>1461.2138</v>
      </c>
      <c r="S39">
        <v>49</v>
      </c>
      <c r="T39">
        <v>42280.234400000001</v>
      </c>
      <c r="U39">
        <v>45900.481800000001</v>
      </c>
      <c r="V39">
        <v>3620.2474000000002</v>
      </c>
      <c r="Z39">
        <v>49</v>
      </c>
      <c r="AA39">
        <v>42280.234400000001</v>
      </c>
      <c r="AB39">
        <v>46612.900699999998</v>
      </c>
      <c r="AC39">
        <v>4332.6662999999999</v>
      </c>
      <c r="AE39">
        <v>49</v>
      </c>
      <c r="AF39">
        <v>42280.234400000001</v>
      </c>
      <c r="AG39">
        <v>42278.420299999998</v>
      </c>
      <c r="AH39">
        <v>-1.8141</v>
      </c>
    </row>
    <row r="40" spans="2:34" x14ac:dyDescent="0.3">
      <c r="B40">
        <v>50</v>
      </c>
      <c r="C40">
        <v>42569.761700000003</v>
      </c>
      <c r="D40">
        <v>45745.782800000001</v>
      </c>
      <c r="E40">
        <v>3176.0210999999999</v>
      </c>
      <c r="F40">
        <f t="shared" si="0"/>
        <v>3176.0210999999999</v>
      </c>
      <c r="S40">
        <v>50</v>
      </c>
      <c r="T40">
        <v>42569.761700000003</v>
      </c>
      <c r="U40">
        <v>45082.859799999998</v>
      </c>
      <c r="V40">
        <v>2513.0981000000002</v>
      </c>
      <c r="Z40">
        <v>50</v>
      </c>
      <c r="AA40">
        <v>42569.761700000003</v>
      </c>
      <c r="AB40">
        <v>45895.2238</v>
      </c>
      <c r="AC40">
        <v>3325.462</v>
      </c>
      <c r="AE40">
        <v>50</v>
      </c>
      <c r="AF40">
        <v>42569.761700000003</v>
      </c>
      <c r="AG40">
        <v>42440.589599999999</v>
      </c>
      <c r="AH40">
        <v>-129.1721</v>
      </c>
    </row>
    <row r="41" spans="2:34" x14ac:dyDescent="0.3">
      <c r="B41">
        <v>51</v>
      </c>
      <c r="C41">
        <v>61168.0625</v>
      </c>
      <c r="D41">
        <v>57285.6446</v>
      </c>
      <c r="E41">
        <v>-3882.4178999999999</v>
      </c>
      <c r="F41">
        <f t="shared" si="0"/>
        <v>3882.4178999999999</v>
      </c>
      <c r="S41">
        <v>51</v>
      </c>
      <c r="T41">
        <v>61168.0625</v>
      </c>
      <c r="U41">
        <v>46216.322099999998</v>
      </c>
      <c r="V41">
        <v>-14951.740400000001</v>
      </c>
      <c r="Z41">
        <v>51</v>
      </c>
      <c r="AA41">
        <v>61168.0625</v>
      </c>
      <c r="AB41">
        <v>61984.862699999998</v>
      </c>
      <c r="AC41">
        <v>816.80020000000002</v>
      </c>
      <c r="AE41">
        <v>51</v>
      </c>
      <c r="AF41">
        <v>61168.0625</v>
      </c>
      <c r="AG41">
        <v>44483.7958</v>
      </c>
      <c r="AH41">
        <v>-16684.2667</v>
      </c>
    </row>
    <row r="42" spans="2:34" x14ac:dyDescent="0.3">
      <c r="B42">
        <v>52</v>
      </c>
      <c r="C42">
        <v>71333.484400000001</v>
      </c>
      <c r="D42">
        <v>67354.626999999993</v>
      </c>
      <c r="E42">
        <v>-3978.8573999999999</v>
      </c>
      <c r="F42">
        <f t="shared" si="0"/>
        <v>3978.8573999999999</v>
      </c>
      <c r="S42">
        <v>52</v>
      </c>
      <c r="T42">
        <v>71333.484400000001</v>
      </c>
      <c r="U42">
        <v>52771.548300000002</v>
      </c>
      <c r="V42">
        <v>-18561.936000000002</v>
      </c>
      <c r="Z42">
        <v>52</v>
      </c>
      <c r="AA42">
        <v>71333.484400000001</v>
      </c>
      <c r="AB42">
        <v>73725.695099999997</v>
      </c>
      <c r="AC42">
        <v>2392.2107999999998</v>
      </c>
      <c r="AE42">
        <v>52</v>
      </c>
      <c r="AF42">
        <v>71333.484400000001</v>
      </c>
      <c r="AG42">
        <v>57524.443599999999</v>
      </c>
      <c r="AH42">
        <v>-13809.0407</v>
      </c>
    </row>
    <row r="43" spans="2:34" x14ac:dyDescent="0.3">
      <c r="B43">
        <v>53</v>
      </c>
      <c r="C43">
        <v>60609.496099999997</v>
      </c>
      <c r="D43">
        <v>62528.359799999998</v>
      </c>
      <c r="E43">
        <v>1918.8637000000001</v>
      </c>
      <c r="F43">
        <f t="shared" si="0"/>
        <v>1918.8637000000001</v>
      </c>
      <c r="S43">
        <v>53</v>
      </c>
      <c r="T43">
        <v>60609.496099999997</v>
      </c>
      <c r="U43">
        <v>59612.125500000002</v>
      </c>
      <c r="V43">
        <v>-997.37059999999997</v>
      </c>
      <c r="Z43">
        <v>53</v>
      </c>
      <c r="AA43">
        <v>60609.496099999997</v>
      </c>
      <c r="AB43">
        <v>61760.697399999997</v>
      </c>
      <c r="AC43">
        <v>1151.2012999999999</v>
      </c>
      <c r="AE43">
        <v>53</v>
      </c>
      <c r="AF43">
        <v>60609.496099999997</v>
      </c>
      <c r="AG43">
        <v>62830.651100000003</v>
      </c>
      <c r="AH43">
        <v>2221.1550000000002</v>
      </c>
    </row>
    <row r="44" spans="2:34" x14ac:dyDescent="0.3">
      <c r="B44">
        <v>54</v>
      </c>
      <c r="C44">
        <v>67489.609400000001</v>
      </c>
      <c r="D44">
        <v>65305.807099999998</v>
      </c>
      <c r="E44">
        <v>-2183.8022999999998</v>
      </c>
      <c r="F44">
        <f t="shared" si="0"/>
        <v>2183.8022999999998</v>
      </c>
      <c r="S44">
        <v>54</v>
      </c>
      <c r="T44">
        <v>67489.609400000001</v>
      </c>
      <c r="U44">
        <v>58782.258999999998</v>
      </c>
      <c r="V44">
        <v>-8707.3503000000001</v>
      </c>
      <c r="Z44">
        <v>54</v>
      </c>
      <c r="AA44">
        <v>67489.609400000001</v>
      </c>
      <c r="AB44">
        <v>69745.542499999996</v>
      </c>
      <c r="AC44">
        <v>2255.9331000000002</v>
      </c>
      <c r="AE44">
        <v>54</v>
      </c>
      <c r="AF44">
        <v>67489.609400000001</v>
      </c>
      <c r="AG44">
        <v>56413.539499999999</v>
      </c>
      <c r="AH44">
        <v>-11076.0699</v>
      </c>
    </row>
    <row r="45" spans="2:34" x14ac:dyDescent="0.3">
      <c r="B45">
        <v>55</v>
      </c>
      <c r="C45">
        <v>62673.605499999998</v>
      </c>
      <c r="D45">
        <v>62587.965799999998</v>
      </c>
      <c r="E45">
        <v>-85.639700000000005</v>
      </c>
      <c r="F45">
        <f t="shared" si="0"/>
        <v>85.639700000000005</v>
      </c>
      <c r="S45">
        <v>55</v>
      </c>
      <c r="T45">
        <v>62673.605499999998</v>
      </c>
      <c r="U45">
        <v>61300.263800000001</v>
      </c>
      <c r="V45">
        <v>-1373.3416999999999</v>
      </c>
      <c r="Z45">
        <v>55</v>
      </c>
      <c r="AA45">
        <v>62673.605499999998</v>
      </c>
      <c r="AB45">
        <v>65170.650699999998</v>
      </c>
      <c r="AC45">
        <v>2497.0453000000002</v>
      </c>
      <c r="AE45">
        <v>55</v>
      </c>
      <c r="AF45">
        <v>62673.605499999998</v>
      </c>
      <c r="AG45">
        <v>62771.590199999999</v>
      </c>
      <c r="AH45">
        <v>97.984700000000004</v>
      </c>
    </row>
    <row r="46" spans="2:34" x14ac:dyDescent="0.3">
      <c r="B46">
        <v>56</v>
      </c>
      <c r="C46">
        <v>64625.839800000002</v>
      </c>
      <c r="D46">
        <v>63326.4761</v>
      </c>
      <c r="E46">
        <v>-1299.3637000000001</v>
      </c>
      <c r="F46">
        <f t="shared" si="0"/>
        <v>1299.3637000000001</v>
      </c>
      <c r="S46">
        <v>56</v>
      </c>
      <c r="T46">
        <v>64625.839800000002</v>
      </c>
      <c r="U46">
        <v>59568.673300000002</v>
      </c>
      <c r="V46">
        <v>-5057.1665999999996</v>
      </c>
      <c r="Z46">
        <v>56</v>
      </c>
      <c r="AA46">
        <v>64625.839800000002</v>
      </c>
      <c r="AB46">
        <v>65782.130300000004</v>
      </c>
      <c r="AC46">
        <v>1156.2904000000001</v>
      </c>
      <c r="AE46">
        <v>56</v>
      </c>
      <c r="AF46">
        <v>64625.839800000002</v>
      </c>
      <c r="AG46">
        <v>60750.712200000002</v>
      </c>
      <c r="AH46">
        <v>-3875.1275999999998</v>
      </c>
    </row>
    <row r="47" spans="2:34" x14ac:dyDescent="0.3">
      <c r="B47">
        <v>57</v>
      </c>
      <c r="C47">
        <v>58969.800799999997</v>
      </c>
      <c r="D47">
        <v>60615.266600000003</v>
      </c>
      <c r="E47">
        <v>1645.4657999999999</v>
      </c>
      <c r="F47">
        <f t="shared" si="0"/>
        <v>1645.4657999999999</v>
      </c>
      <c r="S47">
        <v>57</v>
      </c>
      <c r="T47">
        <v>58969.800799999997</v>
      </c>
      <c r="U47">
        <v>58545.358500000002</v>
      </c>
      <c r="V47">
        <v>-424.44229999999999</v>
      </c>
      <c r="Z47">
        <v>57</v>
      </c>
      <c r="AA47">
        <v>58969.800799999997</v>
      </c>
      <c r="AB47">
        <v>61270.540800000002</v>
      </c>
      <c r="AC47">
        <v>2300.7401</v>
      </c>
      <c r="AE47">
        <v>57</v>
      </c>
      <c r="AF47">
        <v>58969.800799999997</v>
      </c>
      <c r="AG47">
        <v>59008.226300000002</v>
      </c>
      <c r="AH47">
        <v>38.4255</v>
      </c>
    </row>
  </sheetData>
  <conditionalFormatting sqref="I2:I5">
    <cfRule type="dataBar" priority="1">
      <dataBar>
        <cfvo type="min"/>
        <cfvo type="max"/>
        <color rgb="FFFFB628"/>
      </dataBar>
      <extLst>
        <ext xmlns:x14="http://schemas.microsoft.com/office/spreadsheetml/2009/9/main" uri="{B025F937-C7B1-47D3-B67F-A62EFF666E3E}">
          <x14:id>{868BB317-C50E-4DBF-933A-BC4BFAD30194}</x14:id>
        </ext>
      </extLst>
    </cfRule>
  </conditionalFormatting>
  <conditionalFormatting sqref="J2:J5">
    <cfRule type="dataBar" priority="2">
      <dataBar>
        <cfvo type="min"/>
        <cfvo type="max"/>
        <color rgb="FF008AEF"/>
      </dataBar>
      <extLst>
        <ext xmlns:x14="http://schemas.microsoft.com/office/spreadsheetml/2009/9/main" uri="{B025F937-C7B1-47D3-B67F-A62EFF666E3E}">
          <x14:id>{04589BD9-3A07-448D-9258-136606C12A4E}</x14:id>
        </ext>
      </extLst>
    </cfRule>
  </conditionalFormatting>
  <conditionalFormatting sqref="M2:M5">
    <cfRule type="dataBar" priority="3">
      <dataBar>
        <cfvo type="min"/>
        <cfvo type="max"/>
        <color rgb="FFFFB628"/>
      </dataBar>
      <extLst>
        <ext xmlns:x14="http://schemas.microsoft.com/office/spreadsheetml/2009/9/main" uri="{B025F937-C7B1-47D3-B67F-A62EFF666E3E}">
          <x14:id>{60D2B57B-7690-42A9-A29C-8213A66DD417}</x14:id>
        </ext>
      </extLst>
    </cfRule>
  </conditionalFormatting>
  <conditionalFormatting sqref="N2:N5">
    <cfRule type="dataBar" priority="4">
      <dataBar>
        <cfvo type="min"/>
        <cfvo type="max"/>
        <color rgb="FF008AEF"/>
      </dataBar>
      <extLst>
        <ext xmlns:x14="http://schemas.microsoft.com/office/spreadsheetml/2009/9/main" uri="{B025F937-C7B1-47D3-B67F-A62EFF666E3E}">
          <x14:id>{67226A46-BB95-43B9-BA20-221D372C35B2}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68BB317-C50E-4DBF-933A-BC4BFAD30194}">
            <x14:dataBar minLength="0" maxLength="100" border="1" negativeBarBorderColorSameAsPositive="0">
              <x14:cfvo type="autoMin"/>
              <x14:cfvo type="autoMax"/>
              <x14:borderColor rgb="FFFFB628"/>
              <x14:negativeFillColor rgb="FFFF0000"/>
              <x14:negativeBorderColor rgb="FFFF0000"/>
              <x14:axisColor rgb="FF000000"/>
            </x14:dataBar>
          </x14:cfRule>
          <xm:sqref>I2:I5</xm:sqref>
        </x14:conditionalFormatting>
        <x14:conditionalFormatting xmlns:xm="http://schemas.microsoft.com/office/excel/2006/main">
          <x14:cfRule type="dataBar" id="{04589BD9-3A07-448D-9258-136606C12A4E}">
            <x14:dataBar minLength="0" maxLength="100" border="1" negativeBarBorderColorSameAsPositive="0">
              <x14:cfvo type="autoMin"/>
              <x14:cfvo type="autoMax"/>
              <x14:borderColor rgb="FF008AEF"/>
              <x14:negativeFillColor rgb="FFFF0000"/>
              <x14:negativeBorderColor rgb="FFFF0000"/>
              <x14:axisColor rgb="FF000000"/>
            </x14:dataBar>
          </x14:cfRule>
          <xm:sqref>J2:J5</xm:sqref>
        </x14:conditionalFormatting>
        <x14:conditionalFormatting xmlns:xm="http://schemas.microsoft.com/office/excel/2006/main">
          <x14:cfRule type="dataBar" id="{60D2B57B-7690-42A9-A29C-8213A66DD417}">
            <x14:dataBar minLength="0" maxLength="100" border="1" negativeBarBorderColorSameAsPositive="0">
              <x14:cfvo type="autoMin"/>
              <x14:cfvo type="autoMax"/>
              <x14:borderColor rgb="FFFFB628"/>
              <x14:negativeFillColor rgb="FFFF0000"/>
              <x14:negativeBorderColor rgb="FFFF0000"/>
              <x14:axisColor rgb="FF000000"/>
            </x14:dataBar>
          </x14:cfRule>
          <xm:sqref>M2:M5</xm:sqref>
        </x14:conditionalFormatting>
        <x14:conditionalFormatting xmlns:xm="http://schemas.microsoft.com/office/excel/2006/main">
          <x14:cfRule type="dataBar" id="{67226A46-BB95-43B9-BA20-221D372C35B2}">
            <x14:dataBar minLength="0" maxLength="100" border="1" negativeBarBorderColorSameAsPositive="0">
              <x14:cfvo type="autoMin"/>
              <x14:cfvo type="autoMax"/>
              <x14:borderColor rgb="FF008AEF"/>
              <x14:negativeFillColor rgb="FFFF0000"/>
              <x14:negativeBorderColor rgb="FFFF0000"/>
              <x14:axisColor rgb="FF000000"/>
            </x14:dataBar>
          </x14:cfRule>
          <xm:sqref>N2:N5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F4ADC-715A-4041-8BDB-C1843F1E4B3B}">
  <dimension ref="A1:G58"/>
  <sheetViews>
    <sheetView workbookViewId="0"/>
  </sheetViews>
  <sheetFormatPr baseColWidth="10" defaultRowHeight="14.4" x14ac:dyDescent="0.3"/>
  <cols>
    <col min="2" max="6" width="11.6640625" style="2" bestFit="1" customWidth="1"/>
    <col min="7" max="7" width="20.21875" style="2" bestFit="1" customWidth="1"/>
  </cols>
  <sheetData>
    <row r="1" spans="1:7" x14ac:dyDescent="0.3">
      <c r="A1" t="s">
        <v>0</v>
      </c>
      <c r="B1" s="2" t="s">
        <v>1</v>
      </c>
      <c r="C1" s="2" t="s">
        <v>2</v>
      </c>
      <c r="D1" s="2" t="s">
        <v>3</v>
      </c>
      <c r="E1" s="2" t="s">
        <v>4</v>
      </c>
      <c r="F1" s="2" t="s">
        <v>5</v>
      </c>
      <c r="G1" s="2" t="s">
        <v>6</v>
      </c>
    </row>
    <row r="2" spans="1:7" x14ac:dyDescent="0.3">
      <c r="A2" s="1">
        <v>43831</v>
      </c>
      <c r="B2" s="2">
        <v>7194.8920900000003</v>
      </c>
      <c r="C2" s="2">
        <v>9553.1259769999997</v>
      </c>
      <c r="D2" s="2">
        <v>6914.9960940000001</v>
      </c>
      <c r="E2" s="2">
        <v>9350.5292969999991</v>
      </c>
      <c r="F2" s="2">
        <v>9350.5292969999991</v>
      </c>
      <c r="G2" s="2">
        <v>852872174496</v>
      </c>
    </row>
    <row r="3" spans="1:7" x14ac:dyDescent="0.3">
      <c r="A3" s="1">
        <v>43862</v>
      </c>
      <c r="B3" s="2">
        <v>9346.3574219999991</v>
      </c>
      <c r="C3" s="2">
        <v>10457.626953000001</v>
      </c>
      <c r="D3" s="2">
        <v>8492.9326170000004</v>
      </c>
      <c r="E3" s="2">
        <v>8599.5087889999995</v>
      </c>
      <c r="F3" s="2">
        <v>8599.5087889999995</v>
      </c>
      <c r="G3" s="2">
        <v>1163376492768</v>
      </c>
    </row>
    <row r="4" spans="1:7" x14ac:dyDescent="0.3">
      <c r="A4" s="1">
        <v>43891</v>
      </c>
      <c r="B4" s="2">
        <v>8599.7587889999995</v>
      </c>
      <c r="C4" s="2">
        <v>9167.6953130000002</v>
      </c>
      <c r="D4" s="2">
        <v>4106.9809569999998</v>
      </c>
      <c r="E4" s="2">
        <v>6438.6445309999999</v>
      </c>
      <c r="F4" s="2">
        <v>6438.6445309999999</v>
      </c>
      <c r="G4" s="2">
        <v>1290442059648</v>
      </c>
    </row>
    <row r="5" spans="1:7" x14ac:dyDescent="0.3">
      <c r="A5" s="1">
        <v>43922</v>
      </c>
      <c r="B5" s="2">
        <v>6437.3193359999996</v>
      </c>
      <c r="C5" s="2">
        <v>9440.6503909999992</v>
      </c>
      <c r="D5" s="2">
        <v>6202.3735349999997</v>
      </c>
      <c r="E5" s="2">
        <v>8658.5537110000005</v>
      </c>
      <c r="F5" s="2">
        <v>8658.5537110000005</v>
      </c>
      <c r="G5" s="2">
        <v>1156127164831</v>
      </c>
    </row>
    <row r="6" spans="1:7" x14ac:dyDescent="0.3">
      <c r="A6" s="1">
        <v>43952</v>
      </c>
      <c r="B6" s="2">
        <v>8672.7822269999997</v>
      </c>
      <c r="C6" s="2">
        <v>9996.7431639999995</v>
      </c>
      <c r="D6" s="2">
        <v>8374.3232420000004</v>
      </c>
      <c r="E6" s="2">
        <v>9461.0585940000001</v>
      </c>
      <c r="F6" s="2">
        <v>9461.0585940000001</v>
      </c>
      <c r="G6" s="2">
        <v>1286368141507</v>
      </c>
    </row>
    <row r="7" spans="1:7" x14ac:dyDescent="0.3">
      <c r="A7" s="1">
        <v>43983</v>
      </c>
      <c r="B7" s="2">
        <v>9463.6054690000001</v>
      </c>
      <c r="C7" s="2">
        <v>10199.565430000001</v>
      </c>
      <c r="D7" s="2">
        <v>8975.5253909999992</v>
      </c>
      <c r="E7" s="2">
        <v>9137.9931639999995</v>
      </c>
      <c r="F7" s="2">
        <v>9137.9931639999995</v>
      </c>
      <c r="G7" s="2">
        <v>650913318680</v>
      </c>
    </row>
    <row r="8" spans="1:7" x14ac:dyDescent="0.3">
      <c r="A8" s="1">
        <v>44013</v>
      </c>
      <c r="B8" s="2">
        <v>9145.9853519999997</v>
      </c>
      <c r="C8" s="2">
        <v>11415.864258</v>
      </c>
      <c r="D8" s="2">
        <v>8977.015625</v>
      </c>
      <c r="E8" s="2">
        <v>11323.466796999999</v>
      </c>
      <c r="F8" s="2">
        <v>11323.466796999999</v>
      </c>
      <c r="G8" s="2">
        <v>545813339109</v>
      </c>
    </row>
    <row r="9" spans="1:7" x14ac:dyDescent="0.3">
      <c r="A9" s="1">
        <v>44044</v>
      </c>
      <c r="B9" s="2">
        <v>11322.570313</v>
      </c>
      <c r="C9" s="2">
        <v>12359.056640999999</v>
      </c>
      <c r="D9" s="2">
        <v>11012.415039</v>
      </c>
      <c r="E9" s="2">
        <v>11680.820313</v>
      </c>
      <c r="F9" s="2">
        <v>11680.820313</v>
      </c>
      <c r="G9" s="2">
        <v>708377092130</v>
      </c>
    </row>
    <row r="10" spans="1:7" x14ac:dyDescent="0.3">
      <c r="A10" s="1">
        <v>44075</v>
      </c>
      <c r="B10" s="2">
        <v>11679.316406</v>
      </c>
      <c r="C10" s="2">
        <v>12067.081055000001</v>
      </c>
      <c r="D10" s="2">
        <v>9916.4931639999995</v>
      </c>
      <c r="E10" s="2">
        <v>10784.491211</v>
      </c>
      <c r="F10" s="2">
        <v>10784.491211</v>
      </c>
      <c r="G10" s="2">
        <v>1075949438431</v>
      </c>
    </row>
    <row r="11" spans="1:7" x14ac:dyDescent="0.3">
      <c r="A11" s="1">
        <v>44105</v>
      </c>
      <c r="B11" s="2">
        <v>10795.254883</v>
      </c>
      <c r="C11" s="2">
        <v>14028.213867</v>
      </c>
      <c r="D11" s="2">
        <v>10416.689453000001</v>
      </c>
      <c r="E11" s="2">
        <v>13780.995117</v>
      </c>
      <c r="F11" s="2">
        <v>13780.995117</v>
      </c>
      <c r="G11" s="2">
        <v>1050874546086</v>
      </c>
    </row>
    <row r="12" spans="1:7" x14ac:dyDescent="0.3">
      <c r="A12" s="1">
        <v>44136</v>
      </c>
      <c r="B12" s="2">
        <v>13780.995117</v>
      </c>
      <c r="C12" s="2">
        <v>19749.263672000001</v>
      </c>
      <c r="D12" s="2">
        <v>13243.160156</v>
      </c>
      <c r="E12" s="2">
        <v>19625.835938</v>
      </c>
      <c r="F12" s="2">
        <v>19625.835938</v>
      </c>
      <c r="G12" s="2">
        <v>1093144913227</v>
      </c>
    </row>
    <row r="13" spans="1:7" x14ac:dyDescent="0.3">
      <c r="A13" s="1">
        <v>44166</v>
      </c>
      <c r="B13" s="2">
        <v>19633.769531000002</v>
      </c>
      <c r="C13" s="2">
        <v>29244.876952999999</v>
      </c>
      <c r="D13" s="2">
        <v>17619.533202999999</v>
      </c>
      <c r="E13" s="2">
        <v>29001.720702999999</v>
      </c>
      <c r="F13" s="2">
        <v>29001.720702999999</v>
      </c>
      <c r="G13" s="2">
        <v>1212259707946</v>
      </c>
    </row>
    <row r="14" spans="1:7" x14ac:dyDescent="0.3">
      <c r="A14" s="1">
        <v>44197</v>
      </c>
      <c r="B14" s="2">
        <v>28994.009765999999</v>
      </c>
      <c r="C14" s="2">
        <v>41946.738280999998</v>
      </c>
      <c r="D14" s="2">
        <v>28722.755859000001</v>
      </c>
      <c r="E14" s="2">
        <v>33114.359375</v>
      </c>
      <c r="F14" s="2">
        <v>33114.359375</v>
      </c>
      <c r="G14" s="2">
        <v>2153473433571</v>
      </c>
    </row>
    <row r="15" spans="1:7" x14ac:dyDescent="0.3">
      <c r="A15" s="1">
        <v>44228</v>
      </c>
      <c r="B15" s="2">
        <v>33114.578125</v>
      </c>
      <c r="C15" s="2">
        <v>58330.570312999997</v>
      </c>
      <c r="D15" s="2">
        <v>32384.228515999999</v>
      </c>
      <c r="E15" s="2">
        <v>45137.769530999998</v>
      </c>
      <c r="F15" s="2">
        <v>45137.769530999998</v>
      </c>
      <c r="G15" s="2">
        <v>2267152936675</v>
      </c>
    </row>
    <row r="16" spans="1:7" x14ac:dyDescent="0.3">
      <c r="A16" s="1">
        <v>44256</v>
      </c>
      <c r="B16" s="2">
        <v>45159.503905999998</v>
      </c>
      <c r="C16" s="2">
        <v>61683.863280999998</v>
      </c>
      <c r="D16" s="2">
        <v>45115.09375</v>
      </c>
      <c r="E16" s="2">
        <v>58918.832030999998</v>
      </c>
      <c r="F16" s="2">
        <v>58918.832030999998</v>
      </c>
      <c r="G16" s="2">
        <v>1681184264687</v>
      </c>
    </row>
    <row r="17" spans="1:7" x14ac:dyDescent="0.3">
      <c r="A17" s="1">
        <v>44287</v>
      </c>
      <c r="B17" s="2">
        <v>58926.5625</v>
      </c>
      <c r="C17" s="2">
        <v>64863.097655999998</v>
      </c>
      <c r="D17" s="2">
        <v>47159.484375</v>
      </c>
      <c r="E17" s="2">
        <v>57750.175780999998</v>
      </c>
      <c r="F17" s="2">
        <v>57750.175780999998</v>
      </c>
      <c r="G17" s="2">
        <v>1844481772417</v>
      </c>
    </row>
    <row r="18" spans="1:7" x14ac:dyDescent="0.3">
      <c r="A18" s="1">
        <v>44317</v>
      </c>
      <c r="B18" s="2">
        <v>57714.664062999997</v>
      </c>
      <c r="C18" s="2">
        <v>59519.355469000002</v>
      </c>
      <c r="D18" s="2">
        <v>30681.496093999998</v>
      </c>
      <c r="E18" s="2">
        <v>37332.855469000002</v>
      </c>
      <c r="F18" s="2">
        <v>37332.855469000002</v>
      </c>
      <c r="G18" s="2">
        <v>1976593438572</v>
      </c>
    </row>
    <row r="19" spans="1:7" x14ac:dyDescent="0.3">
      <c r="A19" s="1">
        <v>44348</v>
      </c>
      <c r="B19" s="2">
        <v>37293.792969000002</v>
      </c>
      <c r="C19" s="2">
        <v>41295.269530999998</v>
      </c>
      <c r="D19" s="2">
        <v>28893.621093999998</v>
      </c>
      <c r="E19" s="2">
        <v>35040.835937999997</v>
      </c>
      <c r="F19" s="2">
        <v>35040.835937999997</v>
      </c>
      <c r="G19" s="2">
        <v>1189647451707</v>
      </c>
    </row>
    <row r="20" spans="1:7" x14ac:dyDescent="0.3">
      <c r="A20" s="1">
        <v>44378</v>
      </c>
      <c r="B20" s="2">
        <v>35035.984375</v>
      </c>
      <c r="C20" s="2">
        <v>42235.546875</v>
      </c>
      <c r="D20" s="2">
        <v>29360.955077999999</v>
      </c>
      <c r="E20" s="2">
        <v>41626.195312999997</v>
      </c>
      <c r="F20" s="2">
        <v>41626.195312999997</v>
      </c>
      <c r="G20" s="2">
        <v>819103381204</v>
      </c>
    </row>
    <row r="21" spans="1:7" x14ac:dyDescent="0.3">
      <c r="A21" s="1">
        <v>44409</v>
      </c>
      <c r="B21" s="2">
        <v>41460.84375</v>
      </c>
      <c r="C21" s="2">
        <v>50482.078125</v>
      </c>
      <c r="D21" s="2">
        <v>37458.003905999998</v>
      </c>
      <c r="E21" s="2">
        <v>47166.6875</v>
      </c>
      <c r="F21" s="2">
        <v>47166.6875</v>
      </c>
      <c r="G21" s="2">
        <v>1014674184428</v>
      </c>
    </row>
    <row r="22" spans="1:7" x14ac:dyDescent="0.3">
      <c r="A22" s="1">
        <v>44440</v>
      </c>
      <c r="B22" s="2">
        <v>47099.773437999997</v>
      </c>
      <c r="C22" s="2">
        <v>52853.765625</v>
      </c>
      <c r="D22" s="2">
        <v>39787.609375</v>
      </c>
      <c r="E22" s="2">
        <v>43790.894530999998</v>
      </c>
      <c r="F22" s="2">
        <v>43790.894530999998</v>
      </c>
      <c r="G22" s="2">
        <v>1102139678824</v>
      </c>
    </row>
    <row r="23" spans="1:7" x14ac:dyDescent="0.3">
      <c r="A23" s="1">
        <v>44470</v>
      </c>
      <c r="B23" s="2">
        <v>43816.742187999997</v>
      </c>
      <c r="C23" s="2">
        <v>66930.390625</v>
      </c>
      <c r="D23" s="2">
        <v>43320.023437999997</v>
      </c>
      <c r="E23" s="2">
        <v>61318.957030999998</v>
      </c>
      <c r="F23" s="2">
        <v>61318.957030999998</v>
      </c>
      <c r="G23" s="2">
        <v>1153077903534</v>
      </c>
    </row>
    <row r="24" spans="1:7" x14ac:dyDescent="0.3">
      <c r="A24" s="1">
        <v>44501</v>
      </c>
      <c r="B24" s="2">
        <v>61320.449219000002</v>
      </c>
      <c r="C24" s="2">
        <v>68789.625</v>
      </c>
      <c r="D24" s="2">
        <v>53569.765625</v>
      </c>
      <c r="E24" s="2">
        <v>57005.425780999998</v>
      </c>
      <c r="F24" s="2">
        <v>57005.425780999998</v>
      </c>
      <c r="G24" s="2">
        <v>1053270271383</v>
      </c>
    </row>
    <row r="25" spans="1:7" x14ac:dyDescent="0.3">
      <c r="A25" s="1">
        <v>44531</v>
      </c>
      <c r="B25" s="2">
        <v>56907.964844000002</v>
      </c>
      <c r="C25" s="2">
        <v>59041.683594000002</v>
      </c>
      <c r="D25" s="2">
        <v>42874.617187999997</v>
      </c>
      <c r="E25" s="2">
        <v>46306.445312999997</v>
      </c>
      <c r="F25" s="2">
        <v>46306.445312999997</v>
      </c>
      <c r="G25" s="2">
        <v>957047184722</v>
      </c>
    </row>
    <row r="26" spans="1:7" x14ac:dyDescent="0.3">
      <c r="A26" s="1">
        <v>44562</v>
      </c>
      <c r="B26" s="2">
        <v>46311.746094000002</v>
      </c>
      <c r="C26" s="2">
        <v>47881.40625</v>
      </c>
      <c r="D26" s="2">
        <v>33184.058594000002</v>
      </c>
      <c r="E26" s="2">
        <v>38483.125</v>
      </c>
      <c r="F26" s="2">
        <v>38483.125</v>
      </c>
      <c r="G26" s="2">
        <v>923979037681</v>
      </c>
    </row>
    <row r="27" spans="1:7" x14ac:dyDescent="0.3">
      <c r="A27" s="1">
        <v>44593</v>
      </c>
      <c r="B27" s="2">
        <v>38481.765625</v>
      </c>
      <c r="C27" s="2">
        <v>45661.171875</v>
      </c>
      <c r="D27" s="2">
        <v>34459.21875</v>
      </c>
      <c r="E27" s="2">
        <v>43193.234375</v>
      </c>
      <c r="F27" s="2">
        <v>43193.234375</v>
      </c>
      <c r="G27" s="2">
        <v>671335993325</v>
      </c>
    </row>
    <row r="28" spans="1:7" x14ac:dyDescent="0.3">
      <c r="A28" s="1">
        <v>44621</v>
      </c>
      <c r="B28" s="2">
        <v>43194.503905999998</v>
      </c>
      <c r="C28" s="2">
        <v>48086.835937999997</v>
      </c>
      <c r="D28" s="2">
        <v>37260.203125</v>
      </c>
      <c r="E28" s="2">
        <v>45538.675780999998</v>
      </c>
      <c r="F28" s="2">
        <v>45538.675780999998</v>
      </c>
      <c r="G28" s="2">
        <v>830943838435</v>
      </c>
    </row>
    <row r="29" spans="1:7" x14ac:dyDescent="0.3">
      <c r="A29" s="1">
        <v>44652</v>
      </c>
      <c r="B29" s="2">
        <v>45554.164062999997</v>
      </c>
      <c r="C29" s="2">
        <v>47313.476562999997</v>
      </c>
      <c r="D29" s="2">
        <v>37697.941405999998</v>
      </c>
      <c r="E29" s="2">
        <v>37714.875</v>
      </c>
      <c r="F29" s="2">
        <v>37714.875</v>
      </c>
      <c r="G29" s="2">
        <v>830115888649</v>
      </c>
    </row>
    <row r="30" spans="1:7" x14ac:dyDescent="0.3">
      <c r="A30" s="1">
        <v>44682</v>
      </c>
      <c r="B30" s="2">
        <v>37713.265625</v>
      </c>
      <c r="C30" s="2">
        <v>39902.949219000002</v>
      </c>
      <c r="D30" s="2">
        <v>26350.490234000001</v>
      </c>
      <c r="E30" s="2">
        <v>31792.310547000001</v>
      </c>
      <c r="F30" s="2">
        <v>31792.310547000001</v>
      </c>
      <c r="G30" s="2">
        <v>1105689315990</v>
      </c>
    </row>
    <row r="31" spans="1:7" x14ac:dyDescent="0.3">
      <c r="A31" s="1">
        <v>44713</v>
      </c>
      <c r="B31" s="2">
        <v>31792.554688</v>
      </c>
      <c r="C31" s="2">
        <v>31957.285156000002</v>
      </c>
      <c r="D31" s="2">
        <v>17708.623047000001</v>
      </c>
      <c r="E31" s="2">
        <v>19784.726563</v>
      </c>
      <c r="F31" s="2">
        <v>19784.726563</v>
      </c>
      <c r="G31" s="2">
        <v>923939211678</v>
      </c>
    </row>
    <row r="32" spans="1:7" x14ac:dyDescent="0.3">
      <c r="A32" s="1">
        <v>44743</v>
      </c>
      <c r="B32" s="2">
        <v>19820.470702999999</v>
      </c>
      <c r="C32" s="2">
        <v>24572.580077999999</v>
      </c>
      <c r="D32" s="2">
        <v>18966.951172000001</v>
      </c>
      <c r="E32" s="2">
        <v>23336.896484000001</v>
      </c>
      <c r="F32" s="2">
        <v>23336.896484000001</v>
      </c>
      <c r="G32" s="2">
        <v>927582363389</v>
      </c>
    </row>
    <row r="33" spans="1:7" x14ac:dyDescent="0.3">
      <c r="A33" s="1">
        <v>44774</v>
      </c>
      <c r="B33" s="2">
        <v>23336.71875</v>
      </c>
      <c r="C33" s="2">
        <v>25135.589843999998</v>
      </c>
      <c r="D33" s="2">
        <v>19600.785156000002</v>
      </c>
      <c r="E33" s="2">
        <v>20049.763672000001</v>
      </c>
      <c r="F33" s="2">
        <v>20049.763672000001</v>
      </c>
      <c r="G33" s="2">
        <v>894192654543</v>
      </c>
    </row>
    <row r="34" spans="1:7" x14ac:dyDescent="0.3">
      <c r="A34" s="1">
        <v>44805</v>
      </c>
      <c r="B34" s="2">
        <v>20050.498047000001</v>
      </c>
      <c r="C34" s="2">
        <v>22673.820313</v>
      </c>
      <c r="D34" s="2">
        <v>18290.314452999999</v>
      </c>
      <c r="E34" s="2">
        <v>19431.789063</v>
      </c>
      <c r="F34" s="2">
        <v>19431.789063</v>
      </c>
      <c r="G34" s="2">
        <v>1123272250385</v>
      </c>
    </row>
    <row r="35" spans="1:7" x14ac:dyDescent="0.3">
      <c r="A35" s="1">
        <v>44835</v>
      </c>
      <c r="B35" s="2">
        <v>19431.105468999998</v>
      </c>
      <c r="C35" s="2">
        <v>20988.394531000002</v>
      </c>
      <c r="D35" s="2">
        <v>18319.822265999999</v>
      </c>
      <c r="E35" s="2">
        <v>20495.773438</v>
      </c>
      <c r="F35" s="2">
        <v>20495.773438</v>
      </c>
      <c r="G35" s="2">
        <v>957903424925</v>
      </c>
    </row>
    <row r="36" spans="1:7" x14ac:dyDescent="0.3">
      <c r="A36" s="1">
        <v>44866</v>
      </c>
      <c r="B36" s="2">
        <v>20494.898438</v>
      </c>
      <c r="C36" s="2">
        <v>21446.886718999998</v>
      </c>
      <c r="D36" s="2">
        <v>15599.046875</v>
      </c>
      <c r="E36" s="2">
        <v>17168.566406000002</v>
      </c>
      <c r="F36" s="2">
        <v>17168.566406000002</v>
      </c>
      <c r="G36" s="2">
        <v>1224531549126</v>
      </c>
    </row>
    <row r="37" spans="1:7" x14ac:dyDescent="0.3">
      <c r="A37" s="1">
        <v>44896</v>
      </c>
      <c r="B37" s="2">
        <v>17168.001952999999</v>
      </c>
      <c r="C37" s="2">
        <v>18318.53125</v>
      </c>
      <c r="D37" s="2">
        <v>16398.136718999998</v>
      </c>
      <c r="E37" s="2">
        <v>16547.496093999998</v>
      </c>
      <c r="F37" s="2">
        <v>16547.496093999998</v>
      </c>
      <c r="G37" s="2">
        <v>541356716034</v>
      </c>
    </row>
    <row r="38" spans="1:7" x14ac:dyDescent="0.3">
      <c r="A38" s="1">
        <v>44927</v>
      </c>
      <c r="B38" s="2">
        <v>16547.914063</v>
      </c>
      <c r="C38" s="2">
        <v>23919.890625</v>
      </c>
      <c r="D38" s="2">
        <v>16521.234375</v>
      </c>
      <c r="E38" s="2">
        <v>23139.283202999999</v>
      </c>
      <c r="F38" s="2">
        <v>23139.283202999999</v>
      </c>
      <c r="G38" s="2">
        <v>690994018045</v>
      </c>
    </row>
    <row r="39" spans="1:7" x14ac:dyDescent="0.3">
      <c r="A39" s="1">
        <v>44958</v>
      </c>
      <c r="B39" s="2">
        <v>23137.835938</v>
      </c>
      <c r="C39" s="2">
        <v>25134.117188</v>
      </c>
      <c r="D39" s="2">
        <v>21460.087890999999</v>
      </c>
      <c r="E39" s="2">
        <v>23147.353515999999</v>
      </c>
      <c r="F39" s="2">
        <v>23147.353515999999</v>
      </c>
      <c r="G39" s="2">
        <v>723968574897</v>
      </c>
    </row>
    <row r="40" spans="1:7" x14ac:dyDescent="0.3">
      <c r="A40" s="1">
        <v>44986</v>
      </c>
      <c r="B40" s="2">
        <v>23150.929688</v>
      </c>
      <c r="C40" s="2">
        <v>29159.902343999998</v>
      </c>
      <c r="D40" s="2">
        <v>19628.253906000002</v>
      </c>
      <c r="E40" s="2">
        <v>28478.484375</v>
      </c>
      <c r="F40" s="2">
        <v>28478.484375</v>
      </c>
      <c r="G40" s="2">
        <v>883299703608</v>
      </c>
    </row>
    <row r="41" spans="1:7" x14ac:dyDescent="0.3">
      <c r="A41" s="1">
        <v>45017</v>
      </c>
      <c r="B41" s="2">
        <v>28473.332031000002</v>
      </c>
      <c r="C41" s="2">
        <v>31005.607422000001</v>
      </c>
      <c r="D41" s="2">
        <v>27070.849609000001</v>
      </c>
      <c r="E41" s="2">
        <v>29268.806640999999</v>
      </c>
      <c r="F41" s="2">
        <v>29268.806640999999</v>
      </c>
      <c r="G41" s="2">
        <v>511540319004</v>
      </c>
    </row>
    <row r="42" spans="1:7" x14ac:dyDescent="0.3">
      <c r="A42" s="1">
        <v>45047</v>
      </c>
      <c r="B42" s="2">
        <v>29227.103515999999</v>
      </c>
      <c r="C42" s="2">
        <v>29820.126952999999</v>
      </c>
      <c r="D42" s="2">
        <v>25878.429688</v>
      </c>
      <c r="E42" s="2">
        <v>27219.658202999999</v>
      </c>
      <c r="F42" s="2">
        <v>27219.658202999999</v>
      </c>
      <c r="G42" s="2">
        <v>443473015479</v>
      </c>
    </row>
    <row r="43" spans="1:7" x14ac:dyDescent="0.3">
      <c r="A43" s="1">
        <v>45078</v>
      </c>
      <c r="B43" s="2">
        <v>27218.412109000001</v>
      </c>
      <c r="C43" s="2">
        <v>31389.539063</v>
      </c>
      <c r="D43" s="2">
        <v>24797.167968999998</v>
      </c>
      <c r="E43" s="2">
        <v>30477.251952999999</v>
      </c>
      <c r="F43" s="2">
        <v>30477.251952999999</v>
      </c>
      <c r="G43" s="2">
        <v>481734214225</v>
      </c>
    </row>
    <row r="44" spans="1:7" x14ac:dyDescent="0.3">
      <c r="A44" s="1">
        <v>45108</v>
      </c>
      <c r="B44" s="2">
        <v>30471.847656000002</v>
      </c>
      <c r="C44" s="2">
        <v>31814.515625</v>
      </c>
      <c r="D44" s="2">
        <v>28934.294922000001</v>
      </c>
      <c r="E44" s="2">
        <v>29230.111327999999</v>
      </c>
      <c r="F44" s="2">
        <v>29230.111327999999</v>
      </c>
      <c r="G44" s="2">
        <v>382224489090</v>
      </c>
    </row>
    <row r="45" spans="1:7" x14ac:dyDescent="0.3">
      <c r="A45" s="1">
        <v>45139</v>
      </c>
      <c r="B45" s="2">
        <v>29230.873047000001</v>
      </c>
      <c r="C45" s="2">
        <v>30176.796875</v>
      </c>
      <c r="D45" s="2">
        <v>25409.111327999999</v>
      </c>
      <c r="E45" s="2">
        <v>25931.472656000002</v>
      </c>
      <c r="F45" s="2">
        <v>25931.472656000002</v>
      </c>
      <c r="G45" s="2">
        <v>437724169499</v>
      </c>
    </row>
    <row r="46" spans="1:7" x14ac:dyDescent="0.3">
      <c r="A46" s="1">
        <v>45170</v>
      </c>
      <c r="B46" s="2">
        <v>25934.021484000001</v>
      </c>
      <c r="C46" s="2">
        <v>27488.763672000001</v>
      </c>
      <c r="D46" s="2">
        <v>24930.296875</v>
      </c>
      <c r="E46" s="2">
        <v>26967.916015999999</v>
      </c>
      <c r="F46" s="2">
        <v>26967.916015999999</v>
      </c>
      <c r="G46" s="2">
        <v>337637313742</v>
      </c>
    </row>
    <row r="47" spans="1:7" x14ac:dyDescent="0.3">
      <c r="A47" s="1">
        <v>45200</v>
      </c>
      <c r="B47" s="2">
        <v>26967.396484000001</v>
      </c>
      <c r="C47" s="2">
        <v>35150.433594000002</v>
      </c>
      <c r="D47" s="2">
        <v>26558.320313</v>
      </c>
      <c r="E47" s="2">
        <v>34667.78125</v>
      </c>
      <c r="F47" s="2">
        <v>34667.78125</v>
      </c>
      <c r="G47" s="2">
        <v>476425634860</v>
      </c>
    </row>
    <row r="48" spans="1:7" x14ac:dyDescent="0.3">
      <c r="A48" s="1">
        <v>45231</v>
      </c>
      <c r="B48" s="2">
        <v>34657.273437999997</v>
      </c>
      <c r="C48" s="2">
        <v>38415.339844000002</v>
      </c>
      <c r="D48" s="2">
        <v>34133.441405999998</v>
      </c>
      <c r="E48" s="2">
        <v>37712.746094000002</v>
      </c>
      <c r="F48" s="2">
        <v>37712.746094000002</v>
      </c>
      <c r="G48" s="2">
        <v>570863267380</v>
      </c>
    </row>
    <row r="49" spans="1:7" x14ac:dyDescent="0.3">
      <c r="A49" s="1">
        <v>45261</v>
      </c>
      <c r="B49" s="2">
        <v>37718.007812999997</v>
      </c>
      <c r="C49" s="2">
        <v>44705.515625</v>
      </c>
      <c r="D49" s="2">
        <v>37629.359375</v>
      </c>
      <c r="E49" s="2">
        <v>42265.1875</v>
      </c>
      <c r="F49" s="2">
        <v>42265.1875</v>
      </c>
      <c r="G49" s="2">
        <v>721704910480</v>
      </c>
    </row>
    <row r="50" spans="1:7" x14ac:dyDescent="0.3">
      <c r="A50" s="1">
        <v>45292</v>
      </c>
      <c r="B50" s="2">
        <v>42280.234375</v>
      </c>
      <c r="C50" s="2">
        <v>48969.371094000002</v>
      </c>
      <c r="D50" s="2">
        <v>38521.894530999998</v>
      </c>
      <c r="E50" s="2">
        <v>42582.605469000002</v>
      </c>
      <c r="F50" s="2">
        <v>42582.605469000002</v>
      </c>
      <c r="G50" s="2">
        <v>825918941347</v>
      </c>
    </row>
    <row r="51" spans="1:7" x14ac:dyDescent="0.3">
      <c r="A51" s="1">
        <v>45323</v>
      </c>
      <c r="B51" s="2">
        <v>42569.761719000002</v>
      </c>
      <c r="C51" s="2">
        <v>63913.132812999997</v>
      </c>
      <c r="D51" s="2">
        <v>41879.191405999998</v>
      </c>
      <c r="E51" s="2">
        <v>61198.382812999997</v>
      </c>
      <c r="F51" s="2">
        <v>61198.382812999997</v>
      </c>
      <c r="G51" s="2">
        <v>830721862621</v>
      </c>
    </row>
    <row r="52" spans="1:7" x14ac:dyDescent="0.3">
      <c r="A52" s="1">
        <v>45352</v>
      </c>
      <c r="B52" s="2">
        <v>61168.0625</v>
      </c>
      <c r="C52" s="2">
        <v>73750.070313000004</v>
      </c>
      <c r="D52" s="2">
        <v>59323.910155999998</v>
      </c>
      <c r="E52" s="2">
        <v>71333.648438000004</v>
      </c>
      <c r="F52" s="2">
        <v>71333.648438000004</v>
      </c>
      <c r="G52" s="2">
        <v>1446417844950</v>
      </c>
    </row>
    <row r="53" spans="1:7" x14ac:dyDescent="0.3">
      <c r="A53" s="1">
        <v>45383</v>
      </c>
      <c r="B53" s="2">
        <v>71333.484375</v>
      </c>
      <c r="C53" s="2">
        <v>72715.359375</v>
      </c>
      <c r="D53" s="2">
        <v>59120.066405999998</v>
      </c>
      <c r="E53" s="2">
        <v>60636.855469000002</v>
      </c>
      <c r="F53" s="2">
        <v>60636.855469000002</v>
      </c>
      <c r="G53" s="2">
        <v>1016068331704</v>
      </c>
    </row>
    <row r="54" spans="1:7" x14ac:dyDescent="0.3">
      <c r="A54" s="1">
        <v>45413</v>
      </c>
      <c r="B54" s="2">
        <v>60609.496094000002</v>
      </c>
      <c r="C54" s="2">
        <v>71946.460938000004</v>
      </c>
      <c r="D54" s="2">
        <v>56555.292969000002</v>
      </c>
      <c r="E54" s="2">
        <v>67491.414063000004</v>
      </c>
      <c r="F54" s="2">
        <v>67491.414063000004</v>
      </c>
      <c r="G54" s="2">
        <v>874291509757</v>
      </c>
    </row>
    <row r="55" spans="1:7" x14ac:dyDescent="0.3">
      <c r="A55" s="1">
        <v>45444</v>
      </c>
      <c r="B55" s="2">
        <v>67489.609375</v>
      </c>
      <c r="C55" s="2">
        <v>71907.851563000004</v>
      </c>
      <c r="D55" s="2">
        <v>58601.699219000002</v>
      </c>
      <c r="E55" s="2">
        <v>62678.292969000002</v>
      </c>
      <c r="F55" s="2">
        <v>62678.292969000002</v>
      </c>
      <c r="G55" s="2">
        <v>726773965644</v>
      </c>
    </row>
    <row r="56" spans="1:7" x14ac:dyDescent="0.3">
      <c r="A56" s="1">
        <v>45474</v>
      </c>
      <c r="B56" s="2">
        <v>62673.605469000002</v>
      </c>
      <c r="C56" s="2">
        <v>69987.539063000004</v>
      </c>
      <c r="D56" s="2">
        <v>53717.375</v>
      </c>
      <c r="E56" s="2">
        <v>64619.25</v>
      </c>
      <c r="F56" s="2">
        <v>64619.25</v>
      </c>
      <c r="G56" s="2">
        <v>953395573307</v>
      </c>
    </row>
    <row r="57" spans="1:7" x14ac:dyDescent="0.3">
      <c r="A57" s="1">
        <v>45505</v>
      </c>
      <c r="B57" s="2">
        <v>64625.839844000002</v>
      </c>
      <c r="C57" s="2">
        <v>65593.242188000004</v>
      </c>
      <c r="D57" s="2">
        <v>49121.238280999998</v>
      </c>
      <c r="E57" s="2">
        <v>58969.898437999997</v>
      </c>
      <c r="F57" s="2">
        <v>58969.898437999997</v>
      </c>
      <c r="G57" s="2">
        <v>1043105485208</v>
      </c>
    </row>
    <row r="58" spans="1:7" x14ac:dyDescent="0.3">
      <c r="A58" s="1">
        <v>45536</v>
      </c>
      <c r="B58" s="2">
        <v>58969.800780999998</v>
      </c>
      <c r="C58" s="2">
        <v>59403.070312999997</v>
      </c>
      <c r="D58" s="2">
        <v>57136.027344000002</v>
      </c>
      <c r="E58" s="2">
        <v>59112.480469000002</v>
      </c>
      <c r="F58" s="2">
        <v>59112.480469000002</v>
      </c>
      <c r="G58" s="2">
        <v>51628904521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14ECF-EE82-4ED4-ADA7-82F39A90168A}">
  <sheetPr>
    <tabColor rgb="FFFF0000"/>
  </sheetPr>
  <dimension ref="A1:V58"/>
  <sheetViews>
    <sheetView showGridLines="0" topLeftCell="H1" workbookViewId="0">
      <selection activeCell="V1" sqref="V1:V1048576"/>
    </sheetView>
  </sheetViews>
  <sheetFormatPr baseColWidth="10" defaultRowHeight="14.4" x14ac:dyDescent="0.3"/>
  <cols>
    <col min="7" max="7" width="17.6640625" bestFit="1" customWidth="1"/>
    <col min="9" max="9" width="20" customWidth="1"/>
    <col min="10" max="12" width="12.6640625" bestFit="1" customWidth="1"/>
    <col min="13" max="13" width="12.44140625" bestFit="1" customWidth="1"/>
    <col min="14" max="15" width="12.6640625" bestFit="1" customWidth="1"/>
    <col min="16" max="16" width="30.5546875" bestFit="1" customWidth="1"/>
    <col min="22" max="22" width="0" hidden="1" customWidth="1"/>
  </cols>
  <sheetData>
    <row r="1" spans="1:22" x14ac:dyDescent="0.3">
      <c r="A1" s="53" t="s">
        <v>0</v>
      </c>
      <c r="B1" s="54" t="s">
        <v>1</v>
      </c>
      <c r="C1" s="54" t="s">
        <v>2</v>
      </c>
      <c r="D1" s="54" t="s">
        <v>3</v>
      </c>
      <c r="E1" s="54" t="s">
        <v>4</v>
      </c>
      <c r="F1" s="54" t="s">
        <v>5</v>
      </c>
      <c r="G1" s="54" t="s">
        <v>6</v>
      </c>
      <c r="V1" s="54" t="s">
        <v>1</v>
      </c>
    </row>
    <row r="2" spans="1:22" x14ac:dyDescent="0.3">
      <c r="A2" s="1">
        <v>43831</v>
      </c>
      <c r="B2" s="2">
        <v>7194.8920900000003</v>
      </c>
      <c r="C2" s="2">
        <v>9553.1259769999997</v>
      </c>
      <c r="D2" s="2">
        <v>6914.9960940000001</v>
      </c>
      <c r="E2" s="2">
        <v>9350.5292969999991</v>
      </c>
      <c r="F2" s="2">
        <v>9350.5292969999991</v>
      </c>
      <c r="G2" s="2">
        <v>852872174496</v>
      </c>
      <c r="V2" s="2">
        <v>7194.8920900000003</v>
      </c>
    </row>
    <row r="3" spans="1:22" x14ac:dyDescent="0.3">
      <c r="A3" s="55">
        <v>43862</v>
      </c>
      <c r="B3" s="56">
        <v>9346.3574219999991</v>
      </c>
      <c r="C3" s="56">
        <v>10457.626953000001</v>
      </c>
      <c r="D3" s="56">
        <v>8492.9326170000004</v>
      </c>
      <c r="E3" s="56">
        <v>8599.5087889999995</v>
      </c>
      <c r="F3" s="56">
        <v>8599.5087889999995</v>
      </c>
      <c r="G3" s="56">
        <v>1163376492768</v>
      </c>
      <c r="I3" s="118" t="s">
        <v>113</v>
      </c>
      <c r="J3" s="118" t="s">
        <v>0</v>
      </c>
      <c r="K3" s="118" t="s">
        <v>1</v>
      </c>
      <c r="L3" s="118" t="s">
        <v>2</v>
      </c>
      <c r="M3" s="118" t="s">
        <v>3</v>
      </c>
      <c r="N3" s="118" t="s">
        <v>4</v>
      </c>
      <c r="O3" s="118" t="s">
        <v>5</v>
      </c>
      <c r="P3" s="118" t="s">
        <v>6</v>
      </c>
      <c r="V3" s="56">
        <v>9346.3574219999991</v>
      </c>
    </row>
    <row r="4" spans="1:22" x14ac:dyDescent="0.3">
      <c r="A4" s="1">
        <v>43891</v>
      </c>
      <c r="B4" s="2">
        <v>8599.7587889999995</v>
      </c>
      <c r="C4" s="2">
        <v>9167.6953130000002</v>
      </c>
      <c r="D4" s="2">
        <v>4106.9809569999998</v>
      </c>
      <c r="E4" s="2">
        <v>6438.6445309999999</v>
      </c>
      <c r="F4" s="2">
        <v>6438.6445309999999</v>
      </c>
      <c r="G4" s="2">
        <v>1290442059648</v>
      </c>
      <c r="I4" s="24" t="s">
        <v>45</v>
      </c>
      <c r="J4" s="121">
        <v>44682.947368421053</v>
      </c>
      <c r="K4" s="119">
        <v>33346.000197157882</v>
      </c>
      <c r="L4" s="119">
        <v>38525.567057456152</v>
      </c>
      <c r="M4" s="119">
        <v>29023.565395438589</v>
      </c>
      <c r="N4" s="119">
        <v>34263.494123596494</v>
      </c>
      <c r="O4" s="119">
        <v>34263.494123596494</v>
      </c>
      <c r="P4" s="119">
        <v>959352957615.98242</v>
      </c>
      <c r="V4" s="2">
        <v>8599.7587889999995</v>
      </c>
    </row>
    <row r="5" spans="1:22" x14ac:dyDescent="0.3">
      <c r="A5" s="55">
        <v>43922</v>
      </c>
      <c r="B5" s="56">
        <v>6437.3193359999996</v>
      </c>
      <c r="C5" s="56">
        <v>9440.6503909999992</v>
      </c>
      <c r="D5" s="56">
        <v>6202.3735349999997</v>
      </c>
      <c r="E5" s="56">
        <v>8658.5537110000005</v>
      </c>
      <c r="F5" s="56">
        <v>8658.5537110000005</v>
      </c>
      <c r="G5" s="56">
        <v>1156127164831</v>
      </c>
      <c r="I5" s="10" t="s">
        <v>46</v>
      </c>
      <c r="J5" s="122">
        <v>66.899929106419862</v>
      </c>
      <c r="K5" s="120">
        <v>2411.4226661514886</v>
      </c>
      <c r="L5" s="120">
        <v>2695.1125562859011</v>
      </c>
      <c r="M5" s="120">
        <v>2060.7086580473274</v>
      </c>
      <c r="N5" s="120">
        <v>2407.9396759841488</v>
      </c>
      <c r="O5" s="120">
        <v>2407.9396759841488</v>
      </c>
      <c r="P5" s="120">
        <v>56539601448.925362</v>
      </c>
      <c r="V5" s="56">
        <v>6437.3193359999996</v>
      </c>
    </row>
    <row r="6" spans="1:22" x14ac:dyDescent="0.3">
      <c r="A6" s="1">
        <v>43952</v>
      </c>
      <c r="B6" s="2">
        <v>8672.7822269999997</v>
      </c>
      <c r="C6" s="2">
        <v>9996.7431639999995</v>
      </c>
      <c r="D6" s="2">
        <v>8374.3232420000004</v>
      </c>
      <c r="E6" s="2">
        <v>9461.0585940000001</v>
      </c>
      <c r="F6" s="2">
        <v>9461.0585940000001</v>
      </c>
      <c r="G6" s="2">
        <v>1286368141507</v>
      </c>
      <c r="I6" s="24" t="s">
        <v>47</v>
      </c>
      <c r="J6" s="121">
        <v>44682</v>
      </c>
      <c r="K6" s="119">
        <v>30471.847656000002</v>
      </c>
      <c r="L6" s="119">
        <v>35150.433594000002</v>
      </c>
      <c r="M6" s="119">
        <v>27070.849609000001</v>
      </c>
      <c r="N6" s="119">
        <v>31792.310547000001</v>
      </c>
      <c r="O6" s="119">
        <v>31792.310547000001</v>
      </c>
      <c r="P6" s="119">
        <v>923979037681</v>
      </c>
      <c r="V6" s="2">
        <v>8672.7822269999997</v>
      </c>
    </row>
    <row r="7" spans="1:22" x14ac:dyDescent="0.3">
      <c r="A7" s="55">
        <v>43983</v>
      </c>
      <c r="B7" s="56">
        <v>9463.6054690000001</v>
      </c>
      <c r="C7" s="56">
        <v>10199.565430000001</v>
      </c>
      <c r="D7" s="56">
        <v>8975.5253909999992</v>
      </c>
      <c r="E7" s="56">
        <v>9137.9931639999995</v>
      </c>
      <c r="F7" s="56">
        <v>9137.9931639999995</v>
      </c>
      <c r="G7" s="56">
        <v>650913318680</v>
      </c>
      <c r="I7" s="10" t="s">
        <v>48</v>
      </c>
      <c r="J7" s="10" t="e">
        <v>#N/A</v>
      </c>
      <c r="K7" s="10" t="e">
        <v>#N/A</v>
      </c>
      <c r="L7" s="10" t="e">
        <v>#N/A</v>
      </c>
      <c r="M7" s="10" t="e">
        <v>#N/A</v>
      </c>
      <c r="N7" s="10" t="e">
        <v>#N/A</v>
      </c>
      <c r="O7" s="10" t="e">
        <v>#N/A</v>
      </c>
      <c r="P7" s="10" t="e">
        <v>#N/A</v>
      </c>
      <c r="V7" s="56">
        <v>9463.6054690000001</v>
      </c>
    </row>
    <row r="8" spans="1:22" x14ac:dyDescent="0.3">
      <c r="A8" s="1">
        <v>44013</v>
      </c>
      <c r="B8" s="2">
        <v>9145.9853519999997</v>
      </c>
      <c r="C8" s="2">
        <v>11415.864258</v>
      </c>
      <c r="D8" s="2">
        <v>8977.015625</v>
      </c>
      <c r="E8" s="2">
        <v>11323.466796999999</v>
      </c>
      <c r="F8" s="2">
        <v>11323.466796999999</v>
      </c>
      <c r="G8" s="2">
        <v>545813339109</v>
      </c>
      <c r="I8" s="24" t="s">
        <v>49</v>
      </c>
      <c r="J8" s="24">
        <v>505.0833884848206</v>
      </c>
      <c r="K8" s="119">
        <v>18205.841882902911</v>
      </c>
      <c r="L8" s="119">
        <v>20347.653584377873</v>
      </c>
      <c r="M8" s="119">
        <v>15558.009187586287</v>
      </c>
      <c r="N8" s="119">
        <v>18179.545883799819</v>
      </c>
      <c r="O8" s="119">
        <v>18179.545883799819</v>
      </c>
      <c r="P8" s="119">
        <v>426864629975.58069</v>
      </c>
      <c r="V8" s="2">
        <v>9145.9853519999997</v>
      </c>
    </row>
    <row r="9" spans="1:22" x14ac:dyDescent="0.3">
      <c r="A9" s="55">
        <v>44044</v>
      </c>
      <c r="B9" s="56">
        <v>11322.570313</v>
      </c>
      <c r="C9" s="56">
        <v>12359.056640999999</v>
      </c>
      <c r="D9" s="56">
        <v>11012.415039</v>
      </c>
      <c r="E9" s="56">
        <v>11680.820313</v>
      </c>
      <c r="F9" s="56">
        <v>11680.820313</v>
      </c>
      <c r="G9" s="56">
        <v>708377092130</v>
      </c>
      <c r="I9" s="10" t="s">
        <v>50</v>
      </c>
      <c r="J9" s="10">
        <v>255109.22932330819</v>
      </c>
      <c r="K9" s="122">
        <v>331452678.66526181</v>
      </c>
      <c r="L9" s="122">
        <v>414027006.38984573</v>
      </c>
      <c r="M9" s="122">
        <v>242051649.88101932</v>
      </c>
      <c r="N9" s="122">
        <v>330495888.54118294</v>
      </c>
      <c r="O9" s="122">
        <v>330495888.54118294</v>
      </c>
      <c r="P9" s="122">
        <v>1.8221341232418941E+23</v>
      </c>
      <c r="V9" s="56">
        <v>11322.570313</v>
      </c>
    </row>
    <row r="10" spans="1:22" x14ac:dyDescent="0.3">
      <c r="A10" s="1">
        <v>44075</v>
      </c>
      <c r="B10" s="2">
        <v>11679.316406</v>
      </c>
      <c r="C10" s="2">
        <v>12067.081055000001</v>
      </c>
      <c r="D10" s="2">
        <v>9916.4931639999995</v>
      </c>
      <c r="E10" s="2">
        <v>10784.491211</v>
      </c>
      <c r="F10" s="2">
        <v>10784.491211</v>
      </c>
      <c r="G10" s="2">
        <v>1075949438431</v>
      </c>
      <c r="I10" s="24" t="s">
        <v>51</v>
      </c>
      <c r="J10" s="24">
        <v>-1.1989163490326882</v>
      </c>
      <c r="K10" s="24">
        <v>-0.90235711198821411</v>
      </c>
      <c r="L10" s="24">
        <v>-1.1867480854306951</v>
      </c>
      <c r="M10" s="24">
        <v>-0.78530190952022805</v>
      </c>
      <c r="N10" s="24">
        <v>-0.97390210616850537</v>
      </c>
      <c r="O10" s="24">
        <v>-0.97390210616850537</v>
      </c>
      <c r="P10" s="24">
        <v>1.8387990246198944</v>
      </c>
      <c r="V10" s="2">
        <v>11679.316406</v>
      </c>
    </row>
    <row r="11" spans="1:22" x14ac:dyDescent="0.3">
      <c r="A11" s="55">
        <v>44105</v>
      </c>
      <c r="B11" s="56">
        <v>10795.254883</v>
      </c>
      <c r="C11" s="56">
        <v>14028.213867</v>
      </c>
      <c r="D11" s="56">
        <v>10416.689453000001</v>
      </c>
      <c r="E11" s="56">
        <v>13780.995117</v>
      </c>
      <c r="F11" s="56">
        <v>13780.995117</v>
      </c>
      <c r="G11" s="56">
        <v>1050874546086</v>
      </c>
      <c r="I11" s="10" t="s">
        <v>52</v>
      </c>
      <c r="J11" s="10">
        <v>5.0340544396309823E-4</v>
      </c>
      <c r="K11" s="10">
        <v>0.34797387977620814</v>
      </c>
      <c r="L11" s="10">
        <v>0.20136587755714655</v>
      </c>
      <c r="M11" s="10">
        <v>0.36721028477224721</v>
      </c>
      <c r="N11" s="10">
        <v>0.30118908901183661</v>
      </c>
      <c r="O11" s="10">
        <v>0.30118908901183661</v>
      </c>
      <c r="P11" s="10">
        <v>1.0042652188385033</v>
      </c>
      <c r="V11" s="56">
        <v>10795.254883</v>
      </c>
    </row>
    <row r="12" spans="1:22" x14ac:dyDescent="0.3">
      <c r="A12" s="1">
        <v>44136</v>
      </c>
      <c r="B12" s="2">
        <v>13780.995117</v>
      </c>
      <c r="C12" s="2">
        <v>19749.263672000001</v>
      </c>
      <c r="D12" s="2">
        <v>13243.160156</v>
      </c>
      <c r="E12" s="2">
        <v>19625.835938</v>
      </c>
      <c r="F12" s="2">
        <v>19625.835938</v>
      </c>
      <c r="G12" s="2">
        <v>1093144913227</v>
      </c>
      <c r="I12" s="24" t="s">
        <v>23</v>
      </c>
      <c r="J12" s="24">
        <v>1705</v>
      </c>
      <c r="K12" s="121">
        <v>64896.165039</v>
      </c>
      <c r="L12" s="121">
        <v>64582.375</v>
      </c>
      <c r="M12" s="121">
        <v>55216.929198999998</v>
      </c>
      <c r="N12" s="121">
        <v>64895.003907000006</v>
      </c>
      <c r="O12" s="121">
        <v>64895.003907000006</v>
      </c>
      <c r="P12" s="121">
        <v>2215524032154</v>
      </c>
      <c r="V12" s="2">
        <v>13780.995117</v>
      </c>
    </row>
    <row r="13" spans="1:22" x14ac:dyDescent="0.3">
      <c r="A13" s="55">
        <v>44166</v>
      </c>
      <c r="B13" s="56">
        <v>19633.769531000002</v>
      </c>
      <c r="C13" s="56">
        <v>29244.876952999999</v>
      </c>
      <c r="D13" s="56">
        <v>17619.533202999999</v>
      </c>
      <c r="E13" s="56">
        <v>29001.720702999999</v>
      </c>
      <c r="F13" s="56">
        <v>29001.720702999999</v>
      </c>
      <c r="G13" s="56">
        <v>1212259707946</v>
      </c>
      <c r="I13" s="10" t="s">
        <v>53</v>
      </c>
      <c r="J13" s="10">
        <v>43831</v>
      </c>
      <c r="K13" s="122">
        <v>6437.3193359999996</v>
      </c>
      <c r="L13" s="122">
        <v>9167.6953130000002</v>
      </c>
      <c r="M13" s="122">
        <v>4106.9809569999998</v>
      </c>
      <c r="N13" s="122">
        <v>6438.6445309999999</v>
      </c>
      <c r="O13" s="122">
        <v>6438.6445309999999</v>
      </c>
      <c r="P13" s="122">
        <v>51628904521</v>
      </c>
      <c r="V13" s="56">
        <v>19633.769531000002</v>
      </c>
    </row>
    <row r="14" spans="1:22" x14ac:dyDescent="0.3">
      <c r="A14" s="1">
        <v>44197</v>
      </c>
      <c r="B14" s="2">
        <v>28994.009765999999</v>
      </c>
      <c r="C14" s="2">
        <v>41946.738280999998</v>
      </c>
      <c r="D14" s="2">
        <v>28722.755859000001</v>
      </c>
      <c r="E14" s="2">
        <v>33114.359375</v>
      </c>
      <c r="F14" s="2">
        <v>33114.359375</v>
      </c>
      <c r="G14" s="2">
        <v>2153473433571</v>
      </c>
      <c r="I14" s="24" t="s">
        <v>54</v>
      </c>
      <c r="J14" s="24">
        <v>45536</v>
      </c>
      <c r="K14" s="121">
        <v>71333.484375</v>
      </c>
      <c r="L14" s="121">
        <v>73750.070313000004</v>
      </c>
      <c r="M14" s="121">
        <v>59323.910155999998</v>
      </c>
      <c r="N14" s="121">
        <v>71333.648438000004</v>
      </c>
      <c r="O14" s="121">
        <v>71333.648438000004</v>
      </c>
      <c r="P14" s="121">
        <v>2267152936675</v>
      </c>
      <c r="V14" s="2">
        <v>28994.009765999999</v>
      </c>
    </row>
    <row r="15" spans="1:22" x14ac:dyDescent="0.3">
      <c r="A15" s="55">
        <v>44228</v>
      </c>
      <c r="B15" s="56">
        <v>33114.578125</v>
      </c>
      <c r="C15" s="56">
        <v>58330.570312999997</v>
      </c>
      <c r="D15" s="56">
        <v>32384.228515999999</v>
      </c>
      <c r="E15" s="56">
        <v>45137.769530999998</v>
      </c>
      <c r="F15" s="56">
        <v>45137.769530999998</v>
      </c>
      <c r="G15" s="56">
        <v>2267152936675</v>
      </c>
      <c r="I15" s="10" t="s">
        <v>55</v>
      </c>
      <c r="J15" s="10">
        <v>2546928</v>
      </c>
      <c r="K15" s="122">
        <v>1900722.0112379992</v>
      </c>
      <c r="L15" s="122">
        <v>2195957.3222750006</v>
      </c>
      <c r="M15" s="122">
        <v>1654343.2275399996</v>
      </c>
      <c r="N15" s="122">
        <v>1953019.1650450004</v>
      </c>
      <c r="O15" s="122">
        <v>1953019.1650450004</v>
      </c>
      <c r="P15" s="122">
        <v>54683118584111</v>
      </c>
      <c r="V15" s="56">
        <v>33114.578125</v>
      </c>
    </row>
    <row r="16" spans="1:22" x14ac:dyDescent="0.3">
      <c r="A16" s="1">
        <v>44256</v>
      </c>
      <c r="B16" s="2">
        <v>45159.503905999998</v>
      </c>
      <c r="C16" s="2">
        <v>61683.863280999998</v>
      </c>
      <c r="D16" s="2">
        <v>45115.09375</v>
      </c>
      <c r="E16" s="2">
        <v>58918.832030999998</v>
      </c>
      <c r="F16" s="2">
        <v>58918.832030999998</v>
      </c>
      <c r="G16" s="2">
        <v>1681184264687</v>
      </c>
      <c r="I16" s="24" t="s">
        <v>56</v>
      </c>
      <c r="J16" s="24">
        <v>57</v>
      </c>
      <c r="K16" s="24">
        <v>57</v>
      </c>
      <c r="L16" s="24">
        <v>57</v>
      </c>
      <c r="M16" s="24">
        <v>57</v>
      </c>
      <c r="N16" s="24">
        <v>57</v>
      </c>
      <c r="O16" s="24">
        <v>57</v>
      </c>
      <c r="P16" s="24">
        <v>57</v>
      </c>
      <c r="V16" s="2">
        <v>45159.503905999998</v>
      </c>
    </row>
    <row r="17" spans="1:22" x14ac:dyDescent="0.3">
      <c r="A17" s="55">
        <v>44287</v>
      </c>
      <c r="B17" s="56">
        <v>58926.5625</v>
      </c>
      <c r="C17" s="56">
        <v>64863.097655999998</v>
      </c>
      <c r="D17" s="56">
        <v>47159.484375</v>
      </c>
      <c r="E17" s="56">
        <v>57750.175780999998</v>
      </c>
      <c r="F17" s="56">
        <v>57750.175780999998</v>
      </c>
      <c r="G17" s="56">
        <v>1844481772417</v>
      </c>
      <c r="V17" s="56">
        <v>58926.5625</v>
      </c>
    </row>
    <row r="18" spans="1:22" x14ac:dyDescent="0.3">
      <c r="A18" s="1">
        <v>44317</v>
      </c>
      <c r="B18" s="2">
        <v>57714.664062999997</v>
      </c>
      <c r="C18" s="2">
        <v>59519.355469000002</v>
      </c>
      <c r="D18" s="2">
        <v>30681.496093999998</v>
      </c>
      <c r="E18" s="2">
        <v>37332.855469000002</v>
      </c>
      <c r="F18" s="2">
        <v>37332.855469000002</v>
      </c>
      <c r="G18" s="2">
        <v>1976593438572</v>
      </c>
      <c r="V18" s="2">
        <v>57714.664062999997</v>
      </c>
    </row>
    <row r="19" spans="1:22" x14ac:dyDescent="0.3">
      <c r="A19" s="55">
        <v>44348</v>
      </c>
      <c r="B19" s="56">
        <v>37293.792969000002</v>
      </c>
      <c r="C19" s="56">
        <v>41295.269530999998</v>
      </c>
      <c r="D19" s="56">
        <v>28893.621093999998</v>
      </c>
      <c r="E19" s="56">
        <v>35040.835937999997</v>
      </c>
      <c r="F19" s="56">
        <v>35040.835937999997</v>
      </c>
      <c r="G19" s="56">
        <v>1189647451707</v>
      </c>
      <c r="V19" s="56">
        <v>37293.792969000002</v>
      </c>
    </row>
    <row r="20" spans="1:22" x14ac:dyDescent="0.3">
      <c r="A20" s="1">
        <v>44378</v>
      </c>
      <c r="B20" s="2">
        <v>35035.984375</v>
      </c>
      <c r="C20" s="2">
        <v>42235.546875</v>
      </c>
      <c r="D20" s="2">
        <v>29360.955077999999</v>
      </c>
      <c r="E20" s="2">
        <v>41626.195312999997</v>
      </c>
      <c r="F20" s="2">
        <v>41626.195312999997</v>
      </c>
      <c r="G20" s="2">
        <v>819103381204</v>
      </c>
      <c r="V20" s="2">
        <v>35035.984375</v>
      </c>
    </row>
    <row r="21" spans="1:22" x14ac:dyDescent="0.3">
      <c r="A21" s="55">
        <v>44409</v>
      </c>
      <c r="B21" s="56">
        <v>41460.84375</v>
      </c>
      <c r="C21" s="56">
        <v>50482.078125</v>
      </c>
      <c r="D21" s="56">
        <v>37458.003905999998</v>
      </c>
      <c r="E21" s="56">
        <v>47166.6875</v>
      </c>
      <c r="F21" s="56">
        <v>47166.6875</v>
      </c>
      <c r="G21" s="56">
        <v>1014674184428</v>
      </c>
      <c r="V21" s="56">
        <v>41460.84375</v>
      </c>
    </row>
    <row r="22" spans="1:22" x14ac:dyDescent="0.3">
      <c r="A22" s="1">
        <v>44440</v>
      </c>
      <c r="B22" s="2">
        <v>47099.773437999997</v>
      </c>
      <c r="C22" s="2">
        <v>52853.765625</v>
      </c>
      <c r="D22" s="2">
        <v>39787.609375</v>
      </c>
      <c r="E22" s="2">
        <v>43790.894530999998</v>
      </c>
      <c r="F22" s="2">
        <v>43790.894530999998</v>
      </c>
      <c r="G22" s="2">
        <v>1102139678824</v>
      </c>
      <c r="V22" s="2">
        <v>47099.773437999997</v>
      </c>
    </row>
    <row r="23" spans="1:22" x14ac:dyDescent="0.3">
      <c r="A23" s="55">
        <v>44470</v>
      </c>
      <c r="B23" s="56">
        <v>43816.742187999997</v>
      </c>
      <c r="C23" s="56">
        <v>66930.390625</v>
      </c>
      <c r="D23" s="56">
        <v>43320.023437999997</v>
      </c>
      <c r="E23" s="56">
        <v>61318.957030999998</v>
      </c>
      <c r="F23" s="56">
        <v>61318.957030999998</v>
      </c>
      <c r="G23" s="56">
        <v>1153077903534</v>
      </c>
      <c r="V23" s="56">
        <v>43816.742187999997</v>
      </c>
    </row>
    <row r="24" spans="1:22" x14ac:dyDescent="0.3">
      <c r="A24" s="1">
        <v>44501</v>
      </c>
      <c r="B24" s="2">
        <v>61320.449219000002</v>
      </c>
      <c r="C24" s="2">
        <v>68789.625</v>
      </c>
      <c r="D24" s="2">
        <v>53569.765625</v>
      </c>
      <c r="E24" s="2">
        <v>57005.425780999998</v>
      </c>
      <c r="F24" s="2">
        <v>57005.425780999998</v>
      </c>
      <c r="G24" s="2">
        <v>1053270271383</v>
      </c>
      <c r="V24" s="2">
        <v>61320.449219000002</v>
      </c>
    </row>
    <row r="25" spans="1:22" x14ac:dyDescent="0.3">
      <c r="A25" s="55">
        <v>44531</v>
      </c>
      <c r="B25" s="56">
        <v>56907.964844000002</v>
      </c>
      <c r="C25" s="56">
        <v>59041.683594000002</v>
      </c>
      <c r="D25" s="56">
        <v>42874.617187999997</v>
      </c>
      <c r="E25" s="56">
        <v>46306.445312999997</v>
      </c>
      <c r="F25" s="56">
        <v>46306.445312999997</v>
      </c>
      <c r="G25" s="56">
        <v>957047184722</v>
      </c>
      <c r="V25" s="56">
        <v>56907.964844000002</v>
      </c>
    </row>
    <row r="26" spans="1:22" x14ac:dyDescent="0.3">
      <c r="A26" s="1">
        <v>44562</v>
      </c>
      <c r="B26" s="2">
        <v>46311.746094000002</v>
      </c>
      <c r="C26" s="2">
        <v>47881.40625</v>
      </c>
      <c r="D26" s="2">
        <v>33184.058594000002</v>
      </c>
      <c r="E26" s="2">
        <v>38483.125</v>
      </c>
      <c r="F26" s="2">
        <v>38483.125</v>
      </c>
      <c r="G26" s="2">
        <v>923979037681</v>
      </c>
      <c r="V26" s="2">
        <v>46311.746094000002</v>
      </c>
    </row>
    <row r="27" spans="1:22" x14ac:dyDescent="0.3">
      <c r="A27" s="55">
        <v>44593</v>
      </c>
      <c r="B27" s="56">
        <v>38481.765625</v>
      </c>
      <c r="C27" s="56">
        <v>45661.171875</v>
      </c>
      <c r="D27" s="56">
        <v>34459.21875</v>
      </c>
      <c r="E27" s="56">
        <v>43193.234375</v>
      </c>
      <c r="F27" s="56">
        <v>43193.234375</v>
      </c>
      <c r="G27" s="56">
        <v>671335993325</v>
      </c>
      <c r="V27" s="56">
        <v>38481.765625</v>
      </c>
    </row>
    <row r="28" spans="1:22" x14ac:dyDescent="0.3">
      <c r="A28" s="1">
        <v>44621</v>
      </c>
      <c r="B28" s="2">
        <v>43194.503905999998</v>
      </c>
      <c r="C28" s="2">
        <v>48086.835937999997</v>
      </c>
      <c r="D28" s="2">
        <v>37260.203125</v>
      </c>
      <c r="E28" s="2">
        <v>45538.675780999998</v>
      </c>
      <c r="F28" s="2">
        <v>45538.675780999998</v>
      </c>
      <c r="G28" s="2">
        <v>830943838435</v>
      </c>
      <c r="V28" s="2">
        <v>43194.503905999998</v>
      </c>
    </row>
    <row r="29" spans="1:22" x14ac:dyDescent="0.3">
      <c r="A29" s="55">
        <v>44652</v>
      </c>
      <c r="B29" s="56">
        <v>45554.164062999997</v>
      </c>
      <c r="C29" s="56">
        <v>47313.476562999997</v>
      </c>
      <c r="D29" s="56">
        <v>37697.941405999998</v>
      </c>
      <c r="E29" s="56">
        <v>37714.875</v>
      </c>
      <c r="F29" s="56">
        <v>37714.875</v>
      </c>
      <c r="G29" s="56">
        <v>830115888649</v>
      </c>
      <c r="V29" s="56">
        <v>45554.164062999997</v>
      </c>
    </row>
    <row r="30" spans="1:22" x14ac:dyDescent="0.3">
      <c r="A30" s="1">
        <v>44682</v>
      </c>
      <c r="B30" s="2">
        <v>37713.265625</v>
      </c>
      <c r="C30" s="2">
        <v>39902.949219000002</v>
      </c>
      <c r="D30" s="2">
        <v>26350.490234000001</v>
      </c>
      <c r="E30" s="2">
        <v>31792.310547000001</v>
      </c>
      <c r="F30" s="2">
        <v>31792.310547000001</v>
      </c>
      <c r="G30" s="2">
        <v>1105689315990</v>
      </c>
      <c r="V30" s="2">
        <v>37713.265625</v>
      </c>
    </row>
    <row r="31" spans="1:22" x14ac:dyDescent="0.3">
      <c r="A31" s="55">
        <v>44713</v>
      </c>
      <c r="B31" s="56">
        <v>31792.554688</v>
      </c>
      <c r="C31" s="56">
        <v>31957.285156000002</v>
      </c>
      <c r="D31" s="56">
        <v>17708.623047000001</v>
      </c>
      <c r="E31" s="56">
        <v>19784.726563</v>
      </c>
      <c r="F31" s="56">
        <v>19784.726563</v>
      </c>
      <c r="G31" s="56">
        <v>923939211678</v>
      </c>
      <c r="V31" s="56">
        <v>31792.554688</v>
      </c>
    </row>
    <row r="32" spans="1:22" x14ac:dyDescent="0.3">
      <c r="A32" s="1">
        <v>44743</v>
      </c>
      <c r="B32" s="2">
        <v>19820.470702999999</v>
      </c>
      <c r="C32" s="2">
        <v>24572.580077999999</v>
      </c>
      <c r="D32" s="2">
        <v>18966.951172000001</v>
      </c>
      <c r="E32" s="2">
        <v>23336.896484000001</v>
      </c>
      <c r="F32" s="2">
        <v>23336.896484000001</v>
      </c>
      <c r="G32" s="2">
        <v>927582363389</v>
      </c>
      <c r="V32" s="2">
        <v>19820.470702999999</v>
      </c>
    </row>
    <row r="33" spans="1:22" x14ac:dyDescent="0.3">
      <c r="A33" s="55">
        <v>44774</v>
      </c>
      <c r="B33" s="56">
        <v>23336.71875</v>
      </c>
      <c r="C33" s="56">
        <v>25135.589843999998</v>
      </c>
      <c r="D33" s="56">
        <v>19600.785156000002</v>
      </c>
      <c r="E33" s="56">
        <v>20049.763672000001</v>
      </c>
      <c r="F33" s="56">
        <v>20049.763672000001</v>
      </c>
      <c r="G33" s="56">
        <v>894192654543</v>
      </c>
      <c r="V33" s="56">
        <v>23336.71875</v>
      </c>
    </row>
    <row r="34" spans="1:22" x14ac:dyDescent="0.3">
      <c r="A34" s="1">
        <v>44805</v>
      </c>
      <c r="B34" s="2">
        <v>20050.498047000001</v>
      </c>
      <c r="C34" s="2">
        <v>22673.820313</v>
      </c>
      <c r="D34" s="2">
        <v>18290.314452999999</v>
      </c>
      <c r="E34" s="2">
        <v>19431.789063</v>
      </c>
      <c r="F34" s="2">
        <v>19431.789063</v>
      </c>
      <c r="G34" s="2">
        <v>1123272250385</v>
      </c>
      <c r="V34" s="2">
        <v>20050.498047000001</v>
      </c>
    </row>
    <row r="35" spans="1:22" x14ac:dyDescent="0.3">
      <c r="A35" s="55">
        <v>44835</v>
      </c>
      <c r="B35" s="56">
        <v>19431.105468999998</v>
      </c>
      <c r="C35" s="56">
        <v>20988.394531000002</v>
      </c>
      <c r="D35" s="56">
        <v>18319.822265999999</v>
      </c>
      <c r="E35" s="56">
        <v>20495.773438</v>
      </c>
      <c r="F35" s="56">
        <v>20495.773438</v>
      </c>
      <c r="G35" s="56">
        <v>957903424925</v>
      </c>
      <c r="V35" s="56">
        <v>19431.105468999998</v>
      </c>
    </row>
    <row r="36" spans="1:22" x14ac:dyDescent="0.3">
      <c r="A36" s="1">
        <v>44866</v>
      </c>
      <c r="B36" s="2">
        <v>20494.898438</v>
      </c>
      <c r="C36" s="2">
        <v>21446.886718999998</v>
      </c>
      <c r="D36" s="2">
        <v>15599.046875</v>
      </c>
      <c r="E36" s="2">
        <v>17168.566406000002</v>
      </c>
      <c r="F36" s="2">
        <v>17168.566406000002</v>
      </c>
      <c r="G36" s="2">
        <v>1224531549126</v>
      </c>
      <c r="V36" s="2">
        <v>20494.898438</v>
      </c>
    </row>
    <row r="37" spans="1:22" x14ac:dyDescent="0.3">
      <c r="A37" s="55">
        <v>44896</v>
      </c>
      <c r="B37" s="56">
        <v>17168.001952999999</v>
      </c>
      <c r="C37" s="56">
        <v>18318.53125</v>
      </c>
      <c r="D37" s="56">
        <v>16398.136718999998</v>
      </c>
      <c r="E37" s="56">
        <v>16547.496093999998</v>
      </c>
      <c r="F37" s="56">
        <v>16547.496093999998</v>
      </c>
      <c r="G37" s="56">
        <v>541356716034</v>
      </c>
      <c r="V37" s="56">
        <v>17168.001952999999</v>
      </c>
    </row>
    <row r="38" spans="1:22" x14ac:dyDescent="0.3">
      <c r="A38" s="1">
        <v>44927</v>
      </c>
      <c r="B38" s="2">
        <v>16547.914063</v>
      </c>
      <c r="C38" s="2">
        <v>23919.890625</v>
      </c>
      <c r="D38" s="2">
        <v>16521.234375</v>
      </c>
      <c r="E38" s="2">
        <v>23139.283202999999</v>
      </c>
      <c r="F38" s="2">
        <v>23139.283202999999</v>
      </c>
      <c r="G38" s="2">
        <v>690994018045</v>
      </c>
      <c r="V38" s="2">
        <v>16547.914063</v>
      </c>
    </row>
    <row r="39" spans="1:22" x14ac:dyDescent="0.3">
      <c r="A39" s="55">
        <v>44958</v>
      </c>
      <c r="B39" s="56">
        <v>23137.835938</v>
      </c>
      <c r="C39" s="56">
        <v>25134.117188</v>
      </c>
      <c r="D39" s="56">
        <v>21460.087890999999</v>
      </c>
      <c r="E39" s="56">
        <v>23147.353515999999</v>
      </c>
      <c r="F39" s="56">
        <v>23147.353515999999</v>
      </c>
      <c r="G39" s="56">
        <v>723968574897</v>
      </c>
      <c r="V39" s="56">
        <v>23137.835938</v>
      </c>
    </row>
    <row r="40" spans="1:22" x14ac:dyDescent="0.3">
      <c r="A40" s="1">
        <v>44986</v>
      </c>
      <c r="B40" s="2">
        <v>23150.929688</v>
      </c>
      <c r="C40" s="2">
        <v>29159.902343999998</v>
      </c>
      <c r="D40" s="2">
        <v>19628.253906000002</v>
      </c>
      <c r="E40" s="2">
        <v>28478.484375</v>
      </c>
      <c r="F40" s="2">
        <v>28478.484375</v>
      </c>
      <c r="G40" s="2">
        <v>883299703608</v>
      </c>
      <c r="V40" s="2">
        <v>23150.929688</v>
      </c>
    </row>
    <row r="41" spans="1:22" x14ac:dyDescent="0.3">
      <c r="A41" s="55">
        <v>45017</v>
      </c>
      <c r="B41" s="56">
        <v>28473.332031000002</v>
      </c>
      <c r="C41" s="56">
        <v>31005.607422000001</v>
      </c>
      <c r="D41" s="56">
        <v>27070.849609000001</v>
      </c>
      <c r="E41" s="56">
        <v>29268.806640999999</v>
      </c>
      <c r="F41" s="56">
        <v>29268.806640999999</v>
      </c>
      <c r="G41" s="56">
        <v>511540319004</v>
      </c>
      <c r="V41" s="56">
        <v>28473.332031000002</v>
      </c>
    </row>
    <row r="42" spans="1:22" x14ac:dyDescent="0.3">
      <c r="A42" s="1">
        <v>45047</v>
      </c>
      <c r="B42" s="2">
        <v>29227.103515999999</v>
      </c>
      <c r="C42" s="2">
        <v>29820.126952999999</v>
      </c>
      <c r="D42" s="2">
        <v>25878.429688</v>
      </c>
      <c r="E42" s="2">
        <v>27219.658202999999</v>
      </c>
      <c r="F42" s="2">
        <v>27219.658202999999</v>
      </c>
      <c r="G42" s="2">
        <v>443473015479</v>
      </c>
      <c r="V42" s="2">
        <v>29227.103515999999</v>
      </c>
    </row>
    <row r="43" spans="1:22" x14ac:dyDescent="0.3">
      <c r="A43" s="55">
        <v>45078</v>
      </c>
      <c r="B43" s="56">
        <v>27218.412109000001</v>
      </c>
      <c r="C43" s="56">
        <v>31389.539063</v>
      </c>
      <c r="D43" s="56">
        <v>24797.167968999998</v>
      </c>
      <c r="E43" s="56">
        <v>30477.251952999999</v>
      </c>
      <c r="F43" s="56">
        <v>30477.251952999999</v>
      </c>
      <c r="G43" s="56">
        <v>481734214225</v>
      </c>
      <c r="V43" s="56">
        <v>27218.412109000001</v>
      </c>
    </row>
    <row r="44" spans="1:22" x14ac:dyDescent="0.3">
      <c r="A44" s="1">
        <v>45108</v>
      </c>
      <c r="B44" s="2">
        <v>30471.847656000002</v>
      </c>
      <c r="C44" s="2">
        <v>31814.515625</v>
      </c>
      <c r="D44" s="2">
        <v>28934.294922000001</v>
      </c>
      <c r="E44" s="2">
        <v>29230.111327999999</v>
      </c>
      <c r="F44" s="2">
        <v>29230.111327999999</v>
      </c>
      <c r="G44" s="2">
        <v>382224489090</v>
      </c>
      <c r="V44" s="2">
        <v>30471.847656000002</v>
      </c>
    </row>
    <row r="45" spans="1:22" x14ac:dyDescent="0.3">
      <c r="A45" s="55">
        <v>45139</v>
      </c>
      <c r="B45" s="56">
        <v>29230.873047000001</v>
      </c>
      <c r="C45" s="56">
        <v>30176.796875</v>
      </c>
      <c r="D45" s="56">
        <v>25409.111327999999</v>
      </c>
      <c r="E45" s="56">
        <v>25931.472656000002</v>
      </c>
      <c r="F45" s="56">
        <v>25931.472656000002</v>
      </c>
      <c r="G45" s="56">
        <v>437724169499</v>
      </c>
      <c r="V45" s="56">
        <v>29230.873047000001</v>
      </c>
    </row>
    <row r="46" spans="1:22" x14ac:dyDescent="0.3">
      <c r="A46" s="1">
        <v>45170</v>
      </c>
      <c r="B46" s="2">
        <v>25934.021484000001</v>
      </c>
      <c r="C46" s="2">
        <v>27488.763672000001</v>
      </c>
      <c r="D46" s="2">
        <v>24930.296875</v>
      </c>
      <c r="E46" s="2">
        <v>26967.916015999999</v>
      </c>
      <c r="F46" s="2">
        <v>26967.916015999999</v>
      </c>
      <c r="G46" s="2">
        <v>337637313742</v>
      </c>
      <c r="V46" s="2">
        <v>25934.021484000001</v>
      </c>
    </row>
    <row r="47" spans="1:22" x14ac:dyDescent="0.3">
      <c r="A47" s="55">
        <v>45200</v>
      </c>
      <c r="B47" s="56">
        <v>26967.396484000001</v>
      </c>
      <c r="C47" s="56">
        <v>35150.433594000002</v>
      </c>
      <c r="D47" s="56">
        <v>26558.320313</v>
      </c>
      <c r="E47" s="56">
        <v>34667.78125</v>
      </c>
      <c r="F47" s="56">
        <v>34667.78125</v>
      </c>
      <c r="G47" s="56">
        <v>476425634860</v>
      </c>
      <c r="V47" s="56">
        <v>26967.396484000001</v>
      </c>
    </row>
    <row r="48" spans="1:22" x14ac:dyDescent="0.3">
      <c r="A48" s="1">
        <v>45231</v>
      </c>
      <c r="B48" s="2">
        <v>34657.273437999997</v>
      </c>
      <c r="C48" s="2">
        <v>38415.339844000002</v>
      </c>
      <c r="D48" s="2">
        <v>34133.441405999998</v>
      </c>
      <c r="E48" s="2">
        <v>37712.746094000002</v>
      </c>
      <c r="F48" s="2">
        <v>37712.746094000002</v>
      </c>
      <c r="G48" s="2">
        <v>570863267380</v>
      </c>
      <c r="V48" s="2">
        <v>34657.273437999997</v>
      </c>
    </row>
    <row r="49" spans="1:22" x14ac:dyDescent="0.3">
      <c r="A49" s="55">
        <v>45261</v>
      </c>
      <c r="B49" s="56">
        <v>37718.007812999997</v>
      </c>
      <c r="C49" s="56">
        <v>44705.515625</v>
      </c>
      <c r="D49" s="56">
        <v>37629.359375</v>
      </c>
      <c r="E49" s="56">
        <v>42265.1875</v>
      </c>
      <c r="F49" s="56">
        <v>42265.1875</v>
      </c>
      <c r="G49" s="56">
        <v>721704910480</v>
      </c>
      <c r="V49" s="56">
        <v>37718.007812999997</v>
      </c>
    </row>
    <row r="50" spans="1:22" x14ac:dyDescent="0.3">
      <c r="A50" s="1">
        <v>45292</v>
      </c>
      <c r="B50" s="2">
        <v>42280.234375</v>
      </c>
      <c r="C50" s="2">
        <v>48969.371094000002</v>
      </c>
      <c r="D50" s="2">
        <v>38521.894530999998</v>
      </c>
      <c r="E50" s="2">
        <v>42582.605469000002</v>
      </c>
      <c r="F50" s="2">
        <v>42582.605469000002</v>
      </c>
      <c r="G50" s="2">
        <v>825918941347</v>
      </c>
      <c r="V50" s="2">
        <v>42280.234375</v>
      </c>
    </row>
    <row r="51" spans="1:22" x14ac:dyDescent="0.3">
      <c r="A51" s="55">
        <v>45323</v>
      </c>
      <c r="B51" s="56">
        <v>42569.761719000002</v>
      </c>
      <c r="C51" s="56">
        <v>63913.132812999997</v>
      </c>
      <c r="D51" s="56">
        <v>41879.191405999998</v>
      </c>
      <c r="E51" s="56">
        <v>61198.382812999997</v>
      </c>
      <c r="F51" s="56">
        <v>61198.382812999997</v>
      </c>
      <c r="G51" s="56">
        <v>830721862621</v>
      </c>
      <c r="V51" s="56">
        <v>42569.761719000002</v>
      </c>
    </row>
    <row r="52" spans="1:22" x14ac:dyDescent="0.3">
      <c r="A52" s="1">
        <v>45352</v>
      </c>
      <c r="B52" s="2">
        <v>61168.0625</v>
      </c>
      <c r="C52" s="2">
        <v>73750.070313000004</v>
      </c>
      <c r="D52" s="2">
        <v>59323.910155999998</v>
      </c>
      <c r="E52" s="2">
        <v>71333.648438000004</v>
      </c>
      <c r="F52" s="2">
        <v>71333.648438000004</v>
      </c>
      <c r="G52" s="2">
        <v>1446417844950</v>
      </c>
      <c r="V52" s="2">
        <v>61168.0625</v>
      </c>
    </row>
    <row r="53" spans="1:22" x14ac:dyDescent="0.3">
      <c r="A53" s="55">
        <v>45383</v>
      </c>
      <c r="B53" s="56">
        <v>71333.484375</v>
      </c>
      <c r="C53" s="56">
        <v>72715.359375</v>
      </c>
      <c r="D53" s="56">
        <v>59120.066405999998</v>
      </c>
      <c r="E53" s="56">
        <v>60636.855469000002</v>
      </c>
      <c r="F53" s="56">
        <v>60636.855469000002</v>
      </c>
      <c r="G53" s="56">
        <v>1016068331704</v>
      </c>
      <c r="V53" s="56">
        <v>71333.484375</v>
      </c>
    </row>
    <row r="54" spans="1:22" x14ac:dyDescent="0.3">
      <c r="A54" s="1">
        <v>45413</v>
      </c>
      <c r="B54" s="2">
        <v>60609.496094000002</v>
      </c>
      <c r="C54" s="2">
        <v>71946.460938000004</v>
      </c>
      <c r="D54" s="2">
        <v>56555.292969000002</v>
      </c>
      <c r="E54" s="2">
        <v>67491.414063000004</v>
      </c>
      <c r="F54" s="2">
        <v>67491.414063000004</v>
      </c>
      <c r="G54" s="2">
        <v>874291509757</v>
      </c>
      <c r="V54" s="2">
        <v>60609.496094000002</v>
      </c>
    </row>
    <row r="55" spans="1:22" x14ac:dyDescent="0.3">
      <c r="A55" s="55">
        <v>45444</v>
      </c>
      <c r="B55" s="56">
        <v>67489.609375</v>
      </c>
      <c r="C55" s="56">
        <v>71907.851563000004</v>
      </c>
      <c r="D55" s="56">
        <v>58601.699219000002</v>
      </c>
      <c r="E55" s="56">
        <v>62678.292969000002</v>
      </c>
      <c r="F55" s="56">
        <v>62678.292969000002</v>
      </c>
      <c r="G55" s="56">
        <v>726773965644</v>
      </c>
      <c r="V55" s="56">
        <v>67489.609375</v>
      </c>
    </row>
    <row r="56" spans="1:22" x14ac:dyDescent="0.3">
      <c r="A56" s="1">
        <v>45474</v>
      </c>
      <c r="B56" s="2">
        <v>62673.605469000002</v>
      </c>
      <c r="C56" s="2">
        <v>69987.539063000004</v>
      </c>
      <c r="D56" s="2">
        <v>53717.375</v>
      </c>
      <c r="E56" s="2">
        <v>64619.25</v>
      </c>
      <c r="F56" s="2">
        <v>64619.25</v>
      </c>
      <c r="G56" s="2">
        <v>953395573307</v>
      </c>
      <c r="V56" s="2">
        <v>62673.605469000002</v>
      </c>
    </row>
    <row r="57" spans="1:22" x14ac:dyDescent="0.3">
      <c r="A57" s="55">
        <v>45505</v>
      </c>
      <c r="B57" s="56">
        <v>64625.839844000002</v>
      </c>
      <c r="C57" s="56">
        <v>65593.242188000004</v>
      </c>
      <c r="D57" s="56">
        <v>49121.238280999998</v>
      </c>
      <c r="E57" s="56">
        <v>58969.898437999997</v>
      </c>
      <c r="F57" s="56">
        <v>58969.898437999997</v>
      </c>
      <c r="G57" s="56">
        <v>1043105485208</v>
      </c>
      <c r="V57" s="56">
        <v>64625.839844000002</v>
      </c>
    </row>
    <row r="58" spans="1:22" x14ac:dyDescent="0.3">
      <c r="A58" s="1">
        <v>45536</v>
      </c>
      <c r="B58" s="2">
        <v>58969.800780999998</v>
      </c>
      <c r="C58" s="2">
        <v>59403.070312999997</v>
      </c>
      <c r="D58" s="2">
        <v>57136.027344000002</v>
      </c>
      <c r="E58" s="2">
        <v>59112.480469000002</v>
      </c>
      <c r="F58" s="2">
        <v>59112.480469000002</v>
      </c>
      <c r="G58" s="2">
        <v>51628904521</v>
      </c>
      <c r="V58" s="2">
        <v>58969.800780999998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2377B-9ABE-4C2F-8CFC-987394B8D7EA}">
  <sheetPr>
    <tabColor theme="9" tint="-0.499984740745262"/>
  </sheetPr>
  <dimension ref="A1:K59"/>
  <sheetViews>
    <sheetView zoomScale="70" zoomScaleNormal="70" workbookViewId="0">
      <pane ySplit="1" topLeftCell="A2" activePane="bottomLeft" state="frozen"/>
      <selection pane="bottomLeft" activeCell="A2" sqref="A2"/>
    </sheetView>
  </sheetViews>
  <sheetFormatPr baseColWidth="10" defaultColWidth="9.109375" defaultRowHeight="14.4" x14ac:dyDescent="0.3"/>
  <cols>
    <col min="1" max="1" width="9.109375" style="4"/>
    <col min="2" max="2" width="16" style="4" bestFit="1" customWidth="1"/>
    <col min="3" max="3" width="15.88671875" style="4" customWidth="1"/>
    <col min="4" max="5" width="16.5546875" style="4" bestFit="1" customWidth="1"/>
    <col min="6" max="6" width="14.88671875" style="4" bestFit="1" customWidth="1"/>
    <col min="7" max="7" width="25.44140625" style="4" customWidth="1"/>
    <col min="8" max="8" width="16.109375" style="4" bestFit="1" customWidth="1"/>
    <col min="9" max="9" width="9.44140625" style="4" bestFit="1" customWidth="1"/>
    <col min="10" max="10" width="9.21875" style="4" bestFit="1" customWidth="1"/>
    <col min="11" max="11" width="11.44140625" style="4" customWidth="1"/>
    <col min="12" max="13" width="9.109375" style="4"/>
    <col min="14" max="14" width="14.88671875" style="4" bestFit="1" customWidth="1"/>
    <col min="15" max="15" width="16.21875" style="4" customWidth="1"/>
    <col min="16" max="16" width="14.88671875" style="4" bestFit="1" customWidth="1"/>
    <col min="17" max="17" width="17.5546875" style="4" bestFit="1" customWidth="1"/>
    <col min="18" max="18" width="29.44140625" style="4" bestFit="1" customWidth="1"/>
    <col min="19" max="21" width="9.109375" style="4"/>
    <col min="22" max="22" width="14.88671875" style="4" bestFit="1" customWidth="1"/>
    <col min="23" max="16384" width="9.109375" style="4"/>
  </cols>
  <sheetData>
    <row r="1" spans="1:11" x14ac:dyDescent="0.3">
      <c r="A1" s="3" t="s">
        <v>7</v>
      </c>
      <c r="B1" s="3" t="s">
        <v>8</v>
      </c>
      <c r="C1" s="3" t="s">
        <v>9</v>
      </c>
      <c r="D1" s="3" t="s">
        <v>10</v>
      </c>
      <c r="E1" s="3" t="s">
        <v>11</v>
      </c>
      <c r="F1" s="3" t="s">
        <v>12</v>
      </c>
      <c r="G1" s="3" t="s">
        <v>13</v>
      </c>
      <c r="H1" s="3" t="s">
        <v>14</v>
      </c>
      <c r="I1" s="3" t="s">
        <v>15</v>
      </c>
      <c r="J1" s="3" t="s">
        <v>16</v>
      </c>
      <c r="K1" s="3" t="s">
        <v>17</v>
      </c>
    </row>
    <row r="2" spans="1:11" x14ac:dyDescent="0.3">
      <c r="A2" s="5">
        <v>1</v>
      </c>
      <c r="B2" s="6">
        <f>+data!B2</f>
        <v>7194.8920900000003</v>
      </c>
      <c r="C2" s="6"/>
      <c r="D2" s="6"/>
      <c r="E2" s="6"/>
      <c r="F2" s="6"/>
      <c r="G2" s="6"/>
      <c r="H2" s="6"/>
      <c r="I2" s="7"/>
      <c r="J2" s="7"/>
      <c r="K2" s="7"/>
    </row>
    <row r="3" spans="1:11" x14ac:dyDescent="0.3">
      <c r="A3" s="8">
        <f>+A2+1</f>
        <v>2</v>
      </c>
      <c r="B3" s="9">
        <f>+data!B3</f>
        <v>9346.3574219999991</v>
      </c>
      <c r="C3" s="9"/>
      <c r="D3" s="9"/>
      <c r="E3" s="9"/>
      <c r="F3" s="9"/>
      <c r="G3" s="9"/>
      <c r="H3" s="9"/>
      <c r="I3" s="10"/>
      <c r="J3" s="10"/>
      <c r="K3" s="10"/>
    </row>
    <row r="4" spans="1:11" x14ac:dyDescent="0.3">
      <c r="A4" s="5">
        <f t="shared" ref="A4:A58" si="0">+A3+1</f>
        <v>3</v>
      </c>
      <c r="B4" s="6">
        <f>+data!B4</f>
        <v>8599.7587889999995</v>
      </c>
      <c r="C4" s="6">
        <f t="shared" ref="C4:C12" si="1">+AVERAGE(B2:B4)</f>
        <v>8380.3361003333321</v>
      </c>
      <c r="D4" s="6"/>
      <c r="E4" s="6"/>
      <c r="F4" s="6"/>
      <c r="G4" s="6"/>
      <c r="H4" s="6"/>
      <c r="I4" s="7"/>
      <c r="J4" s="7"/>
      <c r="K4" s="7"/>
    </row>
    <row r="5" spans="1:11" x14ac:dyDescent="0.3">
      <c r="A5" s="8">
        <f t="shared" si="0"/>
        <v>4</v>
      </c>
      <c r="B5" s="9">
        <f>+data!B5</f>
        <v>6437.3193359999996</v>
      </c>
      <c r="C5" s="9">
        <f t="shared" si="1"/>
        <v>8127.8118490000006</v>
      </c>
      <c r="D5" s="9">
        <f>+C4</f>
        <v>8380.3361003333321</v>
      </c>
      <c r="E5" s="9">
        <f t="shared" ref="E5" si="2">+D5-B5</f>
        <v>1943.0167643333325</v>
      </c>
      <c r="F5" s="9">
        <f>+ABS(E5)</f>
        <v>1943.0167643333325</v>
      </c>
      <c r="G5" s="9">
        <f>+SUMSQ($E5:E$5)/(A5-3)</f>
        <v>3775314.1464803731</v>
      </c>
      <c r="H5" s="9">
        <f>+SUM($F5:F$5)/(A5-3)</f>
        <v>1943.0167643333325</v>
      </c>
      <c r="I5" s="13">
        <f t="shared" ref="I5" si="3">+(F5/B5)*100</f>
        <v>30.183631771492603</v>
      </c>
      <c r="J5" s="13">
        <f>+AVERAGE($I$5:I5)</f>
        <v>30.183631771492603</v>
      </c>
      <c r="K5" s="11">
        <f>+SUM($E$5:E5)/H5</f>
        <v>1</v>
      </c>
    </row>
    <row r="6" spans="1:11" x14ac:dyDescent="0.3">
      <c r="A6" s="5">
        <f t="shared" si="0"/>
        <v>5</v>
      </c>
      <c r="B6" s="6">
        <f>+data!B6</f>
        <v>8672.7822269999997</v>
      </c>
      <c r="C6" s="6">
        <f t="shared" si="1"/>
        <v>7903.2867839999999</v>
      </c>
      <c r="D6" s="6">
        <f t="shared" ref="D6:D58" si="4">+C5</f>
        <v>8127.8118490000006</v>
      </c>
      <c r="E6" s="6">
        <f t="shared" ref="E6:E58" si="5">+D6-B6</f>
        <v>-544.97037799999907</v>
      </c>
      <c r="F6" s="6">
        <f t="shared" ref="F6:F58" si="6">+ABS(E6)</f>
        <v>544.97037799999907</v>
      </c>
      <c r="G6" s="6">
        <f>+SUMSQ($E$5:E6)/(A6-3)</f>
        <v>2036153.4296889175</v>
      </c>
      <c r="H6" s="6">
        <f>+SUM($F$5:F6)/(A6-3)</f>
        <v>1243.9935711666658</v>
      </c>
      <c r="I6" s="14">
        <f t="shared" ref="I6:I58" si="7">+(F6/B6)*100</f>
        <v>6.2836857162561284</v>
      </c>
      <c r="J6" s="14">
        <f>+AVERAGE($I$5:I6)</f>
        <v>18.233658743874365</v>
      </c>
      <c r="K6" s="12">
        <f>+SUM($E$5:E6)/H6</f>
        <v>1.1238373081158215</v>
      </c>
    </row>
    <row r="7" spans="1:11" x14ac:dyDescent="0.3">
      <c r="A7" s="8">
        <f t="shared" si="0"/>
        <v>6</v>
      </c>
      <c r="B7" s="9">
        <f>+data!B7</f>
        <v>9463.6054690000001</v>
      </c>
      <c r="C7" s="9">
        <f t="shared" si="1"/>
        <v>8191.2356773333331</v>
      </c>
      <c r="D7" s="9">
        <f t="shared" si="4"/>
        <v>7903.2867839999999</v>
      </c>
      <c r="E7" s="9">
        <f t="shared" si="5"/>
        <v>-1560.3186850000002</v>
      </c>
      <c r="F7" s="9">
        <f t="shared" si="6"/>
        <v>1560.3186850000002</v>
      </c>
      <c r="G7" s="9">
        <f>+SUMSQ($E$5:E7)/(A7-3)</f>
        <v>2168967.0860459884</v>
      </c>
      <c r="H7" s="9">
        <f>+SUM($F$5:F7)/(A7-3)</f>
        <v>1349.4352757777772</v>
      </c>
      <c r="I7" s="13">
        <f t="shared" si="7"/>
        <v>16.487571149401223</v>
      </c>
      <c r="J7" s="13">
        <f>+AVERAGE($I$5:I7)</f>
        <v>17.651629545716649</v>
      </c>
      <c r="K7" s="11">
        <f>+SUM($E$5:E7)/H7</f>
        <v>-0.12025200584232355</v>
      </c>
    </row>
    <row r="8" spans="1:11" x14ac:dyDescent="0.3">
      <c r="A8" s="5">
        <f t="shared" si="0"/>
        <v>7</v>
      </c>
      <c r="B8" s="6">
        <f>+data!B8</f>
        <v>9145.9853519999997</v>
      </c>
      <c r="C8" s="6">
        <f t="shared" si="1"/>
        <v>9094.1243493333332</v>
      </c>
      <c r="D8" s="6">
        <f t="shared" si="4"/>
        <v>8191.2356773333331</v>
      </c>
      <c r="E8" s="6">
        <f t="shared" si="5"/>
        <v>-954.74967466666658</v>
      </c>
      <c r="F8" s="6">
        <f t="shared" si="6"/>
        <v>954.74967466666658</v>
      </c>
      <c r="G8" s="6">
        <f>+SUMSQ($E$5:E8)/(A8-3)</f>
        <v>1854612.0498535177</v>
      </c>
      <c r="H8" s="6">
        <f>+SUM($F$5:F8)/(A8-3)</f>
        <v>1250.7638754999996</v>
      </c>
      <c r="I8" s="14">
        <f t="shared" si="7"/>
        <v>10.439002884012783</v>
      </c>
      <c r="J8" s="14">
        <f>+AVERAGE($I$5:I8)</f>
        <v>15.848472880290682</v>
      </c>
      <c r="K8" s="12">
        <f>+SUM($E$5:E8)/H8</f>
        <v>-0.89307182211894132</v>
      </c>
    </row>
    <row r="9" spans="1:11" x14ac:dyDescent="0.3">
      <c r="A9" s="8">
        <f t="shared" si="0"/>
        <v>8</v>
      </c>
      <c r="B9" s="9">
        <f>+data!B9</f>
        <v>11322.570313</v>
      </c>
      <c r="C9" s="9">
        <f t="shared" si="1"/>
        <v>9977.387044666666</v>
      </c>
      <c r="D9" s="9">
        <f t="shared" si="4"/>
        <v>9094.1243493333332</v>
      </c>
      <c r="E9" s="9">
        <f t="shared" si="5"/>
        <v>-2228.445963666667</v>
      </c>
      <c r="F9" s="9">
        <f t="shared" si="6"/>
        <v>2228.445963666667</v>
      </c>
      <c r="G9" s="9">
        <f>+SUMSQ($E$5:E9)/(A9-3)</f>
        <v>2476883.9224792658</v>
      </c>
      <c r="H9" s="9">
        <f>+SUM($F$5:F9)/(A9-3)</f>
        <v>1446.3002931333331</v>
      </c>
      <c r="I9" s="13">
        <f t="shared" si="7"/>
        <v>19.681449547794625</v>
      </c>
      <c r="J9" s="13">
        <f>+AVERAGE($I$5:I9)</f>
        <v>16.615068213791471</v>
      </c>
      <c r="K9" s="11">
        <f>+SUM($E$5:E9)/H9</f>
        <v>-2.313121246592726</v>
      </c>
    </row>
    <row r="10" spans="1:11" x14ac:dyDescent="0.3">
      <c r="A10" s="5">
        <f t="shared" si="0"/>
        <v>9</v>
      </c>
      <c r="B10" s="6">
        <f>+data!B10</f>
        <v>11679.316406</v>
      </c>
      <c r="C10" s="6">
        <f t="shared" si="1"/>
        <v>10715.957356999999</v>
      </c>
      <c r="D10" s="6">
        <f t="shared" si="4"/>
        <v>9977.387044666666</v>
      </c>
      <c r="E10" s="6">
        <f t="shared" si="5"/>
        <v>-1701.9293613333339</v>
      </c>
      <c r="F10" s="6">
        <f t="shared" si="6"/>
        <v>1701.9293613333339</v>
      </c>
      <c r="G10" s="6">
        <f>+SUMSQ($E$5:E10)/(A10-3)</f>
        <v>2546830.5272274702</v>
      </c>
      <c r="H10" s="6">
        <f>+SUM($F$5:F10)/(A10-3)</f>
        <v>1488.9051378333334</v>
      </c>
      <c r="I10" s="14">
        <f t="shared" si="7"/>
        <v>14.572165888570362</v>
      </c>
      <c r="J10" s="14">
        <f>+AVERAGE($I$5:I10)</f>
        <v>16.274584492921289</v>
      </c>
      <c r="K10" s="12">
        <f>+SUM($E$5:E10)/H10</f>
        <v>-3.3900059648382617</v>
      </c>
    </row>
    <row r="11" spans="1:11" x14ac:dyDescent="0.3">
      <c r="A11" s="8">
        <f t="shared" si="0"/>
        <v>10</v>
      </c>
      <c r="B11" s="9">
        <f>+data!B11</f>
        <v>10795.254883</v>
      </c>
      <c r="C11" s="9">
        <f t="shared" si="1"/>
        <v>11265.713867333334</v>
      </c>
      <c r="D11" s="9">
        <f t="shared" si="4"/>
        <v>10715.957356999999</v>
      </c>
      <c r="E11" s="9">
        <f t="shared" si="5"/>
        <v>-79.297526000000289</v>
      </c>
      <c r="F11" s="9">
        <f t="shared" si="6"/>
        <v>79.297526000000289</v>
      </c>
      <c r="G11" s="9">
        <f>+SUMSQ($E$5:E11)/(A11-3)</f>
        <v>2183895.8944277917</v>
      </c>
      <c r="H11" s="9">
        <f>+SUM($F$5:F11)/(A11-3)</f>
        <v>1287.5326218571429</v>
      </c>
      <c r="I11" s="13">
        <f t="shared" si="7"/>
        <v>0.73455908970593498</v>
      </c>
      <c r="J11" s="13">
        <f>+AVERAGE($I$5:I11)</f>
        <v>14.054580863890523</v>
      </c>
      <c r="K11" s="11">
        <f>+SUM($E$5:E11)/H11</f>
        <v>-3.9817980044176018</v>
      </c>
    </row>
    <row r="12" spans="1:11" x14ac:dyDescent="0.3">
      <c r="A12" s="5">
        <f t="shared" si="0"/>
        <v>11</v>
      </c>
      <c r="B12" s="6">
        <f>+data!B12</f>
        <v>13780.995117</v>
      </c>
      <c r="C12" s="6">
        <f t="shared" si="1"/>
        <v>12085.188801999999</v>
      </c>
      <c r="D12" s="6">
        <f t="shared" si="4"/>
        <v>11265.713867333334</v>
      </c>
      <c r="E12" s="6">
        <f t="shared" si="5"/>
        <v>-2515.2812496666666</v>
      </c>
      <c r="F12" s="6">
        <f t="shared" si="6"/>
        <v>2515.2812496666666</v>
      </c>
      <c r="G12" s="6">
        <f>+SUMSQ($E$5:E12)/(A12-3)</f>
        <v>2701738.8782399059</v>
      </c>
      <c r="H12" s="6">
        <f>+SUM($F$5:F12)/(A12-3)</f>
        <v>1441.0012003333334</v>
      </c>
      <c r="I12" s="14">
        <f t="shared" si="7"/>
        <v>18.251811486123078</v>
      </c>
      <c r="J12" s="14">
        <f>+AVERAGE($I$5:I12)</f>
        <v>14.579234691669592</v>
      </c>
      <c r="K12" s="12">
        <f>+SUM($E$5:E12)/H12</f>
        <v>-5.30324060259787</v>
      </c>
    </row>
    <row r="13" spans="1:11" x14ac:dyDescent="0.3">
      <c r="A13" s="8">
        <f t="shared" si="0"/>
        <v>12</v>
      </c>
      <c r="B13" s="9">
        <f>+data!B13</f>
        <v>19633.769531000002</v>
      </c>
      <c r="C13" s="9">
        <f t="shared" ref="C13:C54" si="8">+AVERAGE(B11:B13)</f>
        <v>14736.673176999999</v>
      </c>
      <c r="D13" s="9">
        <f t="shared" si="4"/>
        <v>12085.188801999999</v>
      </c>
      <c r="E13" s="9">
        <f t="shared" si="5"/>
        <v>-7548.580729000003</v>
      </c>
      <c r="F13" s="9">
        <f t="shared" si="6"/>
        <v>7548.580729000003</v>
      </c>
      <c r="G13" s="9">
        <f>+SUMSQ($E$5:E13)/(A13-3)</f>
        <v>8732775.7831277177</v>
      </c>
      <c r="H13" s="9">
        <f>+SUM($F$5:F13)/(A13-3)</f>
        <v>2119.6211479629633</v>
      </c>
      <c r="I13" s="13">
        <f t="shared" si="7"/>
        <v>38.446925421435019</v>
      </c>
      <c r="J13" s="13">
        <f>+AVERAGE($I$5:I13)</f>
        <v>17.231200328310194</v>
      </c>
      <c r="K13" s="11">
        <f>+SUM($E$5:E13)/H13</f>
        <v>-7.1666376878711118</v>
      </c>
    </row>
    <row r="14" spans="1:11" x14ac:dyDescent="0.3">
      <c r="A14" s="5">
        <f t="shared" si="0"/>
        <v>13</v>
      </c>
      <c r="B14" s="6">
        <f>+data!B14</f>
        <v>28994.009765999999</v>
      </c>
      <c r="C14" s="6">
        <f t="shared" si="8"/>
        <v>20802.924804666665</v>
      </c>
      <c r="D14" s="6">
        <f t="shared" si="4"/>
        <v>14736.673176999999</v>
      </c>
      <c r="E14" s="6">
        <f t="shared" si="5"/>
        <v>-14257.336589</v>
      </c>
      <c r="F14" s="6">
        <f t="shared" si="6"/>
        <v>14257.336589</v>
      </c>
      <c r="G14" s="6">
        <f>+SUMSQ($E$5:E14)/(A14-3)</f>
        <v>28186662.866018761</v>
      </c>
      <c r="H14" s="6">
        <f>+SUM($F$5:F14)/(A14-3)</f>
        <v>3333.3926920666672</v>
      </c>
      <c r="I14" s="14">
        <f t="shared" si="7"/>
        <v>49.173386861857765</v>
      </c>
      <c r="J14" s="14">
        <f>+AVERAGE($I$5:I14)</f>
        <v>20.425418981664951</v>
      </c>
      <c r="K14" s="12">
        <f>+SUM($E$5:E14)/H14</f>
        <v>-8.8342107013328306</v>
      </c>
    </row>
    <row r="15" spans="1:11" x14ac:dyDescent="0.3">
      <c r="A15" s="8">
        <f t="shared" si="0"/>
        <v>14</v>
      </c>
      <c r="B15" s="9">
        <f>+data!B15</f>
        <v>33114.578125</v>
      </c>
      <c r="C15" s="9">
        <f t="shared" si="8"/>
        <v>27247.452474000002</v>
      </c>
      <c r="D15" s="9">
        <f t="shared" si="4"/>
        <v>20802.924804666665</v>
      </c>
      <c r="E15" s="9">
        <f t="shared" si="5"/>
        <v>-12311.653320333335</v>
      </c>
      <c r="F15" s="9">
        <f t="shared" si="6"/>
        <v>12311.653320333335</v>
      </c>
      <c r="G15" s="9">
        <f>+SUMSQ($E$5:E15)/(A15-3)</f>
        <v>39403948.740023859</v>
      </c>
      <c r="H15" s="9">
        <f>+SUM($F$5:F15)/(A15-3)</f>
        <v>4149.5982037272734</v>
      </c>
      <c r="I15" s="13">
        <f t="shared" si="7"/>
        <v>37.178952646957008</v>
      </c>
      <c r="J15" s="13">
        <f>+AVERAGE($I$5:I15)</f>
        <v>21.948467496691503</v>
      </c>
      <c r="K15" s="11">
        <f>+SUM($E$5:E15)/H15</f>
        <v>-10.063515709743623</v>
      </c>
    </row>
    <row r="16" spans="1:11" x14ac:dyDescent="0.3">
      <c r="A16" s="5">
        <f t="shared" si="0"/>
        <v>15</v>
      </c>
      <c r="B16" s="6">
        <f>+data!B16</f>
        <v>45159.503905999998</v>
      </c>
      <c r="C16" s="6">
        <f t="shared" si="8"/>
        <v>35756.030598999998</v>
      </c>
      <c r="D16" s="6">
        <f t="shared" si="4"/>
        <v>27247.452474000002</v>
      </c>
      <c r="E16" s="6">
        <f t="shared" si="5"/>
        <v>-17912.051431999997</v>
      </c>
      <c r="F16" s="6">
        <f t="shared" si="6"/>
        <v>17912.051431999997</v>
      </c>
      <c r="G16" s="6">
        <f>+SUMSQ($E$5:E16)/(A16-3)</f>
        <v>62857085.220239632</v>
      </c>
      <c r="H16" s="6">
        <f>+SUM($F$5:F16)/(A16-3)</f>
        <v>5296.4693060833333</v>
      </c>
      <c r="I16" s="14">
        <f t="shared" si="7"/>
        <v>39.663968561931348</v>
      </c>
      <c r="J16" s="14">
        <f>+AVERAGE($I$5:I16)</f>
        <v>23.424759252128155</v>
      </c>
      <c r="K16" s="12">
        <f>+SUM($E$5:E16)/H16</f>
        <v>-11.266297356957528</v>
      </c>
    </row>
    <row r="17" spans="1:11" x14ac:dyDescent="0.3">
      <c r="A17" s="8">
        <f t="shared" si="0"/>
        <v>16</v>
      </c>
      <c r="B17" s="9">
        <f>+data!B17</f>
        <v>58926.5625</v>
      </c>
      <c r="C17" s="9">
        <f t="shared" si="8"/>
        <v>45733.548176999997</v>
      </c>
      <c r="D17" s="9">
        <f t="shared" si="4"/>
        <v>35756.030598999998</v>
      </c>
      <c r="E17" s="9">
        <f t="shared" si="5"/>
        <v>-23170.531901000002</v>
      </c>
      <c r="F17" s="9">
        <f t="shared" si="6"/>
        <v>23170.531901000002</v>
      </c>
      <c r="G17" s="9">
        <f>+SUMSQ($E$5:E17)/(A17-3)</f>
        <v>99319890.093702644</v>
      </c>
      <c r="H17" s="9">
        <f>+SUM($F$5:F17)/(A17-3)</f>
        <v>6671.3971980000006</v>
      </c>
      <c r="I17" s="13">
        <f t="shared" si="7"/>
        <v>39.321030988359453</v>
      </c>
      <c r="J17" s="13">
        <f>+AVERAGE($I$5:I17)</f>
        <v>24.647549385684407</v>
      </c>
      <c r="K17" s="11">
        <f>+SUM($E$5:E17)/H17</f>
        <v>-12.417508294989291</v>
      </c>
    </row>
    <row r="18" spans="1:11" x14ac:dyDescent="0.3">
      <c r="A18" s="5">
        <f t="shared" si="0"/>
        <v>17</v>
      </c>
      <c r="B18" s="6">
        <f>+data!B18</f>
        <v>57714.664062999997</v>
      </c>
      <c r="C18" s="6">
        <f t="shared" si="8"/>
        <v>53933.576823000003</v>
      </c>
      <c r="D18" s="6">
        <f t="shared" si="4"/>
        <v>45733.548176999997</v>
      </c>
      <c r="E18" s="6">
        <f t="shared" si="5"/>
        <v>-11981.115886</v>
      </c>
      <c r="F18" s="6">
        <f t="shared" si="6"/>
        <v>11981.115886</v>
      </c>
      <c r="G18" s="6">
        <f>+SUMSQ($E$5:E18)/(A18-3)</f>
        <v>102478979.22084972</v>
      </c>
      <c r="H18" s="6">
        <f>+SUM($F$5:F18)/(A18-3)</f>
        <v>7050.6628185714289</v>
      </c>
      <c r="I18" s="14">
        <f t="shared" si="7"/>
        <v>20.759223120352377</v>
      </c>
      <c r="J18" s="14">
        <f>+AVERAGE($I$5:I18)</f>
        <v>24.369811795303548</v>
      </c>
      <c r="K18" s="12">
        <f>+SUM($E$5:E18)/H18</f>
        <v>-13.448841388581101</v>
      </c>
    </row>
    <row r="19" spans="1:11" x14ac:dyDescent="0.3">
      <c r="A19" s="8">
        <f t="shared" si="0"/>
        <v>18</v>
      </c>
      <c r="B19" s="9">
        <f>+data!B19</f>
        <v>37293.792969000002</v>
      </c>
      <c r="C19" s="9">
        <f t="shared" si="8"/>
        <v>51311.673177333338</v>
      </c>
      <c r="D19" s="9">
        <f t="shared" si="4"/>
        <v>53933.576823000003</v>
      </c>
      <c r="E19" s="9">
        <f t="shared" si="5"/>
        <v>16639.783854000001</v>
      </c>
      <c r="F19" s="9">
        <f t="shared" si="6"/>
        <v>16639.783854000001</v>
      </c>
      <c r="G19" s="9">
        <f>+SUMSQ($E$5:E19)/(A19-3)</f>
        <v>114105874.386649</v>
      </c>
      <c r="H19" s="9">
        <f>+SUM($F$5:F19)/(A19-3)</f>
        <v>7689.9375542666667</v>
      </c>
      <c r="I19" s="13">
        <f t="shared" si="7"/>
        <v>44.618105398481759</v>
      </c>
      <c r="J19" s="13">
        <f>+AVERAGE($I$5:I19)</f>
        <v>25.719698035515428</v>
      </c>
      <c r="K19" s="11">
        <f>+SUM($E$5:E19)/H19</f>
        <v>-10.166982699873058</v>
      </c>
    </row>
    <row r="20" spans="1:11" x14ac:dyDescent="0.3">
      <c r="A20" s="5">
        <f t="shared" si="0"/>
        <v>19</v>
      </c>
      <c r="B20" s="6">
        <f>+data!B20</f>
        <v>35035.984375</v>
      </c>
      <c r="C20" s="6">
        <f t="shared" si="8"/>
        <v>43348.147135666666</v>
      </c>
      <c r="D20" s="6">
        <f t="shared" si="4"/>
        <v>51311.673177333338</v>
      </c>
      <c r="E20" s="6">
        <f t="shared" si="5"/>
        <v>16275.688802333338</v>
      </c>
      <c r="F20" s="6">
        <f t="shared" si="6"/>
        <v>16275.688802333338</v>
      </c>
      <c r="G20" s="6">
        <f>+SUMSQ($E$5:E20)/(A20-3)</f>
        <v>123530385.11188337</v>
      </c>
      <c r="H20" s="6">
        <f>+SUM($F$5:F20)/(A20-3)</f>
        <v>8226.547007270834</v>
      </c>
      <c r="I20" s="14">
        <f t="shared" si="7"/>
        <v>46.454207274812262</v>
      </c>
      <c r="J20" s="14">
        <f>+AVERAGE($I$5:I20)</f>
        <v>27.015604862971479</v>
      </c>
      <c r="K20" s="12">
        <f>+SUM($E$5:E20)/H20</f>
        <v>-7.5253655294602106</v>
      </c>
    </row>
    <row r="21" spans="1:11" x14ac:dyDescent="0.3">
      <c r="A21" s="8">
        <f t="shared" si="0"/>
        <v>20</v>
      </c>
      <c r="B21" s="9">
        <f>+data!B21</f>
        <v>41460.84375</v>
      </c>
      <c r="C21" s="9">
        <f t="shared" si="8"/>
        <v>37930.207031333332</v>
      </c>
      <c r="D21" s="9">
        <f t="shared" si="4"/>
        <v>43348.147135666666</v>
      </c>
      <c r="E21" s="9">
        <f t="shared" si="5"/>
        <v>1887.3033856666661</v>
      </c>
      <c r="F21" s="9">
        <f t="shared" si="6"/>
        <v>1887.3033856666661</v>
      </c>
      <c r="G21" s="9">
        <f>+SUMSQ($E$5:E21)/(A21-3)</f>
        <v>116473416.22704017</v>
      </c>
      <c r="H21" s="9">
        <f>+SUM($F$5:F21)/(A21-3)</f>
        <v>7853.6503236470589</v>
      </c>
      <c r="I21" s="13">
        <f t="shared" si="7"/>
        <v>4.5520139364425409</v>
      </c>
      <c r="J21" s="13">
        <f>+AVERAGE($I$5:I21)</f>
        <v>25.694217161410954</v>
      </c>
      <c r="K21" s="11">
        <f>+SUM($E$5:E21)/H21</f>
        <v>-7.6423659592551312</v>
      </c>
    </row>
    <row r="22" spans="1:11" x14ac:dyDescent="0.3">
      <c r="A22" s="5">
        <f t="shared" si="0"/>
        <v>21</v>
      </c>
      <c r="B22" s="6">
        <f>+data!B22</f>
        <v>47099.773437999997</v>
      </c>
      <c r="C22" s="6">
        <f t="shared" si="8"/>
        <v>41198.86718766667</v>
      </c>
      <c r="D22" s="6">
        <f t="shared" si="4"/>
        <v>37930.207031333332</v>
      </c>
      <c r="E22" s="6">
        <f t="shared" si="5"/>
        <v>-9169.566406666665</v>
      </c>
      <c r="F22" s="6">
        <f t="shared" si="6"/>
        <v>9169.566406666665</v>
      </c>
      <c r="G22" s="6">
        <f>+SUMSQ($E$5:E22)/(A22-3)</f>
        <v>114673834.66366404</v>
      </c>
      <c r="H22" s="6">
        <f>+SUM($F$5:F22)/(A22-3)</f>
        <v>7926.7567727037049</v>
      </c>
      <c r="I22" s="14">
        <f t="shared" si="7"/>
        <v>19.468387504532405</v>
      </c>
      <c r="J22" s="14">
        <f>+AVERAGE($I$5:I22)</f>
        <v>25.348337736028814</v>
      </c>
      <c r="K22" s="12">
        <f>+SUM($E$5:E22)/H22</f>
        <v>-8.7286690231571527</v>
      </c>
    </row>
    <row r="23" spans="1:11" x14ac:dyDescent="0.3">
      <c r="A23" s="8">
        <f t="shared" si="0"/>
        <v>22</v>
      </c>
      <c r="B23" s="9">
        <f>+data!B23</f>
        <v>43816.742187999997</v>
      </c>
      <c r="C23" s="9">
        <f t="shared" si="8"/>
        <v>44125.786458666669</v>
      </c>
      <c r="D23" s="9">
        <f t="shared" si="4"/>
        <v>41198.86718766667</v>
      </c>
      <c r="E23" s="9">
        <f t="shared" si="5"/>
        <v>-2617.8750003333262</v>
      </c>
      <c r="F23" s="9">
        <f t="shared" si="6"/>
        <v>2617.8750003333262</v>
      </c>
      <c r="G23" s="9">
        <f>+SUMSQ($E$5:E23)/(A23-3)</f>
        <v>108999068.07701699</v>
      </c>
      <c r="H23" s="9">
        <f>+SUM($F$5:F23)/(A23-3)</f>
        <v>7647.341942578948</v>
      </c>
      <c r="I23" s="13">
        <f t="shared" si="7"/>
        <v>5.9745998210023892</v>
      </c>
      <c r="J23" s="13">
        <f>+AVERAGE($I$5:I23)</f>
        <v>24.328667319448478</v>
      </c>
      <c r="K23" s="11">
        <f>+SUM($E$5:E23)/H23</f>
        <v>-9.3899176780000513</v>
      </c>
    </row>
    <row r="24" spans="1:11" x14ac:dyDescent="0.3">
      <c r="A24" s="5">
        <f t="shared" si="0"/>
        <v>23</v>
      </c>
      <c r="B24" s="6">
        <f>+data!B24</f>
        <v>61320.449219000002</v>
      </c>
      <c r="C24" s="6">
        <f t="shared" si="8"/>
        <v>50745.654948333337</v>
      </c>
      <c r="D24" s="6">
        <f t="shared" si="4"/>
        <v>44125.786458666669</v>
      </c>
      <c r="E24" s="6">
        <f t="shared" si="5"/>
        <v>-17194.662760333333</v>
      </c>
      <c r="F24" s="6">
        <f t="shared" si="6"/>
        <v>17194.662760333333</v>
      </c>
      <c r="G24" s="6">
        <f>+SUMSQ($E$5:E24)/(A24-3)</f>
        <v>118331936.04524584</v>
      </c>
      <c r="H24" s="6">
        <f>+SUM($F$5:F24)/(A24-3)</f>
        <v>8124.7079834666674</v>
      </c>
      <c r="I24" s="14">
        <f t="shared" si="7"/>
        <v>28.040666660683243</v>
      </c>
      <c r="J24" s="14">
        <f>+AVERAGE($I$5:I24)</f>
        <v>24.514267286510215</v>
      </c>
      <c r="K24" s="12">
        <f>+SUM($E$5:E24)/H24</f>
        <v>-10.954556673025293</v>
      </c>
    </row>
    <row r="25" spans="1:11" x14ac:dyDescent="0.3">
      <c r="A25" s="8">
        <f t="shared" si="0"/>
        <v>24</v>
      </c>
      <c r="B25" s="9">
        <f>+data!B25</f>
        <v>56907.964844000002</v>
      </c>
      <c r="C25" s="9">
        <f t="shared" si="8"/>
        <v>54015.052083666669</v>
      </c>
      <c r="D25" s="9">
        <f t="shared" si="4"/>
        <v>50745.654948333337</v>
      </c>
      <c r="E25" s="9">
        <f t="shared" si="5"/>
        <v>-6162.3098956666654</v>
      </c>
      <c r="F25" s="9">
        <f t="shared" si="6"/>
        <v>6162.3098956666654</v>
      </c>
      <c r="G25" s="9">
        <f>+SUMSQ($E$5:E25)/(A25-3)</f>
        <v>114505370.67405467</v>
      </c>
      <c r="H25" s="9">
        <f>+SUM($F$5:F25)/(A25-3)</f>
        <v>8031.2604554761911</v>
      </c>
      <c r="I25" s="13">
        <f t="shared" si="7"/>
        <v>10.828554337796493</v>
      </c>
      <c r="J25" s="13">
        <f>+AVERAGE($I$5:I25)</f>
        <v>23.862566669904801</v>
      </c>
      <c r="K25" s="11">
        <f>+SUM($E$5:E25)/H25</f>
        <v>-11.849308645873169</v>
      </c>
    </row>
    <row r="26" spans="1:11" x14ac:dyDescent="0.3">
      <c r="A26" s="5">
        <f t="shared" si="0"/>
        <v>25</v>
      </c>
      <c r="B26" s="6">
        <f>+data!B26</f>
        <v>46311.746094000002</v>
      </c>
      <c r="C26" s="6">
        <f t="shared" si="8"/>
        <v>54846.720052333338</v>
      </c>
      <c r="D26" s="6">
        <f t="shared" si="4"/>
        <v>54015.052083666669</v>
      </c>
      <c r="E26" s="6">
        <f t="shared" si="5"/>
        <v>7703.3059896666673</v>
      </c>
      <c r="F26" s="6">
        <f t="shared" si="6"/>
        <v>7703.3059896666673</v>
      </c>
      <c r="G26" s="6">
        <f>+SUMSQ($E$5:E26)/(A26-3)</f>
        <v>111997895.78752647</v>
      </c>
      <c r="H26" s="6">
        <f>+SUM($F$5:F26)/(A26-3)</f>
        <v>8016.3534343030306</v>
      </c>
      <c r="I26" s="14">
        <f t="shared" si="7"/>
        <v>16.633590048691087</v>
      </c>
      <c r="J26" s="14">
        <f>+AVERAGE($I$5:I26)</f>
        <v>23.533976823485997</v>
      </c>
      <c r="K26" s="12">
        <f>+SUM($E$5:E26)/H26</f>
        <v>-10.910394442990382</v>
      </c>
    </row>
    <row r="27" spans="1:11" x14ac:dyDescent="0.3">
      <c r="A27" s="8">
        <f t="shared" si="0"/>
        <v>26</v>
      </c>
      <c r="B27" s="9">
        <f>+data!B27</f>
        <v>38481.765625</v>
      </c>
      <c r="C27" s="9">
        <f t="shared" si="8"/>
        <v>47233.825520999999</v>
      </c>
      <c r="D27" s="9">
        <f t="shared" si="4"/>
        <v>54846.720052333338</v>
      </c>
      <c r="E27" s="9">
        <f t="shared" si="5"/>
        <v>16364.954427333338</v>
      </c>
      <c r="F27" s="9">
        <f t="shared" si="6"/>
        <v>16364.954427333338</v>
      </c>
      <c r="G27" s="9">
        <f>+SUMSQ($E$5:E27)/(A27-3)</f>
        <v>118772410.46670781</v>
      </c>
      <c r="H27" s="9">
        <f>+SUM($F$5:F27)/(A27-3)</f>
        <v>8379.3360861739147</v>
      </c>
      <c r="I27" s="13">
        <f t="shared" si="7"/>
        <v>42.52651655022219</v>
      </c>
      <c r="J27" s="13">
        <f>+AVERAGE($I$5:I27)</f>
        <v>24.35973942030061</v>
      </c>
      <c r="K27" s="11">
        <f>+SUM($E$5:E27)/H27</f>
        <v>-8.484756167334579</v>
      </c>
    </row>
    <row r="28" spans="1:11" x14ac:dyDescent="0.3">
      <c r="A28" s="5">
        <f t="shared" si="0"/>
        <v>27</v>
      </c>
      <c r="B28" s="6">
        <f>+data!B28</f>
        <v>43194.503905999998</v>
      </c>
      <c r="C28" s="6">
        <f t="shared" si="8"/>
        <v>42662.671875</v>
      </c>
      <c r="D28" s="6">
        <f t="shared" si="4"/>
        <v>47233.825520999999</v>
      </c>
      <c r="E28" s="6">
        <f t="shared" si="5"/>
        <v>4039.3216150000007</v>
      </c>
      <c r="F28" s="6">
        <f t="shared" si="6"/>
        <v>4039.3216150000007</v>
      </c>
      <c r="G28" s="6">
        <f>+SUMSQ($E$5:E28)/(A28-3)</f>
        <v>114503398.32682024</v>
      </c>
      <c r="H28" s="6">
        <f>+SUM($F$5:F28)/(A28-3)</f>
        <v>8198.5021498750011</v>
      </c>
      <c r="I28" s="14">
        <f t="shared" si="7"/>
        <v>9.3514712515054796</v>
      </c>
      <c r="J28" s="14">
        <f>+AVERAGE($I$5:I28)</f>
        <v>23.734394913267479</v>
      </c>
      <c r="K28" s="12">
        <f>+SUM($E$5:E28)/H28</f>
        <v>-8.1792137996031045</v>
      </c>
    </row>
    <row r="29" spans="1:11" x14ac:dyDescent="0.3">
      <c r="A29" s="8">
        <f t="shared" si="0"/>
        <v>28</v>
      </c>
      <c r="B29" s="9">
        <f>+data!B29</f>
        <v>45554.164062999997</v>
      </c>
      <c r="C29" s="9">
        <f t="shared" si="8"/>
        <v>42410.144531333332</v>
      </c>
      <c r="D29" s="9">
        <f t="shared" si="4"/>
        <v>42662.671875</v>
      </c>
      <c r="E29" s="9">
        <f t="shared" si="5"/>
        <v>-2891.4921879999965</v>
      </c>
      <c r="F29" s="9">
        <f t="shared" si="6"/>
        <v>2891.4921879999965</v>
      </c>
      <c r="G29" s="9">
        <f>+SUMSQ($E$5:E29)/(A29-3)</f>
        <v>110257691.47667803</v>
      </c>
      <c r="H29" s="9">
        <f>+SUM($F$5:F29)/(A29-3)</f>
        <v>7986.2217514000004</v>
      </c>
      <c r="I29" s="13">
        <f t="shared" si="7"/>
        <v>6.3473718538686219</v>
      </c>
      <c r="J29" s="13">
        <f>+AVERAGE($I$5:I29)</f>
        <v>23.038913990891523</v>
      </c>
      <c r="K29" s="11">
        <f>+SUM($E$5:E29)/H29</f>
        <v>-8.758684179546</v>
      </c>
    </row>
    <row r="30" spans="1:11" x14ac:dyDescent="0.3">
      <c r="A30" s="5">
        <f t="shared" si="0"/>
        <v>29</v>
      </c>
      <c r="B30" s="6">
        <f>+data!B30</f>
        <v>37713.265625</v>
      </c>
      <c r="C30" s="6">
        <f t="shared" si="8"/>
        <v>42153.977864666667</v>
      </c>
      <c r="D30" s="6">
        <f t="shared" si="4"/>
        <v>42410.144531333332</v>
      </c>
      <c r="E30" s="6">
        <f t="shared" si="5"/>
        <v>4696.8789063333315</v>
      </c>
      <c r="F30" s="6">
        <f t="shared" si="6"/>
        <v>4696.8789063333315</v>
      </c>
      <c r="G30" s="6">
        <f>+SUMSQ($E$5:E30)/(A30-3)</f>
        <v>106865498.39914268</v>
      </c>
      <c r="H30" s="6">
        <f>+SUM($F$5:F30)/(A30-3)</f>
        <v>7859.7085650512827</v>
      </c>
      <c r="I30" s="14">
        <f t="shared" si="7"/>
        <v>12.454182443484251</v>
      </c>
      <c r="J30" s="14">
        <f>+AVERAGE($I$5:I30)</f>
        <v>22.631808931375858</v>
      </c>
      <c r="K30" s="12">
        <f>+SUM($E$5:E30)/H30</f>
        <v>-8.3020782083634739</v>
      </c>
    </row>
    <row r="31" spans="1:11" x14ac:dyDescent="0.3">
      <c r="A31" s="8">
        <f t="shared" si="0"/>
        <v>30</v>
      </c>
      <c r="B31" s="9">
        <f>+data!B31</f>
        <v>31792.554688</v>
      </c>
      <c r="C31" s="9">
        <f t="shared" si="8"/>
        <v>38353.328125333333</v>
      </c>
      <c r="D31" s="9">
        <f t="shared" si="4"/>
        <v>42153.977864666667</v>
      </c>
      <c r="E31" s="9">
        <f t="shared" si="5"/>
        <v>10361.423176666667</v>
      </c>
      <c r="F31" s="9">
        <f t="shared" si="6"/>
        <v>10361.423176666667</v>
      </c>
      <c r="G31" s="9">
        <f>+SUMSQ($E$5:E31)/(A31-3)</f>
        <v>106883779.57865463</v>
      </c>
      <c r="H31" s="9">
        <f>+SUM($F$5:F31)/(A31-3)</f>
        <v>7952.3646617777777</v>
      </c>
      <c r="I31" s="13">
        <f t="shared" si="7"/>
        <v>32.590722193764293</v>
      </c>
      <c r="J31" s="13">
        <f>+AVERAGE($I$5:I31)</f>
        <v>23.000657570723575</v>
      </c>
      <c r="K31" s="11">
        <f>+SUM($E$5:E31)/H31</f>
        <v>-6.9024113405109331</v>
      </c>
    </row>
    <row r="32" spans="1:11" x14ac:dyDescent="0.3">
      <c r="A32" s="5">
        <f t="shared" si="0"/>
        <v>31</v>
      </c>
      <c r="B32" s="6">
        <f>+data!B32</f>
        <v>19820.470702999999</v>
      </c>
      <c r="C32" s="6">
        <f t="shared" si="8"/>
        <v>29775.430338666669</v>
      </c>
      <c r="D32" s="6">
        <f t="shared" si="4"/>
        <v>38353.328125333333</v>
      </c>
      <c r="E32" s="6">
        <f t="shared" si="5"/>
        <v>18532.857422333334</v>
      </c>
      <c r="F32" s="6">
        <f t="shared" si="6"/>
        <v>18532.857422333334</v>
      </c>
      <c r="G32" s="6">
        <f>+SUMSQ($E$5:E32)/(A32-3)</f>
        <v>115333173.31643608</v>
      </c>
      <c r="H32" s="6">
        <f>+SUM($F$5:F32)/(A32-3)</f>
        <v>8330.2394032261909</v>
      </c>
      <c r="I32" s="14">
        <f t="shared" si="7"/>
        <v>93.503619061520197</v>
      </c>
      <c r="J32" s="14">
        <f>+AVERAGE($I$5:I32)</f>
        <v>25.518620481109171</v>
      </c>
      <c r="K32" s="12">
        <f>+SUM($E$5:E32)/H32</f>
        <v>-4.3645365808957619</v>
      </c>
    </row>
    <row r="33" spans="1:11" x14ac:dyDescent="0.3">
      <c r="A33" s="8">
        <f t="shared" si="0"/>
        <v>32</v>
      </c>
      <c r="B33" s="9">
        <f>+data!B33</f>
        <v>23336.71875</v>
      </c>
      <c r="C33" s="9">
        <f t="shared" si="8"/>
        <v>24983.248047000001</v>
      </c>
      <c r="D33" s="9">
        <f t="shared" si="4"/>
        <v>29775.430338666669</v>
      </c>
      <c r="E33" s="9">
        <f t="shared" si="5"/>
        <v>6438.7115886666688</v>
      </c>
      <c r="F33" s="9">
        <f t="shared" si="6"/>
        <v>6438.7115886666688</v>
      </c>
      <c r="G33" s="9">
        <f>+SUMSQ($E$5:E33)/(A33-3)</f>
        <v>112785719.3028359</v>
      </c>
      <c r="H33" s="9">
        <f>+SUM($F$5:F33)/(A33-3)</f>
        <v>8265.0143061724139</v>
      </c>
      <c r="I33" s="13">
        <f t="shared" si="7"/>
        <v>27.590475154810136</v>
      </c>
      <c r="J33" s="13">
        <f>+AVERAGE($I$5:I33)</f>
        <v>25.590063745719551</v>
      </c>
      <c r="K33" s="11">
        <f>+SUM($E$5:E33)/H33</f>
        <v>-3.6199481218065777</v>
      </c>
    </row>
    <row r="34" spans="1:11" x14ac:dyDescent="0.3">
      <c r="A34" s="5">
        <f t="shared" si="0"/>
        <v>33</v>
      </c>
      <c r="B34" s="6">
        <f>+data!B34</f>
        <v>20050.498047000001</v>
      </c>
      <c r="C34" s="6">
        <f t="shared" si="8"/>
        <v>21069.229166666668</v>
      </c>
      <c r="D34" s="6">
        <f t="shared" si="4"/>
        <v>24983.248047000001</v>
      </c>
      <c r="E34" s="6">
        <f t="shared" si="5"/>
        <v>4932.75</v>
      </c>
      <c r="F34" s="6">
        <f t="shared" si="6"/>
        <v>4932.75</v>
      </c>
      <c r="G34" s="6">
        <f>+SUMSQ($E$5:E34)/(A34-3)</f>
        <v>109837262.74482469</v>
      </c>
      <c r="H34" s="6">
        <f>+SUM($F$5:F34)/(A34-3)</f>
        <v>8153.9388292999993</v>
      </c>
      <c r="I34" s="14">
        <f t="shared" si="7"/>
        <v>24.601633278321728</v>
      </c>
      <c r="J34" s="14">
        <f>+AVERAGE($I$5:I34)</f>
        <v>25.557116063472957</v>
      </c>
      <c r="K34" s="12">
        <f>+SUM($E$5:E34)/H34</f>
        <v>-3.0643071449774832</v>
      </c>
    </row>
    <row r="35" spans="1:11" x14ac:dyDescent="0.3">
      <c r="A35" s="8">
        <f t="shared" si="0"/>
        <v>34</v>
      </c>
      <c r="B35" s="9">
        <f>+data!B35</f>
        <v>19431.105468999998</v>
      </c>
      <c r="C35" s="9">
        <f t="shared" si="8"/>
        <v>20939.440755333333</v>
      </c>
      <c r="D35" s="9">
        <f t="shared" si="4"/>
        <v>21069.229166666668</v>
      </c>
      <c r="E35" s="9">
        <f t="shared" si="5"/>
        <v>1638.1236976666696</v>
      </c>
      <c r="F35" s="9">
        <f t="shared" si="6"/>
        <v>1638.1236976666696</v>
      </c>
      <c r="G35" s="9">
        <f>+SUMSQ($E$5:E35)/(A35-3)</f>
        <v>106380688.11592251</v>
      </c>
      <c r="H35" s="9">
        <f>+SUM($F$5:F35)/(A35-3)</f>
        <v>7943.7512444086024</v>
      </c>
      <c r="I35" s="13">
        <f t="shared" si="7"/>
        <v>8.4304194647087876</v>
      </c>
      <c r="J35" s="13">
        <f>+AVERAGE($I$5:I35)</f>
        <v>25.004641979641853</v>
      </c>
      <c r="K35" s="11">
        <f>+SUM($E$5:E35)/H35</f>
        <v>-2.9391717588212156</v>
      </c>
    </row>
    <row r="36" spans="1:11" x14ac:dyDescent="0.3">
      <c r="A36" s="5">
        <f t="shared" si="0"/>
        <v>35</v>
      </c>
      <c r="B36" s="6">
        <f>+data!B36</f>
        <v>20494.898438</v>
      </c>
      <c r="C36" s="6">
        <f t="shared" si="8"/>
        <v>19992.167318000003</v>
      </c>
      <c r="D36" s="6">
        <f t="shared" si="4"/>
        <v>20939.440755333333</v>
      </c>
      <c r="E36" s="6">
        <f t="shared" si="5"/>
        <v>444.5423173333329</v>
      </c>
      <c r="F36" s="6">
        <f t="shared" si="6"/>
        <v>444.5423173333329</v>
      </c>
      <c r="G36" s="6">
        <f>+SUMSQ($E$5:E36)/(A36-3)</f>
        <v>103062467.17079681</v>
      </c>
      <c r="H36" s="6">
        <f>+SUM($F$5:F36)/(A36-3)</f>
        <v>7709.4009654375004</v>
      </c>
      <c r="I36" s="14">
        <f t="shared" si="7"/>
        <v>2.1690388887660847</v>
      </c>
      <c r="J36" s="14">
        <f>+AVERAGE($I$5:I36)</f>
        <v>24.291029383051985</v>
      </c>
      <c r="K36" s="12">
        <f>+SUM($E$5:E36)/H36</f>
        <v>-2.9708542987987614</v>
      </c>
    </row>
    <row r="37" spans="1:11" x14ac:dyDescent="0.3">
      <c r="A37" s="8">
        <f t="shared" si="0"/>
        <v>36</v>
      </c>
      <c r="B37" s="9">
        <f>+data!B37</f>
        <v>17168.001952999999</v>
      </c>
      <c r="C37" s="9">
        <f t="shared" si="8"/>
        <v>19031.335286666665</v>
      </c>
      <c r="D37" s="9">
        <f t="shared" si="4"/>
        <v>19992.167318000003</v>
      </c>
      <c r="E37" s="9">
        <f t="shared" si="5"/>
        <v>2824.1653650000044</v>
      </c>
      <c r="F37" s="9">
        <f t="shared" si="6"/>
        <v>2824.1653650000044</v>
      </c>
      <c r="G37" s="9">
        <f>+SUMSQ($E$5:E37)/(A37-3)</f>
        <v>100181056.34770799</v>
      </c>
      <c r="H37" s="9">
        <f>+SUM($F$5:F37)/(A37-3)</f>
        <v>7561.363523</v>
      </c>
      <c r="I37" s="13">
        <f t="shared" si="7"/>
        <v>16.450169173626517</v>
      </c>
      <c r="J37" s="13">
        <f>+AVERAGE($I$5:I37)</f>
        <v>24.053427558523939</v>
      </c>
      <c r="K37" s="11">
        <f>+SUM($E$5:E37)/H37</f>
        <v>-2.6555186208487909</v>
      </c>
    </row>
    <row r="38" spans="1:11" x14ac:dyDescent="0.3">
      <c r="A38" s="5">
        <f t="shared" si="0"/>
        <v>37</v>
      </c>
      <c r="B38" s="6">
        <f>+data!B38</f>
        <v>16547.914063</v>
      </c>
      <c r="C38" s="6">
        <f t="shared" si="8"/>
        <v>18070.271484666668</v>
      </c>
      <c r="D38" s="6">
        <f t="shared" si="4"/>
        <v>19031.335286666665</v>
      </c>
      <c r="E38" s="6">
        <f t="shared" si="5"/>
        <v>2483.4212236666644</v>
      </c>
      <c r="F38" s="6">
        <f t="shared" si="6"/>
        <v>2483.4212236666644</v>
      </c>
      <c r="G38" s="6">
        <f>+SUMSQ($E$5:E38)/(A38-3)</f>
        <v>97415948.248485923</v>
      </c>
      <c r="H38" s="6">
        <f>+SUM($F$5:F38)/(A38-3)</f>
        <v>7412.0122789019606</v>
      </c>
      <c r="I38" s="14">
        <f t="shared" si="7"/>
        <v>15.007457823457178</v>
      </c>
      <c r="J38" s="14">
        <f>+AVERAGE($I$5:I38)</f>
        <v>23.787369625139625</v>
      </c>
      <c r="K38" s="12">
        <f>+SUM($E$5:E38)/H38</f>
        <v>-2.3739734566755692</v>
      </c>
    </row>
    <row r="39" spans="1:11" x14ac:dyDescent="0.3">
      <c r="A39" s="8">
        <f t="shared" si="0"/>
        <v>38</v>
      </c>
      <c r="B39" s="9">
        <f>+data!B39</f>
        <v>23137.835938</v>
      </c>
      <c r="C39" s="9">
        <f t="shared" si="8"/>
        <v>18951.250651333336</v>
      </c>
      <c r="D39" s="9">
        <f t="shared" si="4"/>
        <v>18070.271484666668</v>
      </c>
      <c r="E39" s="9">
        <f t="shared" si="5"/>
        <v>-5067.5644533333325</v>
      </c>
      <c r="F39" s="9">
        <f t="shared" si="6"/>
        <v>5067.5644533333325</v>
      </c>
      <c r="G39" s="9">
        <f>+SUMSQ($E$5:E39)/(A39-3)</f>
        <v>95366355.712491691</v>
      </c>
      <c r="H39" s="9">
        <f>+SUM($F$5:F39)/(A39-3)</f>
        <v>7345.0280553142857</v>
      </c>
      <c r="I39" s="13">
        <f t="shared" si="7"/>
        <v>21.901635342701653</v>
      </c>
      <c r="J39" s="13">
        <f>+AVERAGE($I$5:I39)</f>
        <v>23.733491502784254</v>
      </c>
      <c r="K39" s="11">
        <f>+SUM($E$5:E39)/H39</f>
        <v>-3.0855545674331992</v>
      </c>
    </row>
    <row r="40" spans="1:11" x14ac:dyDescent="0.3">
      <c r="A40" s="5">
        <f t="shared" si="0"/>
        <v>39</v>
      </c>
      <c r="B40" s="6">
        <f>+data!B40</f>
        <v>23150.929688</v>
      </c>
      <c r="C40" s="6">
        <f t="shared" si="8"/>
        <v>20945.559896333332</v>
      </c>
      <c r="D40" s="6">
        <f t="shared" si="4"/>
        <v>18951.250651333336</v>
      </c>
      <c r="E40" s="6">
        <f t="shared" si="5"/>
        <v>-4199.6790366666646</v>
      </c>
      <c r="F40" s="6">
        <f t="shared" si="6"/>
        <v>4199.6790366666646</v>
      </c>
      <c r="G40" s="6">
        <f>+SUMSQ($E$5:E40)/(A40-3)</f>
        <v>93207215.38745074</v>
      </c>
      <c r="H40" s="6">
        <f>+SUM($F$5:F40)/(A40-3)</f>
        <v>7257.6572492407404</v>
      </c>
      <c r="I40" s="14">
        <f t="shared" si="7"/>
        <v>18.140433638151112</v>
      </c>
      <c r="J40" s="14">
        <f>+AVERAGE($I$5:I40)</f>
        <v>23.578128784322221</v>
      </c>
      <c r="K40" s="12">
        <f>+SUM($E$5:E40)/H40</f>
        <v>-3.701354717939723</v>
      </c>
    </row>
    <row r="41" spans="1:11" x14ac:dyDescent="0.3">
      <c r="A41" s="8">
        <f t="shared" si="0"/>
        <v>40</v>
      </c>
      <c r="B41" s="9">
        <f>+data!B41</f>
        <v>28473.332031000002</v>
      </c>
      <c r="C41" s="9">
        <f t="shared" si="8"/>
        <v>24920.699219000002</v>
      </c>
      <c r="D41" s="9">
        <f t="shared" si="4"/>
        <v>20945.559896333332</v>
      </c>
      <c r="E41" s="9">
        <f t="shared" si="5"/>
        <v>-7527.7721346666694</v>
      </c>
      <c r="F41" s="9">
        <f t="shared" si="6"/>
        <v>7527.7721346666694</v>
      </c>
      <c r="G41" s="9">
        <f>+SUMSQ($E$5:E41)/(A41-3)</f>
        <v>92219651.547559202</v>
      </c>
      <c r="H41" s="9">
        <f>+SUM($F$5:F41)/(A41-3)</f>
        <v>7264.9576515495492</v>
      </c>
      <c r="I41" s="13">
        <f t="shared" si="7"/>
        <v>26.437974054005682</v>
      </c>
      <c r="J41" s="13">
        <f>+AVERAGE($I$5:I41)</f>
        <v>23.655421899719073</v>
      </c>
      <c r="K41" s="11">
        <f>+SUM($E$5:E41)/H41</f>
        <v>-4.7338109435501039</v>
      </c>
    </row>
    <row r="42" spans="1:11" x14ac:dyDescent="0.3">
      <c r="A42" s="5">
        <f t="shared" si="0"/>
        <v>41</v>
      </c>
      <c r="B42" s="6">
        <f>+data!B42</f>
        <v>29227.103515999999</v>
      </c>
      <c r="C42" s="6">
        <f t="shared" si="8"/>
        <v>26950.455078333336</v>
      </c>
      <c r="D42" s="6">
        <f t="shared" si="4"/>
        <v>24920.699219000002</v>
      </c>
      <c r="E42" s="6">
        <f t="shared" si="5"/>
        <v>-4306.4042969999973</v>
      </c>
      <c r="F42" s="6">
        <f t="shared" si="6"/>
        <v>4306.4042969999973</v>
      </c>
      <c r="G42" s="6">
        <f>+SUMSQ($E$5:E42)/(A42-3)</f>
        <v>90280848.032339752</v>
      </c>
      <c r="H42" s="6">
        <f>+SUM($F$5:F42)/(A42-3)</f>
        <v>7187.1009843245602</v>
      </c>
      <c r="I42" s="14">
        <f t="shared" si="7"/>
        <v>14.734283520919245</v>
      </c>
      <c r="J42" s="14">
        <f>+AVERAGE($I$5:I42)</f>
        <v>23.420655100276971</v>
      </c>
      <c r="K42" s="12">
        <f>+SUM($E$5:E42)/H42</f>
        <v>-5.3842766946971006</v>
      </c>
    </row>
    <row r="43" spans="1:11" x14ac:dyDescent="0.3">
      <c r="A43" s="8">
        <f t="shared" si="0"/>
        <v>42</v>
      </c>
      <c r="B43" s="9">
        <f>+data!B43</f>
        <v>27218.412109000001</v>
      </c>
      <c r="C43" s="9">
        <f t="shared" si="8"/>
        <v>28306.282552000001</v>
      </c>
      <c r="D43" s="9">
        <f t="shared" si="4"/>
        <v>26950.455078333336</v>
      </c>
      <c r="E43" s="9">
        <f t="shared" si="5"/>
        <v>-267.95703066666465</v>
      </c>
      <c r="F43" s="9">
        <f t="shared" si="6"/>
        <v>267.95703066666465</v>
      </c>
      <c r="G43" s="9">
        <f>+SUMSQ($E$5:E43)/(A43-3)</f>
        <v>87967795.543569073</v>
      </c>
      <c r="H43" s="9">
        <f>+SUM($F$5:F43)/(A43-3)</f>
        <v>7009.6870367948704</v>
      </c>
      <c r="I43" s="13">
        <f t="shared" si="7"/>
        <v>0.98446973906336865</v>
      </c>
      <c r="J43" s="13">
        <f>+AVERAGE($I$5:I43)</f>
        <v>22.845368296143288</v>
      </c>
      <c r="K43" s="11">
        <f>+SUM($E$5:E43)/H43</f>
        <v>-5.5587784673503178</v>
      </c>
    </row>
    <row r="44" spans="1:11" x14ac:dyDescent="0.3">
      <c r="A44" s="5">
        <f t="shared" si="0"/>
        <v>43</v>
      </c>
      <c r="B44" s="6">
        <f>+data!B44</f>
        <v>30471.847656000002</v>
      </c>
      <c r="C44" s="6">
        <f t="shared" si="8"/>
        <v>28972.454427000001</v>
      </c>
      <c r="D44" s="6">
        <f t="shared" si="4"/>
        <v>28306.282552000001</v>
      </c>
      <c r="E44" s="6">
        <f t="shared" si="5"/>
        <v>-2165.5651040000012</v>
      </c>
      <c r="F44" s="6">
        <f t="shared" si="6"/>
        <v>2165.5651040000012</v>
      </c>
      <c r="G44" s="6">
        <f>+SUMSQ($E$5:E44)/(A44-3)</f>
        <v>85885842.460471421</v>
      </c>
      <c r="H44" s="6">
        <f>+SUM($F$5:F44)/(A44-3)</f>
        <v>6888.5839884749976</v>
      </c>
      <c r="I44" s="14">
        <f t="shared" si="7"/>
        <v>7.1067732040646199</v>
      </c>
      <c r="J44" s="14">
        <f>+AVERAGE($I$5:I44)</f>
        <v>22.451903418841322</v>
      </c>
      <c r="K44" s="12">
        <f>+SUM($E$5:E44)/H44</f>
        <v>-5.970873337076867</v>
      </c>
    </row>
    <row r="45" spans="1:11" x14ac:dyDescent="0.3">
      <c r="A45" s="8">
        <f t="shared" si="0"/>
        <v>44</v>
      </c>
      <c r="B45" s="9">
        <f>+data!B45</f>
        <v>29230.873047000001</v>
      </c>
      <c r="C45" s="9">
        <f t="shared" si="8"/>
        <v>28973.710937333333</v>
      </c>
      <c r="D45" s="9">
        <f t="shared" si="4"/>
        <v>28972.454427000001</v>
      </c>
      <c r="E45" s="9">
        <f t="shared" si="5"/>
        <v>-258.41862000000037</v>
      </c>
      <c r="F45" s="9">
        <f t="shared" si="6"/>
        <v>258.41862000000037</v>
      </c>
      <c r="G45" s="9">
        <f>+SUMSQ($E$5:E45)/(A45-3)</f>
        <v>83792694.600049257</v>
      </c>
      <c r="H45" s="9">
        <f>+SUM($F$5:F45)/(A45-3)</f>
        <v>6726.8726380243879</v>
      </c>
      <c r="I45" s="13">
        <f t="shared" si="7"/>
        <v>0.88406056016353629</v>
      </c>
      <c r="J45" s="13">
        <f>+AVERAGE($I$5:I45)</f>
        <v>21.925858471068693</v>
      </c>
      <c r="K45" s="11">
        <f>+SUM($E$5:E45)/H45</f>
        <v>-6.1528266274944041</v>
      </c>
    </row>
    <row r="46" spans="1:11" x14ac:dyDescent="0.3">
      <c r="A46" s="5">
        <f t="shared" si="0"/>
        <v>45</v>
      </c>
      <c r="B46" s="6">
        <f>+data!B46</f>
        <v>25934.021484000001</v>
      </c>
      <c r="C46" s="6">
        <f t="shared" si="8"/>
        <v>28545.580728999998</v>
      </c>
      <c r="D46" s="6">
        <f t="shared" si="4"/>
        <v>28973.710937333333</v>
      </c>
      <c r="E46" s="6">
        <f t="shared" si="5"/>
        <v>3039.6894533333325</v>
      </c>
      <c r="F46" s="6">
        <f t="shared" si="6"/>
        <v>3039.6894533333325</v>
      </c>
      <c r="G46" s="6">
        <f>+SUMSQ($E$5:E46)/(A46-3)</f>
        <v>82017623.585112497</v>
      </c>
      <c r="H46" s="6">
        <f>+SUM($F$5:F46)/(A46-3)</f>
        <v>6639.0825621984104</v>
      </c>
      <c r="I46" s="14">
        <f t="shared" si="7"/>
        <v>11.720856540543354</v>
      </c>
      <c r="J46" s="14">
        <f>+AVERAGE($I$5:I46)</f>
        <v>21.682882234627613</v>
      </c>
      <c r="K46" s="12">
        <f>+SUM($E$5:E46)/H46</f>
        <v>-5.7763390158787065</v>
      </c>
    </row>
    <row r="47" spans="1:11" x14ac:dyDescent="0.3">
      <c r="A47" s="8">
        <f t="shared" si="0"/>
        <v>46</v>
      </c>
      <c r="B47" s="9">
        <f>+data!B47</f>
        <v>26967.396484000001</v>
      </c>
      <c r="C47" s="9">
        <f t="shared" si="8"/>
        <v>27377.430338333332</v>
      </c>
      <c r="D47" s="9">
        <f t="shared" si="4"/>
        <v>28545.580728999998</v>
      </c>
      <c r="E47" s="9">
        <f t="shared" si="5"/>
        <v>1578.1842449999967</v>
      </c>
      <c r="F47" s="9">
        <f t="shared" si="6"/>
        <v>1578.1842449999967</v>
      </c>
      <c r="G47" s="9">
        <f>+SUMSQ($E$5:E47)/(A47-3)</f>
        <v>80168159.443857938</v>
      </c>
      <c r="H47" s="9">
        <f>+SUM($F$5:F47)/(A47-3)</f>
        <v>6521.3872524961225</v>
      </c>
      <c r="I47" s="13">
        <f t="shared" si="7"/>
        <v>5.8521935772937805</v>
      </c>
      <c r="J47" s="13">
        <f>+AVERAGE($I$5:I47)</f>
        <v>21.31472668445706</v>
      </c>
      <c r="K47" s="11">
        <f>+SUM($E$5:E47)/H47</f>
        <v>-5.6385866940491915</v>
      </c>
    </row>
    <row r="48" spans="1:11" x14ac:dyDescent="0.3">
      <c r="A48" s="5">
        <f t="shared" si="0"/>
        <v>47</v>
      </c>
      <c r="B48" s="6">
        <f>+data!B48</f>
        <v>34657.273437999997</v>
      </c>
      <c r="C48" s="6">
        <f t="shared" si="8"/>
        <v>29186.230468666665</v>
      </c>
      <c r="D48" s="6">
        <f t="shared" si="4"/>
        <v>27377.430338333332</v>
      </c>
      <c r="E48" s="6">
        <f t="shared" si="5"/>
        <v>-7279.8430996666648</v>
      </c>
      <c r="F48" s="6">
        <f t="shared" si="6"/>
        <v>7279.8430996666648</v>
      </c>
      <c r="G48" s="6">
        <f>+SUMSQ($E$5:E48)/(A48-3)</f>
        <v>79550612.9918558</v>
      </c>
      <c r="H48" s="6">
        <f>+SUM($F$5:F48)/(A48-3)</f>
        <v>6538.6248853863617</v>
      </c>
      <c r="I48" s="14">
        <f t="shared" si="7"/>
        <v>21.005238951326952</v>
      </c>
      <c r="J48" s="14">
        <f>+AVERAGE($I$5:I48)</f>
        <v>21.307692872340468</v>
      </c>
      <c r="K48" s="12">
        <f>+SUM($E$5:E48)/H48</f>
        <v>-6.7370817657374094</v>
      </c>
    </row>
    <row r="49" spans="1:11" x14ac:dyDescent="0.3">
      <c r="A49" s="8">
        <f t="shared" si="0"/>
        <v>48</v>
      </c>
      <c r="B49" s="9">
        <f>+data!B49</f>
        <v>37718.007812999997</v>
      </c>
      <c r="C49" s="9">
        <f t="shared" si="8"/>
        <v>33114.225911666668</v>
      </c>
      <c r="D49" s="9">
        <f t="shared" si="4"/>
        <v>29186.230468666665</v>
      </c>
      <c r="E49" s="9">
        <f t="shared" si="5"/>
        <v>-8531.7773443333317</v>
      </c>
      <c r="F49" s="9">
        <f t="shared" si="6"/>
        <v>8531.7773443333317</v>
      </c>
      <c r="G49" s="9">
        <f>+SUMSQ($E$5:E49)/(A49-3)</f>
        <v>79400404.362109661</v>
      </c>
      <c r="H49" s="9">
        <f>+SUM($F$5:F49)/(A49-3)</f>
        <v>6582.9171622518497</v>
      </c>
      <c r="I49" s="13">
        <f t="shared" si="7"/>
        <v>22.619904493982169</v>
      </c>
      <c r="J49" s="13">
        <f>+AVERAGE($I$5:I49)</f>
        <v>21.33685313059917</v>
      </c>
      <c r="K49" s="11">
        <f>+SUM($E$5:E49)/H49</f>
        <v>-7.9878003226580656</v>
      </c>
    </row>
    <row r="50" spans="1:11" x14ac:dyDescent="0.3">
      <c r="A50" s="5">
        <f t="shared" si="0"/>
        <v>49</v>
      </c>
      <c r="B50" s="6">
        <f>+data!B50</f>
        <v>42280.234375</v>
      </c>
      <c r="C50" s="6">
        <f t="shared" si="8"/>
        <v>38218.505208666662</v>
      </c>
      <c r="D50" s="6">
        <f t="shared" si="4"/>
        <v>33114.225911666668</v>
      </c>
      <c r="E50" s="6">
        <f t="shared" si="5"/>
        <v>-9166.0084633333317</v>
      </c>
      <c r="F50" s="6">
        <f t="shared" si="6"/>
        <v>9166.0084633333317</v>
      </c>
      <c r="G50" s="6">
        <f>+SUMSQ($E$5:E50)/(A50-3)</f>
        <v>79500737.118365929</v>
      </c>
      <c r="H50" s="6">
        <f>+SUM($F$5:F50)/(A50-3)</f>
        <v>6639.0713209710138</v>
      </c>
      <c r="I50" s="14">
        <f t="shared" si="7"/>
        <v>21.679180824865831</v>
      </c>
      <c r="J50" s="14">
        <f>+AVERAGE($I$5:I50)</f>
        <v>21.344295036996272</v>
      </c>
      <c r="K50" s="12">
        <f>+SUM($E$5:E50)/H50</f>
        <v>-9.3008544886318099</v>
      </c>
    </row>
    <row r="51" spans="1:11" x14ac:dyDescent="0.3">
      <c r="A51" s="8">
        <f t="shared" si="0"/>
        <v>50</v>
      </c>
      <c r="B51" s="9">
        <f>+data!B51</f>
        <v>42569.761719000002</v>
      </c>
      <c r="C51" s="9">
        <f t="shared" si="8"/>
        <v>40856.001302333338</v>
      </c>
      <c r="D51" s="9">
        <f t="shared" si="4"/>
        <v>38218.505208666662</v>
      </c>
      <c r="E51" s="9">
        <f t="shared" si="5"/>
        <v>-4351.25651033334</v>
      </c>
      <c r="F51" s="9">
        <f t="shared" si="6"/>
        <v>4351.25651033334</v>
      </c>
      <c r="G51" s="9">
        <f>+SUMSQ($E$5:E51)/(A51-3)</f>
        <v>78212071.077947885</v>
      </c>
      <c r="H51" s="9">
        <f>+SUM($F$5:F51)/(A51-3)</f>
        <v>6590.3944101063817</v>
      </c>
      <c r="I51" s="13">
        <f t="shared" si="7"/>
        <v>10.221472553818078</v>
      </c>
      <c r="J51" s="13">
        <f>+AVERAGE($I$5:I51)</f>
        <v>21.107639239481845</v>
      </c>
      <c r="K51" s="11">
        <f>+SUM($E$5:E51)/H51</f>
        <v>-10.029793164574246</v>
      </c>
    </row>
    <row r="52" spans="1:11" x14ac:dyDescent="0.3">
      <c r="A52" s="5">
        <f t="shared" si="0"/>
        <v>51</v>
      </c>
      <c r="B52" s="6">
        <f>+data!B52</f>
        <v>61168.0625</v>
      </c>
      <c r="C52" s="6">
        <f t="shared" si="8"/>
        <v>48672.686198000003</v>
      </c>
      <c r="D52" s="6">
        <f t="shared" si="4"/>
        <v>40856.001302333338</v>
      </c>
      <c r="E52" s="6">
        <f t="shared" si="5"/>
        <v>-20312.061197666662</v>
      </c>
      <c r="F52" s="6">
        <f t="shared" si="6"/>
        <v>20312.061197666662</v>
      </c>
      <c r="G52" s="6">
        <f>+SUMSQ($E$5:E52)/(A52-3)</f>
        <v>85178066.057527229</v>
      </c>
      <c r="H52" s="6">
        <f>+SUM($F$5:F52)/(A52-3)</f>
        <v>6876.2624681805546</v>
      </c>
      <c r="I52" s="14">
        <f t="shared" si="7"/>
        <v>33.20697168995121</v>
      </c>
      <c r="J52" s="14">
        <f>+AVERAGE($I$5:I52)</f>
        <v>21.35970866553329</v>
      </c>
      <c r="K52" s="12">
        <f>+SUM($E$5:E52)/H52</f>
        <v>-12.566762016992133</v>
      </c>
    </row>
    <row r="53" spans="1:11" x14ac:dyDescent="0.3">
      <c r="A53" s="8">
        <f t="shared" si="0"/>
        <v>52</v>
      </c>
      <c r="B53" s="9">
        <f>+data!B53</f>
        <v>71333.484375</v>
      </c>
      <c r="C53" s="9">
        <f t="shared" si="8"/>
        <v>58357.102864666667</v>
      </c>
      <c r="D53" s="9">
        <f t="shared" si="4"/>
        <v>48672.686198000003</v>
      </c>
      <c r="E53" s="9">
        <f t="shared" si="5"/>
        <v>-22660.798176999997</v>
      </c>
      <c r="F53" s="9">
        <f t="shared" si="6"/>
        <v>22660.798176999997</v>
      </c>
      <c r="G53" s="9">
        <f>+SUMSQ($E$5:E53)/(A53-3)</f>
        <v>93919570.301633328</v>
      </c>
      <c r="H53" s="9">
        <f>+SUM($F$5:F53)/(A53-3)</f>
        <v>7198.3958499931969</v>
      </c>
      <c r="I53" s="13">
        <f t="shared" si="7"/>
        <v>31.767406815391524</v>
      </c>
      <c r="J53" s="13">
        <f>+AVERAGE($I$5:I53)</f>
        <v>21.57211066859162</v>
      </c>
      <c r="K53" s="11">
        <f>+SUM($E$5:E53)/H53</f>
        <v>-15.15242485325436</v>
      </c>
    </row>
    <row r="54" spans="1:11" x14ac:dyDescent="0.3">
      <c r="A54" s="5">
        <f t="shared" si="0"/>
        <v>53</v>
      </c>
      <c r="B54" s="6">
        <f>+data!B54</f>
        <v>60609.496094000002</v>
      </c>
      <c r="C54" s="6">
        <f t="shared" si="8"/>
        <v>64370.347656333332</v>
      </c>
      <c r="D54" s="6">
        <f t="shared" si="4"/>
        <v>58357.102864666667</v>
      </c>
      <c r="E54" s="6">
        <f t="shared" si="5"/>
        <v>-2252.3932293333346</v>
      </c>
      <c r="F54" s="6">
        <f t="shared" si="6"/>
        <v>2252.3932293333346</v>
      </c>
      <c r="G54" s="6">
        <f>+SUMSQ($E$5:E54)/(A54-3)</f>
        <v>92142644.400791585</v>
      </c>
      <c r="H54" s="6">
        <f>+SUM($F$5:F54)/(A54-3)</f>
        <v>7099.4757975799994</v>
      </c>
      <c r="I54" s="14">
        <f t="shared" si="7"/>
        <v>3.7162381713916095</v>
      </c>
      <c r="J54" s="14">
        <f>+AVERAGE($I$5:I54)</f>
        <v>21.214993218647621</v>
      </c>
      <c r="K54" s="12">
        <f>+SUM($E$5:E54)/H54</f>
        <v>-15.680812018301529</v>
      </c>
    </row>
    <row r="55" spans="1:11" x14ac:dyDescent="0.3">
      <c r="A55" s="8">
        <f t="shared" si="0"/>
        <v>54</v>
      </c>
      <c r="B55" s="9">
        <f>+data!B55</f>
        <v>67489.609375</v>
      </c>
      <c r="C55" s="9">
        <f>+AVERAGE(B53:B55)</f>
        <v>66477.529947999996</v>
      </c>
      <c r="D55" s="9">
        <f t="shared" si="4"/>
        <v>64370.347656333332</v>
      </c>
      <c r="E55" s="9">
        <f t="shared" si="5"/>
        <v>-3119.2617186666685</v>
      </c>
      <c r="F55" s="9">
        <f t="shared" si="6"/>
        <v>3119.2617186666685</v>
      </c>
      <c r="G55" s="9">
        <f>+SUMSQ($E$5:E55)/(A55-3)</f>
        <v>90526706.151159197</v>
      </c>
      <c r="H55" s="9">
        <f>+SUM($F$5:F55)/(A55-3)</f>
        <v>7021.4323842679732</v>
      </c>
      <c r="I55" s="13">
        <f t="shared" si="7"/>
        <v>4.6218399358851947</v>
      </c>
      <c r="J55" s="13">
        <f>+AVERAGE($I$5:I55)</f>
        <v>20.889637271926787</v>
      </c>
      <c r="K55" s="11">
        <f>+SUM($E$5:E55)/H55</f>
        <v>-16.299353303668042</v>
      </c>
    </row>
    <row r="56" spans="1:11" x14ac:dyDescent="0.3">
      <c r="A56" s="5">
        <f t="shared" si="0"/>
        <v>55</v>
      </c>
      <c r="B56" s="6">
        <f>+data!B56</f>
        <v>62673.605469000002</v>
      </c>
      <c r="C56" s="6">
        <f>+AVERAGE(B54:B56)</f>
        <v>63590.903645999999</v>
      </c>
      <c r="D56" s="6">
        <f t="shared" si="4"/>
        <v>66477.529947999996</v>
      </c>
      <c r="E56" s="6">
        <f t="shared" si="5"/>
        <v>3803.9244789999939</v>
      </c>
      <c r="F56" s="6">
        <f t="shared" si="6"/>
        <v>3803.9244789999939</v>
      </c>
      <c r="G56" s="6">
        <f>+SUMSQ($E$5:E56)/(A56-3)</f>
        <v>89064074.137520283</v>
      </c>
      <c r="H56" s="6">
        <f>+SUM($F$5:F56)/(A56-3)</f>
        <v>6959.5572322435892</v>
      </c>
      <c r="I56" s="14">
        <f t="shared" si="7"/>
        <v>6.0694202137158264</v>
      </c>
      <c r="J56" s="14">
        <f>+AVERAGE($I$5:I56)</f>
        <v>20.604633097730421</v>
      </c>
      <c r="K56" s="12">
        <f>+SUM($E$5:E56)/H56</f>
        <v>-15.897689890012167</v>
      </c>
    </row>
    <row r="57" spans="1:11" x14ac:dyDescent="0.3">
      <c r="A57" s="8">
        <f t="shared" si="0"/>
        <v>56</v>
      </c>
      <c r="B57" s="9">
        <f>+data!B57</f>
        <v>64625.839844000002</v>
      </c>
      <c r="C57" s="9">
        <f>+AVERAGE(B55:B57)</f>
        <v>64929.684895999999</v>
      </c>
      <c r="D57" s="9">
        <f t="shared" si="4"/>
        <v>63590.903645999999</v>
      </c>
      <c r="E57" s="9">
        <f t="shared" si="5"/>
        <v>-1034.9361980000031</v>
      </c>
      <c r="F57" s="9">
        <f t="shared" si="6"/>
        <v>1034.9361980000031</v>
      </c>
      <c r="G57" s="9">
        <f>+SUMSQ($E$5:E57)/(A57-3)</f>
        <v>87403829.209150657</v>
      </c>
      <c r="H57" s="9">
        <f>+SUM($F$5:F57)/(A57-3)</f>
        <v>6847.7719297106905</v>
      </c>
      <c r="I57" s="13">
        <f t="shared" si="7"/>
        <v>1.6014278506836128</v>
      </c>
      <c r="J57" s="13">
        <f>+AVERAGE($I$5:I57)</f>
        <v>20.246082055333314</v>
      </c>
      <c r="K57" s="11">
        <f>+SUM($E$5:E57)/H57</f>
        <v>-16.308343793324632</v>
      </c>
    </row>
    <row r="58" spans="1:11" x14ac:dyDescent="0.3">
      <c r="A58" s="5">
        <f t="shared" si="0"/>
        <v>57</v>
      </c>
      <c r="B58" s="6">
        <f>+data!B58</f>
        <v>58969.800780999998</v>
      </c>
      <c r="C58" s="6">
        <f>+AVERAGE(B56:B58)</f>
        <v>62089.748698000003</v>
      </c>
      <c r="D58" s="6">
        <f t="shared" si="4"/>
        <v>64929.684895999999</v>
      </c>
      <c r="E58" s="6">
        <f t="shared" si="5"/>
        <v>5959.8841150000007</v>
      </c>
      <c r="F58" s="6">
        <f t="shared" si="6"/>
        <v>5959.8841150000007</v>
      </c>
      <c r="G58" s="6">
        <f>+SUMSQ($E$5:E58)/(A58-3)</f>
        <v>86443021.606466934</v>
      </c>
      <c r="H58" s="6">
        <f>+SUM($F$5:F58)/(A58-3)</f>
        <v>6831.3295627716043</v>
      </c>
      <c r="I58" s="14">
        <f t="shared" si="7"/>
        <v>10.10667161168411</v>
      </c>
      <c r="J58" s="14">
        <f>+AVERAGE($I$5:I58)</f>
        <v>20.058315195265735</v>
      </c>
      <c r="K58" s="12">
        <f>+SUM($E$5:E58)/H58</f>
        <v>-15.475162449944655</v>
      </c>
    </row>
    <row r="59" spans="1:11" x14ac:dyDescent="0.3">
      <c r="A59" s="8">
        <v>58</v>
      </c>
      <c r="D59" s="9">
        <f>+C58</f>
        <v>62089.748698000003</v>
      </c>
    </row>
  </sheetData>
  <conditionalFormatting sqref="K5:K58">
    <cfRule type="dataBar" priority="1">
      <dataBar>
        <cfvo type="min"/>
        <cfvo type="max"/>
        <color rgb="FF008AEF"/>
      </dataBar>
      <extLst>
        <ext xmlns:x14="http://schemas.microsoft.com/office/spreadsheetml/2009/9/main" uri="{B025F937-C7B1-47D3-B67F-A62EFF666E3E}">
          <x14:id>{B350A69B-69C7-4575-98B8-130928B8CA38}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350A69B-69C7-4575-98B8-130928B8CA38}">
            <x14:dataBar minLength="0" maxLength="100" border="1" negativeBarBorderColorSameAsPositive="0">
              <x14:cfvo type="autoMin"/>
              <x14:cfvo type="autoMax"/>
              <x14:borderColor rgb="FF008AEF"/>
              <x14:negativeFillColor rgb="FFFF0000"/>
              <x14:negativeBorderColor rgb="FFFF0000"/>
              <x14:axisColor rgb="FF000000"/>
            </x14:dataBar>
          </x14:cfRule>
          <xm:sqref>K5:K58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CA72E-3EF9-4A97-986C-7DADE36ADF06}">
  <sheetPr>
    <tabColor theme="9" tint="-0.499984740745262"/>
  </sheetPr>
  <dimension ref="A1:O61"/>
  <sheetViews>
    <sheetView zoomScale="70" zoomScaleNormal="70" workbookViewId="0">
      <pane ySplit="1" topLeftCell="A2" activePane="bottomLeft" state="frozen"/>
      <selection pane="bottomLeft"/>
    </sheetView>
  </sheetViews>
  <sheetFormatPr baseColWidth="10" defaultColWidth="9.109375" defaultRowHeight="14.4" x14ac:dyDescent="0.3"/>
  <cols>
    <col min="1" max="1" width="9.109375" style="4"/>
    <col min="2" max="2" width="16" style="4" bestFit="1" customWidth="1"/>
    <col min="3" max="3" width="15.88671875" style="4" customWidth="1"/>
    <col min="4" max="5" width="16.5546875" style="4" bestFit="1" customWidth="1"/>
    <col min="6" max="6" width="14.88671875" style="4" bestFit="1" customWidth="1"/>
    <col min="7" max="7" width="25.44140625" style="4" customWidth="1"/>
    <col min="8" max="8" width="16.109375" style="4" bestFit="1" customWidth="1"/>
    <col min="9" max="9" width="9.44140625" style="4" bestFit="1" customWidth="1"/>
    <col min="10" max="10" width="9.21875" style="4" bestFit="1" customWidth="1"/>
    <col min="11" max="11" width="11.44140625" style="4" customWidth="1"/>
    <col min="12" max="13" width="9.109375" style="4"/>
    <col min="14" max="14" width="14.88671875" style="4" bestFit="1" customWidth="1"/>
    <col min="15" max="15" width="16.21875" style="4" customWidth="1"/>
    <col min="16" max="16" width="14.88671875" style="4" bestFit="1" customWidth="1"/>
    <col min="17" max="17" width="17.5546875" style="4" bestFit="1" customWidth="1"/>
    <col min="18" max="18" width="29.44140625" style="4" bestFit="1" customWidth="1"/>
    <col min="19" max="21" width="9.109375" style="4"/>
    <col min="22" max="22" width="14.88671875" style="4" bestFit="1" customWidth="1"/>
    <col min="23" max="16384" width="9.109375" style="4"/>
  </cols>
  <sheetData>
    <row r="1" spans="1:15" x14ac:dyDescent="0.3">
      <c r="A1" s="3" t="s">
        <v>7</v>
      </c>
      <c r="B1" s="3" t="s">
        <v>8</v>
      </c>
      <c r="C1" s="3" t="s">
        <v>9</v>
      </c>
      <c r="D1" s="3" t="s">
        <v>10</v>
      </c>
      <c r="E1" s="3" t="s">
        <v>11</v>
      </c>
      <c r="F1" s="3" t="s">
        <v>12</v>
      </c>
      <c r="G1" s="3" t="s">
        <v>13</v>
      </c>
      <c r="H1" s="3" t="s">
        <v>14</v>
      </c>
      <c r="I1" s="3" t="s">
        <v>15</v>
      </c>
      <c r="J1" s="3" t="s">
        <v>16</v>
      </c>
      <c r="K1" s="3" t="s">
        <v>17</v>
      </c>
    </row>
    <row r="2" spans="1:15" x14ac:dyDescent="0.3">
      <c r="A2" s="5">
        <v>1</v>
      </c>
      <c r="B2" s="6">
        <f>+data!B2</f>
        <v>7194.8920900000003</v>
      </c>
      <c r="C2" s="6"/>
      <c r="D2" s="22">
        <f>+$O$4*A2+$O$5</f>
        <v>16201.416315617047</v>
      </c>
      <c r="E2" s="23">
        <f>+D2-B2</f>
        <v>9006.5242256170459</v>
      </c>
      <c r="F2" s="22">
        <f>+ABS(E2)</f>
        <v>9006.5242256170459</v>
      </c>
      <c r="G2" s="22">
        <f>+SUMSQ($E2:E$2)/(A2)</f>
        <v>81117478.62662673</v>
      </c>
      <c r="H2" s="22">
        <f>+SUM($F2:F$2)/(A2)</f>
        <v>9006.5242256170459</v>
      </c>
      <c r="I2" s="10">
        <f>+(F2/B2)*100</f>
        <v>125.17942052438823</v>
      </c>
      <c r="J2" s="10">
        <f>+AVERAGE($I2:I$2)</f>
        <v>125.17942052438823</v>
      </c>
      <c r="K2" s="43">
        <f>+SUM($E2:E$2)/H2</f>
        <v>1</v>
      </c>
    </row>
    <row r="3" spans="1:15" x14ac:dyDescent="0.3">
      <c r="A3" s="8">
        <f>+A2+1</f>
        <v>2</v>
      </c>
      <c r="B3" s="9">
        <f>+data!B3</f>
        <v>9346.3574219999991</v>
      </c>
      <c r="C3" s="9"/>
      <c r="D3" s="9">
        <f t="shared" ref="D3:D59" si="0">+$O$4*A3+$O$5</f>
        <v>16813.722882814935</v>
      </c>
      <c r="E3" s="11">
        <f t="shared" ref="E3:E58" si="1">+D3-B3</f>
        <v>7467.3654608149354</v>
      </c>
      <c r="F3" s="9">
        <f t="shared" ref="F3:F58" si="2">+ABS(E3)</f>
        <v>7467.3654608149354</v>
      </c>
      <c r="G3" s="9">
        <f>+SUMSQ($E$2:E3)/(A3)</f>
        <v>68439512.775999293</v>
      </c>
      <c r="H3" s="9">
        <f>+SUM($F$2:F3)/(A3)</f>
        <v>8236.9448432159916</v>
      </c>
      <c r="I3" s="10">
        <f t="shared" ref="I3:I4" si="3">+(F3/B3)*100</f>
        <v>79.89599716396269</v>
      </c>
      <c r="J3" s="10">
        <f>+AVERAGE($I$2:I3)</f>
        <v>102.53770884417546</v>
      </c>
      <c r="K3" s="43">
        <f>+SUM($E$2:E3)/H3</f>
        <v>2</v>
      </c>
    </row>
    <row r="4" spans="1:15" x14ac:dyDescent="0.3">
      <c r="A4" s="5">
        <f t="shared" ref="A4:A58" si="4">+A3+1</f>
        <v>3</v>
      </c>
      <c r="B4" s="6">
        <f>+data!B4</f>
        <v>8599.7587889999995</v>
      </c>
      <c r="C4" s="6"/>
      <c r="D4" s="22">
        <f t="shared" si="0"/>
        <v>17426.029450012822</v>
      </c>
      <c r="E4" s="23">
        <f t="shared" si="1"/>
        <v>8826.2706610128225</v>
      </c>
      <c r="F4" s="22">
        <f t="shared" si="2"/>
        <v>8826.2706610128225</v>
      </c>
      <c r="G4" s="22">
        <f>+SUMSQ($E$2:E4)/(A4)</f>
        <v>71594026.44448477</v>
      </c>
      <c r="H4" s="22">
        <f>+SUM($F$2:F4)/(A4)</f>
        <v>8433.3867824816025</v>
      </c>
      <c r="I4" s="10">
        <f t="shared" si="3"/>
        <v>102.63393285289067</v>
      </c>
      <c r="J4" s="10">
        <f>+AVERAGE($I$2:I4)</f>
        <v>102.5697835137472</v>
      </c>
      <c r="K4" s="43">
        <f>+SUM($E$2:E4)/H4</f>
        <v>3</v>
      </c>
      <c r="N4" s="4" t="s">
        <v>28</v>
      </c>
      <c r="O4" s="4">
        <f>+SLOPE(B2:B58,A2:A58)</f>
        <v>612.30656719788703</v>
      </c>
    </row>
    <row r="5" spans="1:15" x14ac:dyDescent="0.3">
      <c r="A5" s="8">
        <f t="shared" si="4"/>
        <v>4</v>
      </c>
      <c r="B5" s="9">
        <f>+data!B5</f>
        <v>6437.3193359999996</v>
      </c>
      <c r="C5" s="9"/>
      <c r="D5" s="9">
        <f t="shared" si="0"/>
        <v>18038.336017210706</v>
      </c>
      <c r="E5" s="11">
        <f t="shared" si="1"/>
        <v>11601.016681210705</v>
      </c>
      <c r="F5" s="9">
        <f t="shared" si="2"/>
        <v>11601.016681210705</v>
      </c>
      <c r="G5" s="9">
        <f>+SUMSQ($E$2:E5)/(A5)</f>
        <v>87341416.842795849</v>
      </c>
      <c r="H5" s="9">
        <f>+SUM($F$2:F5)/(A5)</f>
        <v>9225.2942571638778</v>
      </c>
      <c r="I5" s="10">
        <f>+(F5/B5)*100</f>
        <v>180.21502547393132</v>
      </c>
      <c r="J5" s="10">
        <f>+AVERAGE($I$2:I5)</f>
        <v>121.98109400379323</v>
      </c>
      <c r="K5" s="43">
        <f>+SUM($E$2:E5)/H5</f>
        <v>4</v>
      </c>
      <c r="N5" s="4" t="s">
        <v>29</v>
      </c>
      <c r="O5" s="4">
        <f>+INTERCEPT(B2:B58,A2:A58)</f>
        <v>15589.10974841916</v>
      </c>
    </row>
    <row r="6" spans="1:15" x14ac:dyDescent="0.3">
      <c r="A6" s="5">
        <f t="shared" si="4"/>
        <v>5</v>
      </c>
      <c r="B6" s="6">
        <f>+data!B6</f>
        <v>8672.7822269999997</v>
      </c>
      <c r="C6" s="6"/>
      <c r="D6" s="22">
        <f t="shared" si="0"/>
        <v>18650.642584408593</v>
      </c>
      <c r="E6" s="23">
        <f t="shared" si="1"/>
        <v>9977.8603574085937</v>
      </c>
      <c r="F6" s="22">
        <f t="shared" si="2"/>
        <v>9977.8603574085937</v>
      </c>
      <c r="G6" s="22">
        <f>+SUMSQ($E$2:E6)/(A6)</f>
        <v>89784672.936625868</v>
      </c>
      <c r="H6" s="22">
        <f>+SUM($F$2:F6)/(A6)</f>
        <v>9375.8074772128202</v>
      </c>
      <c r="I6" s="10">
        <f t="shared" ref="I6:I58" si="5">+(F6/B6)*100</f>
        <v>115.04797533536171</v>
      </c>
      <c r="J6" s="10">
        <f>+AVERAGE($I$2:I6)</f>
        <v>120.59447027010692</v>
      </c>
      <c r="K6" s="43">
        <f>+SUM($E$2:E6)/H6</f>
        <v>5</v>
      </c>
      <c r="N6" s="4" t="s">
        <v>30</v>
      </c>
    </row>
    <row r="7" spans="1:15" x14ac:dyDescent="0.3">
      <c r="A7" s="8">
        <f t="shared" si="4"/>
        <v>6</v>
      </c>
      <c r="B7" s="9">
        <f>+data!B7</f>
        <v>9463.6054690000001</v>
      </c>
      <c r="C7" s="9"/>
      <c r="D7" s="9">
        <f t="shared" si="0"/>
        <v>19262.949151606481</v>
      </c>
      <c r="E7" s="11">
        <f t="shared" si="1"/>
        <v>9799.3436826064808</v>
      </c>
      <c r="F7" s="9">
        <f t="shared" si="2"/>
        <v>9799.3436826064808</v>
      </c>
      <c r="G7" s="9">
        <f>+SUMSQ($E$2:E7)/(A7)</f>
        <v>90825083.54882814</v>
      </c>
      <c r="H7" s="9">
        <f>+SUM($F$2:F7)/(A7)</f>
        <v>9446.39684477843</v>
      </c>
      <c r="I7" s="10">
        <f t="shared" si="5"/>
        <v>103.54767762356812</v>
      </c>
      <c r="J7" s="10">
        <f>+AVERAGE($I$2:I7)</f>
        <v>117.75333816235046</v>
      </c>
      <c r="K7" s="43">
        <f>+SUM($E$2:E7)/H7</f>
        <v>6</v>
      </c>
      <c r="N7" s="4" t="s">
        <v>31</v>
      </c>
    </row>
    <row r="8" spans="1:15" x14ac:dyDescent="0.3">
      <c r="A8" s="5">
        <f t="shared" si="4"/>
        <v>7</v>
      </c>
      <c r="B8" s="6">
        <f>+data!B8</f>
        <v>9145.9853519999997</v>
      </c>
      <c r="C8" s="6"/>
      <c r="D8" s="22">
        <f t="shared" si="0"/>
        <v>19875.255718804368</v>
      </c>
      <c r="E8" s="23">
        <f t="shared" si="1"/>
        <v>10729.270366804369</v>
      </c>
      <c r="F8" s="22">
        <f t="shared" si="2"/>
        <v>10729.270366804369</v>
      </c>
      <c r="G8" s="22">
        <f>+SUMSQ($E$2:E8)/(A8)</f>
        <v>94295391.985279322</v>
      </c>
      <c r="H8" s="22">
        <f>+SUM($F$2:F8)/(A8)</f>
        <v>9629.6644907821355</v>
      </c>
      <c r="I8" s="10">
        <f t="shared" si="5"/>
        <v>117.3112568396815</v>
      </c>
      <c r="J8" s="10">
        <f>+AVERAGE($I$2:I8)</f>
        <v>117.69018368768346</v>
      </c>
      <c r="K8" s="43">
        <f>+SUM($E$2:E8)/H8</f>
        <v>7</v>
      </c>
    </row>
    <row r="9" spans="1:15" x14ac:dyDescent="0.3">
      <c r="A9" s="8">
        <f t="shared" si="4"/>
        <v>8</v>
      </c>
      <c r="B9" s="9">
        <f>+data!B9</f>
        <v>11322.570313</v>
      </c>
      <c r="C9" s="9"/>
      <c r="D9" s="9">
        <f t="shared" si="0"/>
        <v>20487.562286002256</v>
      </c>
      <c r="E9" s="11">
        <f t="shared" si="1"/>
        <v>9164.9919730022557</v>
      </c>
      <c r="F9" s="9">
        <f t="shared" si="2"/>
        <v>9164.9919730022557</v>
      </c>
      <c r="G9" s="9">
        <f>+SUMSQ($E$2:E9)/(A9)</f>
        <v>93008102.720268875</v>
      </c>
      <c r="H9" s="9">
        <f>+SUM($F$2:F9)/(A9)</f>
        <v>9571.5804260596506</v>
      </c>
      <c r="I9" s="10">
        <f t="shared" si="5"/>
        <v>80.944447414731243</v>
      </c>
      <c r="J9" s="10">
        <f>+AVERAGE($I$2:I9)</f>
        <v>113.09696665356444</v>
      </c>
      <c r="K9" s="43">
        <f>+SUM($E$2:E9)/H9</f>
        <v>8</v>
      </c>
    </row>
    <row r="10" spans="1:15" x14ac:dyDescent="0.3">
      <c r="A10" s="5">
        <f t="shared" si="4"/>
        <v>9</v>
      </c>
      <c r="B10" s="6">
        <f>+data!B10</f>
        <v>11679.316406</v>
      </c>
      <c r="C10" s="6"/>
      <c r="D10" s="22">
        <f t="shared" si="0"/>
        <v>21099.868853200143</v>
      </c>
      <c r="E10" s="23">
        <f t="shared" si="1"/>
        <v>9420.5524472001434</v>
      </c>
      <c r="F10" s="22">
        <f t="shared" si="2"/>
        <v>9420.5524472001434</v>
      </c>
      <c r="G10" s="22">
        <f>+SUMSQ($E$2:E10)/(A10)</f>
        <v>92534625.574733287</v>
      </c>
      <c r="H10" s="22">
        <f>+SUM($F$2:F10)/(A10)</f>
        <v>9554.7995395197049</v>
      </c>
      <c r="I10" s="10">
        <f t="shared" si="5"/>
        <v>80.66013557403528</v>
      </c>
      <c r="J10" s="10">
        <f>+AVERAGE($I$2:I10)</f>
        <v>109.49287431139453</v>
      </c>
      <c r="K10" s="43">
        <f>+SUM($E$2:E10)/H10</f>
        <v>9</v>
      </c>
    </row>
    <row r="11" spans="1:15" x14ac:dyDescent="0.3">
      <c r="A11" s="8">
        <f t="shared" si="4"/>
        <v>10</v>
      </c>
      <c r="B11" s="9">
        <f>+data!B11</f>
        <v>10795.254883</v>
      </c>
      <c r="C11" s="9"/>
      <c r="D11" s="9">
        <f t="shared" si="0"/>
        <v>21712.175420398031</v>
      </c>
      <c r="E11" s="11">
        <f t="shared" si="1"/>
        <v>10916.920537398031</v>
      </c>
      <c r="F11" s="9">
        <f t="shared" si="2"/>
        <v>10916.920537398031</v>
      </c>
      <c r="G11" s="9">
        <f>+SUMSQ($E$2:E11)/(A11)</f>
        <v>95199078.419246241</v>
      </c>
      <c r="H11" s="9">
        <f>+SUM($F$2:F11)/(A11)</f>
        <v>9691.0116393075386</v>
      </c>
      <c r="I11" s="10">
        <f t="shared" si="5"/>
        <v>101.12702901151158</v>
      </c>
      <c r="J11" s="10">
        <f>+AVERAGE($I$2:I11)</f>
        <v>108.65628978140623</v>
      </c>
      <c r="K11" s="43">
        <f>+SUM($E$2:E11)/H11</f>
        <v>10</v>
      </c>
    </row>
    <row r="12" spans="1:15" x14ac:dyDescent="0.3">
      <c r="A12" s="5">
        <f t="shared" si="4"/>
        <v>11</v>
      </c>
      <c r="B12" s="6">
        <f>+data!B12</f>
        <v>13780.995117</v>
      </c>
      <c r="C12" s="6"/>
      <c r="D12" s="22">
        <f t="shared" si="0"/>
        <v>22324.481987595915</v>
      </c>
      <c r="E12" s="23">
        <f t="shared" si="1"/>
        <v>8543.4868705959143</v>
      </c>
      <c r="F12" s="22">
        <f t="shared" si="2"/>
        <v>8543.4868705959143</v>
      </c>
      <c r="G12" s="22">
        <f>+SUMSQ($E$2:E12)/(A12)</f>
        <v>93180177.463682473</v>
      </c>
      <c r="H12" s="22">
        <f>+SUM($F$2:F12)/(A12)</f>
        <v>9586.6912057883001</v>
      </c>
      <c r="I12" s="10">
        <f t="shared" si="5"/>
        <v>61.99470211013147</v>
      </c>
      <c r="J12" s="10">
        <f>+AVERAGE($I$2:I12)</f>
        <v>104.41432726583579</v>
      </c>
      <c r="K12" s="43">
        <f>+SUM($E$2:E12)/H12</f>
        <v>10.999999999999998</v>
      </c>
    </row>
    <row r="13" spans="1:15" x14ac:dyDescent="0.3">
      <c r="A13" s="8">
        <f t="shared" si="4"/>
        <v>12</v>
      </c>
      <c r="B13" s="9">
        <f>+data!B13</f>
        <v>19633.769531000002</v>
      </c>
      <c r="C13" s="9"/>
      <c r="D13" s="9">
        <f t="shared" si="0"/>
        <v>22936.788554793806</v>
      </c>
      <c r="E13" s="11">
        <f t="shared" si="1"/>
        <v>3303.0190237938041</v>
      </c>
      <c r="F13" s="9">
        <f t="shared" si="2"/>
        <v>3303.0190237938041</v>
      </c>
      <c r="G13" s="9">
        <f>+SUMSQ($E$2:E13)/(A13)</f>
        <v>86324323.89767091</v>
      </c>
      <c r="H13" s="9">
        <f>+SUM($F$2:F13)/(A13)</f>
        <v>9063.0518572887577</v>
      </c>
      <c r="I13" s="10">
        <f t="shared" si="5"/>
        <v>16.823152673655596</v>
      </c>
      <c r="J13" s="10">
        <f>+AVERAGE($I$2:I13)</f>
        <v>97.115062716487444</v>
      </c>
      <c r="K13" s="43">
        <f>+SUM($E$2:E13)/H13</f>
        <v>12</v>
      </c>
    </row>
    <row r="14" spans="1:15" x14ac:dyDescent="0.3">
      <c r="A14" s="5">
        <f t="shared" si="4"/>
        <v>13</v>
      </c>
      <c r="B14" s="6">
        <f>+data!B14</f>
        <v>28994.009765999999</v>
      </c>
      <c r="C14" s="6"/>
      <c r="D14" s="22">
        <f t="shared" si="0"/>
        <v>23549.09512199169</v>
      </c>
      <c r="E14" s="23">
        <f t="shared" si="1"/>
        <v>-5444.9146440083096</v>
      </c>
      <c r="F14" s="22">
        <f t="shared" si="2"/>
        <v>5444.9146440083096</v>
      </c>
      <c r="G14" s="22">
        <f>+SUMSQ($E$2:E14)/(A14)</f>
        <v>81964537.096352845</v>
      </c>
      <c r="H14" s="22">
        <f>+SUM($F$2:F14)/(A14)</f>
        <v>8784.7336101133387</v>
      </c>
      <c r="I14" s="10">
        <f t="shared" si="5"/>
        <v>18.779446816608726</v>
      </c>
      <c r="J14" s="10">
        <f>+AVERAGE($I$2:I14)</f>
        <v>91.08924610880446</v>
      </c>
      <c r="K14" s="43">
        <f>+SUM($E$2:E14)/H14</f>
        <v>11.760368865883445</v>
      </c>
    </row>
    <row r="15" spans="1:15" x14ac:dyDescent="0.3">
      <c r="A15" s="8">
        <f t="shared" si="4"/>
        <v>14</v>
      </c>
      <c r="B15" s="9">
        <f>+data!B15</f>
        <v>33114.578125</v>
      </c>
      <c r="C15" s="9"/>
      <c r="D15" s="9">
        <f t="shared" si="0"/>
        <v>24161.401689189577</v>
      </c>
      <c r="E15" s="11">
        <f t="shared" si="1"/>
        <v>-8953.1764358104228</v>
      </c>
      <c r="F15" s="9">
        <f t="shared" si="2"/>
        <v>8953.1764358104228</v>
      </c>
      <c r="G15" s="9">
        <f>+SUMSQ($E$2:E15)/(A15)</f>
        <v>81835596.467381284</v>
      </c>
      <c r="H15" s="9">
        <f>+SUM($F$2:F15)/(A15)</f>
        <v>8796.7652405202734</v>
      </c>
      <c r="I15" s="10">
        <f t="shared" si="5"/>
        <v>27.036963605618702</v>
      </c>
      <c r="J15" s="10">
        <f>+AVERAGE($I$2:I15)</f>
        <v>86.514083072862618</v>
      </c>
      <c r="K15" s="43">
        <f>+SUM($E$2:E15)/H15</f>
        <v>10.726503280206401</v>
      </c>
    </row>
    <row r="16" spans="1:15" x14ac:dyDescent="0.3">
      <c r="A16" s="5">
        <f t="shared" si="4"/>
        <v>15</v>
      </c>
      <c r="B16" s="6">
        <f>+data!B16</f>
        <v>45159.503905999998</v>
      </c>
      <c r="C16" s="6"/>
      <c r="D16" s="22">
        <f t="shared" si="0"/>
        <v>24773.708256387465</v>
      </c>
      <c r="E16" s="23">
        <f t="shared" si="1"/>
        <v>-20385.795649612533</v>
      </c>
      <c r="F16" s="22">
        <f t="shared" si="2"/>
        <v>20385.795649612533</v>
      </c>
      <c r="G16" s="22">
        <f>+SUMSQ($E$2:E16)/(A16)</f>
        <v>104085267.65407328</v>
      </c>
      <c r="H16" s="22">
        <f>+SUM($F$2:F16)/(A16)</f>
        <v>9569.3672677930917</v>
      </c>
      <c r="I16" s="10">
        <f t="shared" si="5"/>
        <v>45.14176172538518</v>
      </c>
      <c r="J16" s="10">
        <f>+AVERAGE($I$2:I16)</f>
        <v>83.75592831636412</v>
      </c>
      <c r="K16" s="43">
        <f>+SUM($E$2:E16)/H16</f>
        <v>7.7301595275790458</v>
      </c>
    </row>
    <row r="17" spans="1:11" x14ac:dyDescent="0.3">
      <c r="A17" s="8">
        <f t="shared" si="4"/>
        <v>16</v>
      </c>
      <c r="B17" s="9">
        <f>+data!B17</f>
        <v>58926.5625</v>
      </c>
      <c r="C17" s="9"/>
      <c r="D17" s="9">
        <f t="shared" si="0"/>
        <v>25386.014823585352</v>
      </c>
      <c r="E17" s="11">
        <f t="shared" si="1"/>
        <v>-33540.547676414644</v>
      </c>
      <c r="F17" s="9">
        <f t="shared" si="2"/>
        <v>33540.547676414644</v>
      </c>
      <c r="G17" s="9">
        <f>+SUMSQ($E$2:E17)/(A17)</f>
        <v>167890459.57780895</v>
      </c>
      <c r="H17" s="9">
        <f>+SUM($F$2:F17)/(A17)</f>
        <v>11067.566043331939</v>
      </c>
      <c r="I17" s="10">
        <f t="shared" si="5"/>
        <v>56.919233455056272</v>
      </c>
      <c r="J17" s="10">
        <f>+AVERAGE($I$2:I17)</f>
        <v>82.078634887532374</v>
      </c>
      <c r="K17" s="43">
        <f>+SUM($E$2:E17)/H17</f>
        <v>3.6532140601933922</v>
      </c>
    </row>
    <row r="18" spans="1:11" x14ac:dyDescent="0.3">
      <c r="A18" s="5">
        <f t="shared" si="4"/>
        <v>17</v>
      </c>
      <c r="B18" s="6">
        <f>+data!B18</f>
        <v>57714.664062999997</v>
      </c>
      <c r="C18" s="6"/>
      <c r="D18" s="22">
        <f t="shared" si="0"/>
        <v>25998.32139078324</v>
      </c>
      <c r="E18" s="23">
        <f t="shared" si="1"/>
        <v>-31716.342672216757</v>
      </c>
      <c r="F18" s="22">
        <f t="shared" si="2"/>
        <v>31716.342672216757</v>
      </c>
      <c r="G18" s="22">
        <f>+SUMSQ($E$2:E18)/(A18)</f>
        <v>217186690.92626005</v>
      </c>
      <c r="H18" s="22">
        <f>+SUM($F$2:F18)/(A18)</f>
        <v>12282.199962678105</v>
      </c>
      <c r="I18" s="10">
        <f t="shared" si="5"/>
        <v>54.953698833966925</v>
      </c>
      <c r="J18" s="10">
        <f>+AVERAGE($I$2:I18)</f>
        <v>80.483050413793222</v>
      </c>
      <c r="K18" s="43">
        <f>+SUM($E$2:E18)/H18</f>
        <v>0.7096322512161708</v>
      </c>
    </row>
    <row r="19" spans="1:11" x14ac:dyDescent="0.3">
      <c r="A19" s="8">
        <f t="shared" si="4"/>
        <v>18</v>
      </c>
      <c r="B19" s="9">
        <f>+data!B19</f>
        <v>37293.792969000002</v>
      </c>
      <c r="C19" s="9"/>
      <c r="D19" s="9">
        <f t="shared" si="0"/>
        <v>26610.627957981127</v>
      </c>
      <c r="E19" s="11">
        <f t="shared" si="1"/>
        <v>-10683.165011018875</v>
      </c>
      <c r="F19" s="9">
        <f t="shared" si="2"/>
        <v>10683.165011018875</v>
      </c>
      <c r="G19" s="9">
        <f>+SUMSQ($E$2:E19)/(A19)</f>
        <v>211461320.02217105</v>
      </c>
      <c r="H19" s="9">
        <f>+SUM($F$2:F19)/(A19)</f>
        <v>12193.364687585925</v>
      </c>
      <c r="I19" s="10">
        <f t="shared" si="5"/>
        <v>28.645959985617775</v>
      </c>
      <c r="J19" s="10">
        <f>+AVERAGE($I$2:I19)</f>
        <v>77.603212056672362</v>
      </c>
      <c r="K19" s="43">
        <f>+SUM($E$2:E19)/H19</f>
        <v>-0.16134347261993831</v>
      </c>
    </row>
    <row r="20" spans="1:11" x14ac:dyDescent="0.3">
      <c r="A20" s="5">
        <f t="shared" si="4"/>
        <v>19</v>
      </c>
      <c r="B20" s="6">
        <f>+data!B20</f>
        <v>35035.984375</v>
      </c>
      <c r="C20" s="6"/>
      <c r="D20" s="22">
        <f t="shared" si="0"/>
        <v>27222.934525179015</v>
      </c>
      <c r="E20" s="23">
        <f t="shared" si="1"/>
        <v>-7813.0498498209854</v>
      </c>
      <c r="F20" s="22">
        <f t="shared" si="2"/>
        <v>7813.0498498209854</v>
      </c>
      <c r="G20" s="22">
        <f>+SUMSQ($E$2:E20)/(A20)</f>
        <v>203544605.70288771</v>
      </c>
      <c r="H20" s="22">
        <f>+SUM($F$2:F20)/(A20)</f>
        <v>11962.82180138777</v>
      </c>
      <c r="I20" s="10">
        <f t="shared" si="5"/>
        <v>22.300072309074334</v>
      </c>
      <c r="J20" s="10">
        <f>+AVERAGE($I$2:I20)</f>
        <v>74.692520491009304</v>
      </c>
      <c r="K20" s="43">
        <f>+SUM($E$2:E20)/H20</f>
        <v>-0.81756376662760599</v>
      </c>
    </row>
    <row r="21" spans="1:11" x14ac:dyDescent="0.3">
      <c r="A21" s="8">
        <f t="shared" si="4"/>
        <v>20</v>
      </c>
      <c r="B21" s="9">
        <f>+data!B21</f>
        <v>41460.84375</v>
      </c>
      <c r="C21" s="9"/>
      <c r="D21" s="9">
        <f t="shared" si="0"/>
        <v>27835.241092376898</v>
      </c>
      <c r="E21" s="11">
        <f t="shared" si="1"/>
        <v>-13625.602657623102</v>
      </c>
      <c r="F21" s="9">
        <f t="shared" si="2"/>
        <v>13625.602657623102</v>
      </c>
      <c r="G21" s="9">
        <f>+SUMSQ($E$2:E21)/(A21)</f>
        <v>202650227.80691463</v>
      </c>
      <c r="H21" s="9">
        <f>+SUM($F$2:F21)/(A21)</f>
        <v>12045.960844199537</v>
      </c>
      <c r="I21" s="10">
        <f t="shared" si="5"/>
        <v>32.863785261541139</v>
      </c>
      <c r="J21" s="10">
        <f>+AVERAGE($I$2:I21)</f>
        <v>72.601083729535901</v>
      </c>
      <c r="K21" s="43">
        <f>+SUM($E$2:E21)/H21</f>
        <v>-1.9430556525784453</v>
      </c>
    </row>
    <row r="22" spans="1:11" x14ac:dyDescent="0.3">
      <c r="A22" s="5">
        <f t="shared" si="4"/>
        <v>21</v>
      </c>
      <c r="B22" s="6">
        <f>+data!B22</f>
        <v>47099.773437999997</v>
      </c>
      <c r="C22" s="6"/>
      <c r="D22" s="22">
        <f t="shared" si="0"/>
        <v>28447.54765957479</v>
      </c>
      <c r="E22" s="23">
        <f t="shared" si="1"/>
        <v>-18652.225778425207</v>
      </c>
      <c r="F22" s="22">
        <f t="shared" si="2"/>
        <v>18652.225778425207</v>
      </c>
      <c r="G22" s="22">
        <f>+SUMSQ($E$2:E22)/(A22)</f>
        <v>209567146.79179245</v>
      </c>
      <c r="H22" s="22">
        <f>+SUM($F$2:F22)/(A22)</f>
        <v>12360.544888686472</v>
      </c>
      <c r="I22" s="10">
        <f t="shared" si="5"/>
        <v>39.601519109169708</v>
      </c>
      <c r="J22" s="10">
        <f>+AVERAGE($I$2:I22)</f>
        <v>71.029675890470841</v>
      </c>
      <c r="K22" s="43">
        <f>+SUM($E$2:E22)/H22</f>
        <v>-3.4026168317208523</v>
      </c>
    </row>
    <row r="23" spans="1:11" x14ac:dyDescent="0.3">
      <c r="A23" s="8">
        <f t="shared" si="4"/>
        <v>22</v>
      </c>
      <c r="B23" s="9">
        <f>+data!B23</f>
        <v>43816.742187999997</v>
      </c>
      <c r="C23" s="9"/>
      <c r="D23" s="9">
        <f t="shared" si="0"/>
        <v>29059.854226772673</v>
      </c>
      <c r="E23" s="11">
        <f t="shared" si="1"/>
        <v>-14756.887961227323</v>
      </c>
      <c r="F23" s="9">
        <f t="shared" si="2"/>
        <v>14756.887961227323</v>
      </c>
      <c r="G23" s="9">
        <f>+SUMSQ($E$2:E23)/(A23)</f>
        <v>209939810.22399351</v>
      </c>
      <c r="H23" s="9">
        <f>+SUM($F$2:F23)/(A23)</f>
        <v>12469.469573801965</v>
      </c>
      <c r="I23" s="10">
        <f t="shared" si="5"/>
        <v>33.678651639392676</v>
      </c>
      <c r="J23" s="10">
        <f>+AVERAGE($I$2:I23)</f>
        <v>69.331902060876374</v>
      </c>
      <c r="K23" s="43">
        <f>+SUM($E$2:E23)/H23</f>
        <v>-4.5563354329104824</v>
      </c>
    </row>
    <row r="24" spans="1:11" x14ac:dyDescent="0.3">
      <c r="A24" s="5">
        <f t="shared" si="4"/>
        <v>23</v>
      </c>
      <c r="B24" s="6">
        <f>+data!B24</f>
        <v>61320.449219000002</v>
      </c>
      <c r="C24" s="6"/>
      <c r="D24" s="22">
        <f t="shared" si="0"/>
        <v>29672.160793970561</v>
      </c>
      <c r="E24" s="23">
        <f t="shared" si="1"/>
        <v>-31648.288425029441</v>
      </c>
      <c r="F24" s="22">
        <f t="shared" si="2"/>
        <v>31648.288425029441</v>
      </c>
      <c r="G24" s="22">
        <f>+SUMSQ($E$2:E24)/(A24)</f>
        <v>244360434.13746566</v>
      </c>
      <c r="H24" s="22">
        <f>+SUM($F$2:F24)/(A24)</f>
        <v>13303.331262985768</v>
      </c>
      <c r="I24" s="10">
        <f t="shared" si="5"/>
        <v>51.611312095905667</v>
      </c>
      <c r="J24" s="10">
        <f>+AVERAGE($I$2:I24)</f>
        <v>68.561441627616787</v>
      </c>
      <c r="K24" s="43">
        <f>+SUM($E$2:E24)/H24</f>
        <v>-6.6497159790252409</v>
      </c>
    </row>
    <row r="25" spans="1:11" x14ac:dyDescent="0.3">
      <c r="A25" s="8">
        <f t="shared" si="4"/>
        <v>24</v>
      </c>
      <c r="B25" s="9">
        <f>+data!B25</f>
        <v>56907.964844000002</v>
      </c>
      <c r="C25" s="9"/>
      <c r="D25" s="9">
        <f t="shared" si="0"/>
        <v>30284.467361168448</v>
      </c>
      <c r="E25" s="11">
        <f t="shared" si="1"/>
        <v>-26623.497482831553</v>
      </c>
      <c r="F25" s="9">
        <f t="shared" si="2"/>
        <v>26623.497482831553</v>
      </c>
      <c r="G25" s="9">
        <f>+SUMSQ($E$2:E25)/(A25)</f>
        <v>263712525.14083531</v>
      </c>
      <c r="H25" s="9">
        <f>+SUM($F$2:F25)/(A25)</f>
        <v>13858.338188812675</v>
      </c>
      <c r="I25" s="10">
        <f t="shared" si="5"/>
        <v>46.783429271831636</v>
      </c>
      <c r="J25" s="10">
        <f>+AVERAGE($I$2:I25)</f>
        <v>67.654024446125746</v>
      </c>
      <c r="K25" s="43">
        <f>+SUM($E$2:E25)/H25</f>
        <v>-8.3045218256745557</v>
      </c>
    </row>
    <row r="26" spans="1:11" x14ac:dyDescent="0.3">
      <c r="A26" s="5">
        <f t="shared" si="4"/>
        <v>25</v>
      </c>
      <c r="B26" s="6">
        <f>+data!B26</f>
        <v>46311.746094000002</v>
      </c>
      <c r="C26" s="6"/>
      <c r="D26" s="22">
        <f t="shared" si="0"/>
        <v>30896.773928366336</v>
      </c>
      <c r="E26" s="23">
        <f t="shared" si="1"/>
        <v>-15414.972165633666</v>
      </c>
      <c r="F26" s="22">
        <f t="shared" si="2"/>
        <v>15414.972165633666</v>
      </c>
      <c r="G26" s="22">
        <f>+SUMSQ($E$2:E26)/(A26)</f>
        <v>262668878.80989236</v>
      </c>
      <c r="H26" s="22">
        <f>+SUM($F$2:F26)/(A26)</f>
        <v>13920.603547885516</v>
      </c>
      <c r="I26" s="10">
        <f t="shared" si="5"/>
        <v>33.285232075563606</v>
      </c>
      <c r="J26" s="10">
        <f>+AVERAGE($I$2:I26)</f>
        <v>66.279272751303253</v>
      </c>
      <c r="K26" s="43">
        <f>+SUM($E$2:E26)/H26</f>
        <v>-9.3747260076256129</v>
      </c>
    </row>
    <row r="27" spans="1:11" x14ac:dyDescent="0.3">
      <c r="A27" s="8">
        <f t="shared" si="4"/>
        <v>26</v>
      </c>
      <c r="B27" s="9">
        <f>+data!B27</f>
        <v>38481.765625</v>
      </c>
      <c r="C27" s="9"/>
      <c r="D27" s="9">
        <f t="shared" si="0"/>
        <v>31509.080495564223</v>
      </c>
      <c r="E27" s="11">
        <f t="shared" si="1"/>
        <v>-6972.6851294357766</v>
      </c>
      <c r="F27" s="9">
        <f t="shared" si="2"/>
        <v>6972.6851294357766</v>
      </c>
      <c r="G27" s="9">
        <f>+SUMSQ($E$2:E27)/(A27)</f>
        <v>254436165.69852167</v>
      </c>
      <c r="H27" s="9">
        <f>+SUM($F$2:F27)/(A27)</f>
        <v>13653.37591640668</v>
      </c>
      <c r="I27" s="10">
        <f t="shared" si="5"/>
        <v>18.119452203372688</v>
      </c>
      <c r="J27" s="10">
        <f>+AVERAGE($I$2:I27)</f>
        <v>64.42697196099823</v>
      </c>
      <c r="K27" s="43">
        <f>+SUM($E$2:E27)/H27</f>
        <v>-10.068903844246041</v>
      </c>
    </row>
    <row r="28" spans="1:11" x14ac:dyDescent="0.3">
      <c r="A28" s="5">
        <f t="shared" si="4"/>
        <v>27</v>
      </c>
      <c r="B28" s="6">
        <f>+data!B28</f>
        <v>43194.503905999998</v>
      </c>
      <c r="C28" s="6"/>
      <c r="D28" s="22">
        <f t="shared" si="0"/>
        <v>32121.387062762111</v>
      </c>
      <c r="E28" s="23">
        <f t="shared" si="1"/>
        <v>-11073.116843237887</v>
      </c>
      <c r="F28" s="22">
        <f t="shared" si="2"/>
        <v>11073.116843237887</v>
      </c>
      <c r="G28" s="22">
        <f>+SUMSQ($E$2:E28)/(A28)</f>
        <v>249553860.17724305</v>
      </c>
      <c r="H28" s="22">
        <f>+SUM($F$2:F28)/(A28)</f>
        <v>13557.810765548576</v>
      </c>
      <c r="I28" s="10">
        <f t="shared" si="5"/>
        <v>25.635476372955306</v>
      </c>
      <c r="J28" s="10">
        <f>+AVERAGE($I$2:I28)</f>
        <v>62.990249902181823</v>
      </c>
      <c r="K28" s="43">
        <f>+SUM($E$2:E28)/H28</f>
        <v>-10.956610079877514</v>
      </c>
    </row>
    <row r="29" spans="1:11" x14ac:dyDescent="0.3">
      <c r="A29" s="8">
        <f t="shared" si="4"/>
        <v>28</v>
      </c>
      <c r="B29" s="9">
        <f>+data!B29</f>
        <v>45554.164062999997</v>
      </c>
      <c r="C29" s="9"/>
      <c r="D29" s="9">
        <f t="shared" si="0"/>
        <v>32733.693629959995</v>
      </c>
      <c r="E29" s="11">
        <f t="shared" si="1"/>
        <v>-12820.470433040002</v>
      </c>
      <c r="F29" s="9">
        <f t="shared" si="2"/>
        <v>12820.470433040002</v>
      </c>
      <c r="G29" s="9">
        <f>+SUMSQ($E$2:E29)/(A29)</f>
        <v>246511381.67535767</v>
      </c>
      <c r="H29" s="9">
        <f>+SUM($F$2:F29)/(A29)</f>
        <v>13531.477182244698</v>
      </c>
      <c r="I29" s="10">
        <f t="shared" si="5"/>
        <v>28.143355710160083</v>
      </c>
      <c r="J29" s="10">
        <f>+AVERAGE($I$2:I29)</f>
        <v>61.745717966752473</v>
      </c>
      <c r="K29" s="43">
        <f>+SUM($E$2:E29)/H29</f>
        <v>-11.925388067731458</v>
      </c>
    </row>
    <row r="30" spans="1:11" x14ac:dyDescent="0.3">
      <c r="A30" s="5">
        <f t="shared" si="4"/>
        <v>29</v>
      </c>
      <c r="B30" s="6">
        <f>+data!B30</f>
        <v>37713.265625</v>
      </c>
      <c r="C30" s="6"/>
      <c r="D30" s="22">
        <f t="shared" si="0"/>
        <v>33346.000197157882</v>
      </c>
      <c r="E30" s="23">
        <f t="shared" si="1"/>
        <v>-4367.2654278421178</v>
      </c>
      <c r="F30" s="22">
        <f t="shared" si="2"/>
        <v>4367.2654278421178</v>
      </c>
      <c r="G30" s="22">
        <f>+SUMSQ($E$2:E30)/(A30)</f>
        <v>238668679.11128417</v>
      </c>
      <c r="H30" s="22">
        <f>+SUM($F$2:F30)/(A30)</f>
        <v>13215.469880368748</v>
      </c>
      <c r="I30" s="10">
        <f t="shared" si="5"/>
        <v>11.580183671357995</v>
      </c>
      <c r="J30" s="10">
        <f>+AVERAGE($I$2:I30)</f>
        <v>60.015871956566464</v>
      </c>
      <c r="K30" s="43">
        <f>+SUM($E$2:E30)/H30</f>
        <v>-12.541013180466578</v>
      </c>
    </row>
    <row r="31" spans="1:11" x14ac:dyDescent="0.3">
      <c r="A31" s="8">
        <f t="shared" si="4"/>
        <v>30</v>
      </c>
      <c r="B31" s="9">
        <f>+data!B31</f>
        <v>31792.554688</v>
      </c>
      <c r="C31" s="9"/>
      <c r="D31" s="9">
        <f t="shared" si="0"/>
        <v>33958.306764355773</v>
      </c>
      <c r="E31" s="11">
        <f t="shared" si="1"/>
        <v>2165.7520763557732</v>
      </c>
      <c r="F31" s="9">
        <f t="shared" si="2"/>
        <v>2165.7520763557732</v>
      </c>
      <c r="G31" s="9">
        <f>+SUMSQ($E$2:E31)/(A31)</f>
        <v>230869405.87611598</v>
      </c>
      <c r="H31" s="9">
        <f>+SUM($F$2:F31)/(A31)</f>
        <v>12847.145953568315</v>
      </c>
      <c r="I31" s="10">
        <f t="shared" si="5"/>
        <v>6.8121360413141927</v>
      </c>
      <c r="J31" s="10">
        <f>+AVERAGE($I$2:I31)</f>
        <v>58.242414092724722</v>
      </c>
      <c r="K31" s="43">
        <f>+SUM($E$2:E31)/H31</f>
        <v>-12.731981910268251</v>
      </c>
    </row>
    <row r="32" spans="1:11" x14ac:dyDescent="0.3">
      <c r="A32" s="5">
        <f t="shared" si="4"/>
        <v>31</v>
      </c>
      <c r="B32" s="6">
        <f>+data!B32</f>
        <v>19820.470702999999</v>
      </c>
      <c r="C32" s="6"/>
      <c r="D32" s="22">
        <f t="shared" si="0"/>
        <v>34570.613331553657</v>
      </c>
      <c r="E32" s="23">
        <f t="shared" si="1"/>
        <v>14750.142628553658</v>
      </c>
      <c r="F32" s="22">
        <f t="shared" si="2"/>
        <v>14750.142628553658</v>
      </c>
      <c r="G32" s="22">
        <f>+SUMSQ($E$2:E32)/(A32)</f>
        <v>230440286.57568243</v>
      </c>
      <c r="H32" s="22">
        <f>+SUM($F$2:F32)/(A32)</f>
        <v>12908.532943083972</v>
      </c>
      <c r="I32" s="10">
        <f t="shared" si="5"/>
        <v>74.41873025912092</v>
      </c>
      <c r="J32" s="10">
        <f>+AVERAGE($I$2:I32)</f>
        <v>58.764230743253627</v>
      </c>
      <c r="K32" s="43">
        <f>+SUM($E$2:E32)/H32</f>
        <v>-11.528768443867772</v>
      </c>
    </row>
    <row r="33" spans="1:11" x14ac:dyDescent="0.3">
      <c r="A33" s="8">
        <f t="shared" si="4"/>
        <v>32</v>
      </c>
      <c r="B33" s="9">
        <f>+data!B33</f>
        <v>23336.71875</v>
      </c>
      <c r="C33" s="9"/>
      <c r="D33" s="9">
        <f t="shared" si="0"/>
        <v>35182.919898751541</v>
      </c>
      <c r="E33" s="11">
        <f t="shared" si="1"/>
        <v>11846.201148751541</v>
      </c>
      <c r="F33" s="9">
        <f t="shared" si="2"/>
        <v>11846.201148751541</v>
      </c>
      <c r="G33" s="9">
        <f>+SUMSQ($E$2:E33)/(A33)</f>
        <v>227624417.67196366</v>
      </c>
      <c r="H33" s="9">
        <f>+SUM($F$2:F33)/(A33)</f>
        <v>12875.335074511084</v>
      </c>
      <c r="I33" s="10">
        <f t="shared" si="5"/>
        <v>50.762068462394872</v>
      </c>
      <c r="J33" s="10">
        <f>+AVERAGE($I$2:I33)</f>
        <v>58.51416317197679</v>
      </c>
      <c r="K33" s="43">
        <f>+SUM($E$2:E33)/H33</f>
        <v>-10.638424965985116</v>
      </c>
    </row>
    <row r="34" spans="1:11" x14ac:dyDescent="0.3">
      <c r="A34" s="5">
        <f t="shared" si="4"/>
        <v>33</v>
      </c>
      <c r="B34" s="6">
        <f>+data!B34</f>
        <v>20050.498047000001</v>
      </c>
      <c r="C34" s="6"/>
      <c r="D34" s="22">
        <f t="shared" si="0"/>
        <v>35795.226465949432</v>
      </c>
      <c r="E34" s="23">
        <f t="shared" si="1"/>
        <v>15744.728418949431</v>
      </c>
      <c r="F34" s="22">
        <f t="shared" si="2"/>
        <v>15744.728418949431</v>
      </c>
      <c r="G34" s="22">
        <f>+SUMSQ($E$2:E34)/(A34)</f>
        <v>228238722.37846398</v>
      </c>
      <c r="H34" s="22">
        <f>+SUM($F$2:F34)/(A34)</f>
        <v>12962.286387978911</v>
      </c>
      <c r="I34" s="10">
        <f t="shared" si="5"/>
        <v>78.525373195431385</v>
      </c>
      <c r="J34" s="10">
        <f>+AVERAGE($I$2:I34)</f>
        <v>59.120563475717844</v>
      </c>
      <c r="K34" s="43">
        <f>+SUM($E$2:E34)/H34</f>
        <v>-9.3524054364035045</v>
      </c>
    </row>
    <row r="35" spans="1:11" x14ac:dyDescent="0.3">
      <c r="A35" s="8">
        <f t="shared" si="4"/>
        <v>34</v>
      </c>
      <c r="B35" s="9">
        <f>+data!B35</f>
        <v>19431.105468999998</v>
      </c>
      <c r="C35" s="9"/>
      <c r="D35" s="9">
        <f t="shared" si="0"/>
        <v>36407.533033147323</v>
      </c>
      <c r="E35" s="11">
        <f t="shared" si="1"/>
        <v>16976.427564147325</v>
      </c>
      <c r="F35" s="9">
        <f t="shared" si="2"/>
        <v>16976.427564147325</v>
      </c>
      <c r="G35" s="9">
        <f>+SUMSQ($E$2:E35)/(A35)</f>
        <v>230002262.686178</v>
      </c>
      <c r="H35" s="9">
        <f>+SUM($F$2:F35)/(A35)</f>
        <v>13080.349363748572</v>
      </c>
      <c r="I35" s="10">
        <f t="shared" si="5"/>
        <v>87.367276098784913</v>
      </c>
      <c r="J35" s="10">
        <f>+AVERAGE($I$2:I35)</f>
        <v>59.95134914110217</v>
      </c>
      <c r="K35" s="43">
        <f>+SUM($E$2:E35)/H35</f>
        <v>-7.9701334589681911</v>
      </c>
    </row>
    <row r="36" spans="1:11" x14ac:dyDescent="0.3">
      <c r="A36" s="5">
        <f t="shared" si="4"/>
        <v>35</v>
      </c>
      <c r="B36" s="6">
        <f>+data!B36</f>
        <v>20494.898438</v>
      </c>
      <c r="C36" s="6"/>
      <c r="D36" s="22">
        <f t="shared" si="0"/>
        <v>37019.839600345207</v>
      </c>
      <c r="E36" s="23">
        <f t="shared" si="1"/>
        <v>16524.941162345207</v>
      </c>
      <c r="F36" s="22">
        <f t="shared" si="2"/>
        <v>16524.941162345207</v>
      </c>
      <c r="G36" s="22">
        <f>+SUMSQ($E$2:E36)/(A36)</f>
        <v>231232874.62140068</v>
      </c>
      <c r="H36" s="22">
        <f>+SUM($F$2:F36)/(A36)</f>
        <v>13178.766272279905</v>
      </c>
      <c r="I36" s="10">
        <f t="shared" si="5"/>
        <v>80.629534283058376</v>
      </c>
      <c r="J36" s="10">
        <f>+AVERAGE($I$2:I36)</f>
        <v>60.542154430872351</v>
      </c>
      <c r="K36" s="43">
        <f>+SUM($E$2:E36)/H36</f>
        <v>-6.6567072474139817</v>
      </c>
    </row>
    <row r="37" spans="1:11" x14ac:dyDescent="0.3">
      <c r="A37" s="8">
        <f t="shared" si="4"/>
        <v>36</v>
      </c>
      <c r="B37" s="9">
        <f>+data!B37</f>
        <v>17168.001952999999</v>
      </c>
      <c r="C37" s="9"/>
      <c r="D37" s="9">
        <f t="shared" si="0"/>
        <v>37632.146167543091</v>
      </c>
      <c r="E37" s="11">
        <f t="shared" si="1"/>
        <v>20464.144214543092</v>
      </c>
      <c r="F37" s="9">
        <f t="shared" si="2"/>
        <v>20464.144214543092</v>
      </c>
      <c r="G37" s="9">
        <f>+SUMSQ($E$2:E37)/(A37)</f>
        <v>236442550.28285113</v>
      </c>
      <c r="H37" s="9">
        <f>+SUM($F$2:F37)/(A37)</f>
        <v>13381.137881787216</v>
      </c>
      <c r="I37" s="10">
        <f t="shared" si="5"/>
        <v>119.19933531325766</v>
      </c>
      <c r="J37" s="10">
        <f>+AVERAGE($I$2:I37)</f>
        <v>62.171520566494159</v>
      </c>
      <c r="K37" s="43">
        <f>+SUM($E$2:E37)/H37</f>
        <v>-5.0267059002260037</v>
      </c>
    </row>
    <row r="38" spans="1:11" x14ac:dyDescent="0.3">
      <c r="A38" s="5">
        <f t="shared" si="4"/>
        <v>37</v>
      </c>
      <c r="B38" s="6">
        <f>+data!B38</f>
        <v>16547.914063</v>
      </c>
      <c r="C38" s="6"/>
      <c r="D38" s="22">
        <f t="shared" si="0"/>
        <v>38244.452734740975</v>
      </c>
      <c r="E38" s="23">
        <f t="shared" si="1"/>
        <v>21696.538671740975</v>
      </c>
      <c r="F38" s="22">
        <f t="shared" si="2"/>
        <v>21696.538671740975</v>
      </c>
      <c r="G38" s="22">
        <f>+SUMSQ($E$2:E38)/(A38)</f>
        <v>242774908.12208089</v>
      </c>
      <c r="H38" s="22">
        <f>+SUM($F$2:F38)/(A38)</f>
        <v>13605.878443677857</v>
      </c>
      <c r="I38" s="10">
        <f t="shared" si="5"/>
        <v>131.11343574265317</v>
      </c>
      <c r="J38" s="10">
        <f>+AVERAGE($I$2:I38)</f>
        <v>64.034815571255209</v>
      </c>
      <c r="K38" s="43">
        <f>+SUM($E$2:E38)/H38</f>
        <v>-3.3490308074558444</v>
      </c>
    </row>
    <row r="39" spans="1:11" x14ac:dyDescent="0.3">
      <c r="A39" s="8">
        <f t="shared" si="4"/>
        <v>38</v>
      </c>
      <c r="B39" s="9">
        <f>+data!B39</f>
        <v>23137.835938</v>
      </c>
      <c r="C39" s="9"/>
      <c r="D39" s="9">
        <f t="shared" si="0"/>
        <v>38856.759301938866</v>
      </c>
      <c r="E39" s="11">
        <f t="shared" si="1"/>
        <v>15718.923363938866</v>
      </c>
      <c r="F39" s="9">
        <f t="shared" si="2"/>
        <v>15718.923363938866</v>
      </c>
      <c r="G39" s="9">
        <f>+SUMSQ($E$2:E39)/(A39)</f>
        <v>242888319.79574674</v>
      </c>
      <c r="H39" s="9">
        <f>+SUM($F$2:F39)/(A39)</f>
        <v>13661.484888947884</v>
      </c>
      <c r="I39" s="10">
        <f t="shared" si="5"/>
        <v>67.936013575596249</v>
      </c>
      <c r="J39" s="10">
        <f>+AVERAGE($I$2:I39)</f>
        <v>64.137478676632611</v>
      </c>
      <c r="K39" s="43">
        <f>+SUM($E$2:E39)/H39</f>
        <v>-2.1847978421865615</v>
      </c>
    </row>
    <row r="40" spans="1:11" x14ac:dyDescent="0.3">
      <c r="A40" s="5">
        <f t="shared" si="4"/>
        <v>39</v>
      </c>
      <c r="B40" s="6">
        <f>+data!B40</f>
        <v>23150.929688</v>
      </c>
      <c r="C40" s="6"/>
      <c r="D40" s="22">
        <f t="shared" si="0"/>
        <v>39469.065869136757</v>
      </c>
      <c r="E40" s="23">
        <f t="shared" si="1"/>
        <v>16318.136181136757</v>
      </c>
      <c r="F40" s="22">
        <f t="shared" si="2"/>
        <v>16318.136181136757</v>
      </c>
      <c r="G40" s="22">
        <f>+SUMSQ($E$2:E40)/(A40)</f>
        <v>243488146.68370515</v>
      </c>
      <c r="H40" s="22">
        <f>+SUM($F$2:F40)/(A40)</f>
        <v>13729.604152850163</v>
      </c>
      <c r="I40" s="10">
        <f t="shared" si="5"/>
        <v>70.485878541608031</v>
      </c>
      <c r="J40" s="10">
        <f>+AVERAGE($I$2:I40)</f>
        <v>64.300258160349941</v>
      </c>
      <c r="K40" s="43">
        <f>+SUM($E$2:E40)/H40</f>
        <v>-0.98542145677902049</v>
      </c>
    </row>
    <row r="41" spans="1:11" x14ac:dyDescent="0.3">
      <c r="A41" s="8">
        <f t="shared" si="4"/>
        <v>40</v>
      </c>
      <c r="B41" s="9">
        <f>+data!B41</f>
        <v>28473.332031000002</v>
      </c>
      <c r="C41" s="9"/>
      <c r="D41" s="9">
        <f t="shared" si="0"/>
        <v>40081.372436334641</v>
      </c>
      <c r="E41" s="11">
        <f t="shared" si="1"/>
        <v>11608.040405334639</v>
      </c>
      <c r="F41" s="9">
        <f t="shared" si="2"/>
        <v>11608.040405334639</v>
      </c>
      <c r="G41" s="9">
        <f>+SUMSQ($E$2:E41)/(A41)</f>
        <v>240769608.06790957</v>
      </c>
      <c r="H41" s="9">
        <f>+SUM($F$2:F41)/(A41)</f>
        <v>13676.565059162274</v>
      </c>
      <c r="I41" s="10">
        <f t="shared" si="5"/>
        <v>40.768113800999913</v>
      </c>
      <c r="J41" s="10">
        <f>+AVERAGE($I$2:I41)</f>
        <v>63.711954551366183</v>
      </c>
      <c r="K41" s="43">
        <f>+SUM($E$2:E41)/H41</f>
        <v>-0.14048893941238991</v>
      </c>
    </row>
    <row r="42" spans="1:11" x14ac:dyDescent="0.3">
      <c r="A42" s="5">
        <f t="shared" si="4"/>
        <v>41</v>
      </c>
      <c r="B42" s="6">
        <f>+data!B42</f>
        <v>29227.103515999999</v>
      </c>
      <c r="C42" s="6"/>
      <c r="D42" s="22">
        <f t="shared" si="0"/>
        <v>40693.679003532525</v>
      </c>
      <c r="E42" s="23">
        <f t="shared" si="1"/>
        <v>11466.575487532526</v>
      </c>
      <c r="F42" s="22">
        <f t="shared" si="2"/>
        <v>11466.575487532526</v>
      </c>
      <c r="G42" s="22">
        <f>+SUMSQ($E$2:E42)/(A42)</f>
        <v>238104065.27140644</v>
      </c>
      <c r="H42" s="22">
        <f>+SUM($F$2:F42)/(A42)</f>
        <v>13622.662874488378</v>
      </c>
      <c r="I42" s="10">
        <f t="shared" si="5"/>
        <v>39.232678261310767</v>
      </c>
      <c r="J42" s="10">
        <f>+AVERAGE($I$2:I42)</f>
        <v>63.114899032096538</v>
      </c>
      <c r="K42" s="43">
        <f>+SUM($E$2:E42)/H42</f>
        <v>0.70068307903602534</v>
      </c>
    </row>
    <row r="43" spans="1:11" x14ac:dyDescent="0.3">
      <c r="A43" s="8">
        <f t="shared" si="4"/>
        <v>42</v>
      </c>
      <c r="B43" s="9">
        <f>+data!B43</f>
        <v>27218.412109000001</v>
      </c>
      <c r="C43" s="9"/>
      <c r="D43" s="9">
        <f t="shared" si="0"/>
        <v>41305.985570730416</v>
      </c>
      <c r="E43" s="11">
        <f t="shared" si="1"/>
        <v>14087.573461730415</v>
      </c>
      <c r="F43" s="9">
        <f t="shared" si="2"/>
        <v>14087.573461730415</v>
      </c>
      <c r="G43" s="9">
        <f>+SUMSQ($E$2:E43)/(A43)</f>
        <v>237160152.43255514</v>
      </c>
      <c r="H43" s="9">
        <f>+SUM($F$2:F43)/(A43)</f>
        <v>13633.732174184617</v>
      </c>
      <c r="I43" s="10">
        <f t="shared" si="5"/>
        <v>51.757514014097239</v>
      </c>
      <c r="J43" s="10">
        <f>+AVERAGE($I$2:I43)</f>
        <v>62.844485103096552</v>
      </c>
      <c r="K43" s="43">
        <f>+SUM($E$2:E43)/H43</f>
        <v>1.7334023088736574</v>
      </c>
    </row>
    <row r="44" spans="1:11" x14ac:dyDescent="0.3">
      <c r="A44" s="5">
        <f t="shared" si="4"/>
        <v>43</v>
      </c>
      <c r="B44" s="6">
        <f>+data!B44</f>
        <v>30471.847656000002</v>
      </c>
      <c r="C44" s="6"/>
      <c r="D44" s="22">
        <f t="shared" si="0"/>
        <v>41918.292137928307</v>
      </c>
      <c r="E44" s="23">
        <f t="shared" si="1"/>
        <v>11446.444481928305</v>
      </c>
      <c r="F44" s="22">
        <f t="shared" si="2"/>
        <v>11446.444481928305</v>
      </c>
      <c r="G44" s="22">
        <f>+SUMSQ($E$2:E44)/(A44)</f>
        <v>234691802.17314377</v>
      </c>
      <c r="H44" s="22">
        <f>+SUM($F$2:F44)/(A44)</f>
        <v>13582.865018550749</v>
      </c>
      <c r="I44" s="10">
        <f t="shared" si="5"/>
        <v>37.563998780607136</v>
      </c>
      <c r="J44" s="10">
        <f>+AVERAGE($I$2:I44)</f>
        <v>62.256566816527034</v>
      </c>
      <c r="K44" s="43">
        <f>+SUM($E$2:E44)/H44</f>
        <v>2.5826058981897941</v>
      </c>
    </row>
    <row r="45" spans="1:11" x14ac:dyDescent="0.3">
      <c r="A45" s="8">
        <f t="shared" si="4"/>
        <v>44</v>
      </c>
      <c r="B45" s="9">
        <f>+data!B45</f>
        <v>29230.873047000001</v>
      </c>
      <c r="C45" s="9"/>
      <c r="D45" s="9">
        <f t="shared" si="0"/>
        <v>42530.598705126191</v>
      </c>
      <c r="E45" s="11">
        <f t="shared" si="1"/>
        <v>13299.72565812619</v>
      </c>
      <c r="F45" s="9">
        <f t="shared" si="2"/>
        <v>13299.72565812619</v>
      </c>
      <c r="G45" s="9">
        <f>+SUMSQ($E$2:E45)/(A45)</f>
        <v>233377959.00060463</v>
      </c>
      <c r="H45" s="9">
        <f>+SUM($F$2:F45)/(A45)</f>
        <v>13576.430033086554</v>
      </c>
      <c r="I45" s="10">
        <f t="shared" si="5"/>
        <v>45.498899867758674</v>
      </c>
      <c r="J45" s="10">
        <f>+AVERAGE($I$2:I45)</f>
        <v>61.875710749509565</v>
      </c>
      <c r="K45" s="43">
        <f>+SUM($E$2:E45)/H45</f>
        <v>3.5634487749319179</v>
      </c>
    </row>
    <row r="46" spans="1:11" x14ac:dyDescent="0.3">
      <c r="A46" s="5">
        <f t="shared" si="4"/>
        <v>45</v>
      </c>
      <c r="B46" s="6">
        <f>+data!B46</f>
        <v>25934.021484000001</v>
      </c>
      <c r="C46" s="6"/>
      <c r="D46" s="22">
        <f t="shared" si="0"/>
        <v>43142.905272324075</v>
      </c>
      <c r="E46" s="23">
        <f t="shared" si="1"/>
        <v>17208.883788324074</v>
      </c>
      <c r="F46" s="22">
        <f t="shared" si="2"/>
        <v>17208.883788324074</v>
      </c>
      <c r="G46" s="22">
        <f>+SUMSQ($E$2:E46)/(A46)</f>
        <v>234772797.27259216</v>
      </c>
      <c r="H46" s="22">
        <f>+SUM($F$2:F46)/(A46)</f>
        <v>13657.151227647388</v>
      </c>
      <c r="I46" s="10">
        <f t="shared" si="5"/>
        <v>66.356402916304731</v>
      </c>
      <c r="J46" s="10">
        <f>+AVERAGE($I$2:I46)</f>
        <v>61.975281686549465</v>
      </c>
      <c r="K46" s="43">
        <f>+SUM($E$2:E46)/H46</f>
        <v>4.8024507940499364</v>
      </c>
    </row>
    <row r="47" spans="1:11" x14ac:dyDescent="0.3">
      <c r="A47" s="8">
        <f t="shared" si="4"/>
        <v>46</v>
      </c>
      <c r="B47" s="9">
        <f>+data!B47</f>
        <v>26967.396484000001</v>
      </c>
      <c r="C47" s="9"/>
      <c r="D47" s="9">
        <f t="shared" si="0"/>
        <v>43755.211839521959</v>
      </c>
      <c r="E47" s="11">
        <f t="shared" si="1"/>
        <v>16787.815355521958</v>
      </c>
      <c r="F47" s="9">
        <f t="shared" si="2"/>
        <v>16787.815355521958</v>
      </c>
      <c r="G47" s="9">
        <f>+SUMSQ($E$2:E47)/(A47)</f>
        <v>235795796.12342927</v>
      </c>
      <c r="H47" s="9">
        <f>+SUM($F$2:F47)/(A47)</f>
        <v>13725.209143470747</v>
      </c>
      <c r="I47" s="10">
        <f t="shared" si="5"/>
        <v>62.252265862899748</v>
      </c>
      <c r="J47" s="10">
        <f>+AVERAGE($I$2:I47)</f>
        <v>61.981303081687507</v>
      </c>
      <c r="K47" s="43">
        <f>+SUM($E$2:E47)/H47</f>
        <v>6.0017746361544022</v>
      </c>
    </row>
    <row r="48" spans="1:11" x14ac:dyDescent="0.3">
      <c r="A48" s="5">
        <f t="shared" si="4"/>
        <v>47</v>
      </c>
      <c r="B48" s="6">
        <f>+data!B48</f>
        <v>34657.273437999997</v>
      </c>
      <c r="C48" s="6"/>
      <c r="D48" s="22">
        <f t="shared" si="0"/>
        <v>44367.51840671985</v>
      </c>
      <c r="E48" s="23">
        <f t="shared" si="1"/>
        <v>9710.2449687198532</v>
      </c>
      <c r="F48" s="22">
        <f t="shared" si="2"/>
        <v>9710.2449687198532</v>
      </c>
      <c r="G48" s="22">
        <f>+SUMSQ($E$2:E48)/(A48)</f>
        <v>232785010.19213393</v>
      </c>
      <c r="H48" s="22">
        <f>+SUM($F$2:F48)/(A48)</f>
        <v>13639.784373795197</v>
      </c>
      <c r="I48" s="10">
        <f t="shared" si="5"/>
        <v>28.017913717566273</v>
      </c>
      <c r="J48" s="10">
        <f>+AVERAGE($I$2:I48)</f>
        <v>61.258677776067913</v>
      </c>
      <c r="K48" s="43">
        <f>+SUM($E$2:E48)/H48</f>
        <v>6.75126926924393</v>
      </c>
    </row>
    <row r="49" spans="1:11" x14ac:dyDescent="0.3">
      <c r="A49" s="8">
        <f t="shared" si="4"/>
        <v>48</v>
      </c>
      <c r="B49" s="9">
        <f>+data!B49</f>
        <v>37718.007812999997</v>
      </c>
      <c r="C49" s="9"/>
      <c r="D49" s="9">
        <f t="shared" si="0"/>
        <v>44979.824973917741</v>
      </c>
      <c r="E49" s="11">
        <f t="shared" si="1"/>
        <v>7261.8171609177443</v>
      </c>
      <c r="F49" s="9">
        <f t="shared" si="2"/>
        <v>7261.8171609177443</v>
      </c>
      <c r="G49" s="9">
        <f>+SUMSQ($E$2:E49)/(A49)</f>
        <v>229033947.23976862</v>
      </c>
      <c r="H49" s="9">
        <f>+SUM($F$2:F49)/(A49)</f>
        <v>13506.910056860252</v>
      </c>
      <c r="I49" s="10">
        <f t="shared" si="5"/>
        <v>19.252918120492211</v>
      </c>
      <c r="J49" s="10">
        <f>+AVERAGE($I$2:I49)</f>
        <v>60.383557783243418</v>
      </c>
      <c r="K49" s="43">
        <f>+SUM($E$2:E49)/H49</f>
        <v>7.3553221147256744</v>
      </c>
    </row>
    <row r="50" spans="1:11" x14ac:dyDescent="0.3">
      <c r="A50" s="5">
        <f t="shared" si="4"/>
        <v>49</v>
      </c>
      <c r="B50" s="6">
        <f>+data!B50</f>
        <v>42280.234375</v>
      </c>
      <c r="C50" s="6"/>
      <c r="D50" s="22">
        <f t="shared" si="0"/>
        <v>45592.131541115625</v>
      </c>
      <c r="E50" s="23">
        <f t="shared" si="1"/>
        <v>3311.8971661156247</v>
      </c>
      <c r="F50" s="22">
        <f t="shared" si="2"/>
        <v>3311.8971661156247</v>
      </c>
      <c r="G50" s="22">
        <f>+SUMSQ($E$2:E50)/(A50)</f>
        <v>224583635.31322077</v>
      </c>
      <c r="H50" s="22">
        <f>+SUM($F$2:F50)/(A50)</f>
        <v>13298.848569294034</v>
      </c>
      <c r="I50" s="10">
        <f t="shared" si="5"/>
        <v>7.8332043685971753</v>
      </c>
      <c r="J50" s="10">
        <f>+AVERAGE($I$2:I50)</f>
        <v>59.311101591107786</v>
      </c>
      <c r="K50" s="43">
        <f>+SUM($E$2:E50)/H50</f>
        <v>7.7194330677607006</v>
      </c>
    </row>
    <row r="51" spans="1:11" x14ac:dyDescent="0.3">
      <c r="A51" s="8">
        <f t="shared" si="4"/>
        <v>50</v>
      </c>
      <c r="B51" s="9">
        <f>+data!B51</f>
        <v>42569.761719000002</v>
      </c>
      <c r="C51" s="9"/>
      <c r="D51" s="9">
        <f t="shared" si="0"/>
        <v>46204.438108313509</v>
      </c>
      <c r="E51" s="11">
        <f t="shared" si="1"/>
        <v>3634.6763893135067</v>
      </c>
      <c r="F51" s="9">
        <f t="shared" si="2"/>
        <v>3634.6763893135067</v>
      </c>
      <c r="G51" s="9">
        <f>+SUMSQ($E$2:E51)/(A51)</f>
        <v>220356180.05605701</v>
      </c>
      <c r="H51" s="9">
        <f>+SUM($F$2:F51)/(A51)</f>
        <v>13105.565125694424</v>
      </c>
      <c r="I51" s="10">
        <f t="shared" si="5"/>
        <v>8.5381647501476508</v>
      </c>
      <c r="J51" s="10">
        <f>+AVERAGE($I$2:I51)</f>
        <v>58.29564285428858</v>
      </c>
      <c r="K51" s="43">
        <f>+SUM($E$2:E51)/H51</f>
        <v>8.1106191742824016</v>
      </c>
    </row>
    <row r="52" spans="1:11" x14ac:dyDescent="0.3">
      <c r="A52" s="5">
        <f t="shared" si="4"/>
        <v>51</v>
      </c>
      <c r="B52" s="6">
        <f>+data!B52</f>
        <v>61168.0625</v>
      </c>
      <c r="C52" s="6"/>
      <c r="D52" s="22">
        <f t="shared" si="0"/>
        <v>46816.7446755114</v>
      </c>
      <c r="E52" s="23">
        <f t="shared" si="1"/>
        <v>-14351.3178244886</v>
      </c>
      <c r="F52" s="22">
        <f t="shared" si="2"/>
        <v>14351.3178244886</v>
      </c>
      <c r="G52" s="22">
        <f>+SUMSQ($E$2:E52)/(A52)</f>
        <v>220073908.35494775</v>
      </c>
      <c r="H52" s="22">
        <f>+SUM($F$2:F52)/(A52)</f>
        <v>13129.991649200192</v>
      </c>
      <c r="I52" s="10">
        <f t="shared" si="5"/>
        <v>23.462109535492644</v>
      </c>
      <c r="J52" s="10">
        <f>+AVERAGE($I$2:I52)</f>
        <v>57.61263239705729</v>
      </c>
      <c r="K52" s="43">
        <f>+SUM($E$2:E52)/H52</f>
        <v>7.002512448618047</v>
      </c>
    </row>
    <row r="53" spans="1:11" x14ac:dyDescent="0.3">
      <c r="A53" s="8">
        <f t="shared" si="4"/>
        <v>52</v>
      </c>
      <c r="B53" s="9">
        <f>+data!B53</f>
        <v>71333.484375</v>
      </c>
      <c r="C53" s="9"/>
      <c r="D53" s="9">
        <f t="shared" si="0"/>
        <v>47429.051242709291</v>
      </c>
      <c r="E53" s="11">
        <f t="shared" si="1"/>
        <v>-23904.433132290709</v>
      </c>
      <c r="F53" s="9">
        <f t="shared" si="2"/>
        <v>23904.433132290709</v>
      </c>
      <c r="G53" s="9">
        <f>+SUMSQ($E$2:E53)/(A53)</f>
        <v>226830600.95150948</v>
      </c>
      <c r="H53" s="9">
        <f>+SUM($F$2:F53)/(A53)</f>
        <v>13337.192446951933</v>
      </c>
      <c r="I53" s="10">
        <f t="shared" si="5"/>
        <v>33.51081661260951</v>
      </c>
      <c r="J53" s="10">
        <f>+AVERAGE($I$2:I53)</f>
        <v>57.14913593966407</v>
      </c>
      <c r="K53" s="43">
        <f>+SUM($E$2:E53)/H53</f>
        <v>5.1014107438356771</v>
      </c>
    </row>
    <row r="54" spans="1:11" x14ac:dyDescent="0.3">
      <c r="A54" s="5">
        <f t="shared" si="4"/>
        <v>53</v>
      </c>
      <c r="B54" s="6">
        <f>+data!B54</f>
        <v>60609.496094000002</v>
      </c>
      <c r="C54" s="6"/>
      <c r="D54" s="22">
        <f t="shared" si="0"/>
        <v>48041.357809907175</v>
      </c>
      <c r="E54" s="23">
        <f t="shared" si="1"/>
        <v>-12568.138284092827</v>
      </c>
      <c r="F54" s="22">
        <f t="shared" si="2"/>
        <v>12568.138284092827</v>
      </c>
      <c r="G54" s="22">
        <f>+SUMSQ($E$2:E54)/(A54)</f>
        <v>225531119.80012402</v>
      </c>
      <c r="H54" s="22">
        <f>+SUM($F$2:F54)/(A54)</f>
        <v>13322.68199104893</v>
      </c>
      <c r="I54" s="10">
        <f t="shared" si="5"/>
        <v>20.736252722841893</v>
      </c>
      <c r="J54" s="10">
        <f>+AVERAGE($I$2:I54)</f>
        <v>56.462100407271201</v>
      </c>
      <c r="K54" s="43">
        <f>+SUM($E$2:E54)/H54</f>
        <v>4.1636029888471793</v>
      </c>
    </row>
    <row r="55" spans="1:11" x14ac:dyDescent="0.3">
      <c r="A55" s="8">
        <f t="shared" si="4"/>
        <v>54</v>
      </c>
      <c r="B55" s="9">
        <f>+data!B55</f>
        <v>67489.609375</v>
      </c>
      <c r="C55" s="9"/>
      <c r="D55" s="9">
        <f t="shared" si="0"/>
        <v>48653.664377105059</v>
      </c>
      <c r="E55" s="11">
        <f t="shared" si="1"/>
        <v>-18835.944997894941</v>
      </c>
      <c r="F55" s="9">
        <f t="shared" si="2"/>
        <v>18835.944997894941</v>
      </c>
      <c r="G55" s="9">
        <f>+SUMSQ($E$2:E55)/(A55)</f>
        <v>227924855.06241289</v>
      </c>
      <c r="H55" s="9">
        <f>+SUM($F$2:F55)/(A55)</f>
        <v>13424.77945413867</v>
      </c>
      <c r="I55" s="10">
        <f t="shared" si="5"/>
        <v>27.909399939233154</v>
      </c>
      <c r="J55" s="10">
        <f>+AVERAGE($I$2:I55)</f>
        <v>55.933346694900123</v>
      </c>
      <c r="K55" s="43">
        <f>+SUM($E$2:E55)/H55</f>
        <v>2.7288652066610299</v>
      </c>
    </row>
    <row r="56" spans="1:11" x14ac:dyDescent="0.3">
      <c r="A56" s="5">
        <f t="shared" si="4"/>
        <v>55</v>
      </c>
      <c r="B56" s="6">
        <f>+data!B56</f>
        <v>62673.605469000002</v>
      </c>
      <c r="C56" s="6"/>
      <c r="D56" s="22">
        <f t="shared" si="0"/>
        <v>49265.970944302942</v>
      </c>
      <c r="E56" s="23">
        <f t="shared" si="1"/>
        <v>-13407.63452469706</v>
      </c>
      <c r="F56" s="22">
        <f t="shared" si="2"/>
        <v>13407.63452469706</v>
      </c>
      <c r="G56" s="22">
        <f>+SUMSQ($E$2:E56)/(A56)</f>
        <v>227049215.21669352</v>
      </c>
      <c r="H56" s="22">
        <f>+SUM($F$2:F56)/(A56)</f>
        <v>13424.467728148824</v>
      </c>
      <c r="I56" s="10">
        <f t="shared" si="5"/>
        <v>21.39279274642788</v>
      </c>
      <c r="J56" s="10">
        <f>+AVERAGE($I$2:I56)</f>
        <v>55.305336623109717</v>
      </c>
      <c r="K56" s="43">
        <f>+SUM($E$2:E56)/H56</f>
        <v>1.7301824925316931</v>
      </c>
    </row>
    <row r="57" spans="1:11" x14ac:dyDescent="0.3">
      <c r="A57" s="8">
        <f t="shared" si="4"/>
        <v>56</v>
      </c>
      <c r="B57" s="9">
        <f>+data!B57</f>
        <v>64625.839844000002</v>
      </c>
      <c r="C57" s="9"/>
      <c r="D57" s="9">
        <f t="shared" si="0"/>
        <v>49878.277511500826</v>
      </c>
      <c r="E57" s="11">
        <f t="shared" si="1"/>
        <v>-14747.562332499176</v>
      </c>
      <c r="F57" s="9">
        <f t="shared" si="2"/>
        <v>14747.562332499176</v>
      </c>
      <c r="G57" s="9">
        <f>+SUMSQ($E$2:E57)/(A57)</f>
        <v>226878525.56551951</v>
      </c>
      <c r="H57" s="9">
        <f>+SUM($F$2:F57)/(A57)</f>
        <v>13448.094417512224</v>
      </c>
      <c r="I57" s="10">
        <f t="shared" si="5"/>
        <v>22.819915947085939</v>
      </c>
      <c r="J57" s="10">
        <f>+AVERAGE($I$2:I57)</f>
        <v>54.725239825323577</v>
      </c>
      <c r="K57" s="43">
        <f>+SUM($E$2:E57)/H57</f>
        <v>0.6305143642699983</v>
      </c>
    </row>
    <row r="58" spans="1:11" x14ac:dyDescent="0.3">
      <c r="A58" s="5">
        <f t="shared" si="4"/>
        <v>57</v>
      </c>
      <c r="B58" s="6">
        <f>+data!B58</f>
        <v>58969.800780999998</v>
      </c>
      <c r="C58" s="6"/>
      <c r="D58" s="22">
        <f t="shared" si="0"/>
        <v>50490.584078698725</v>
      </c>
      <c r="E58" s="23">
        <f t="shared" si="1"/>
        <v>-8479.2167023012735</v>
      </c>
      <c r="F58" s="22">
        <f t="shared" si="2"/>
        <v>8479.2167023012735</v>
      </c>
      <c r="G58" s="22">
        <f>+SUMSQ($E$2:E58)/(A58)</f>
        <v>224159553.46585399</v>
      </c>
      <c r="H58" s="22">
        <f>+SUM($F$2:F58)/(A58)</f>
        <v>13360.921124262908</v>
      </c>
      <c r="I58" s="10">
        <f t="shared" si="5"/>
        <v>14.378913596454387</v>
      </c>
      <c r="J58" s="10">
        <f>+AVERAGE($I$2:I58)</f>
        <v>54.017409540606572</v>
      </c>
      <c r="K58" s="43">
        <f>+SUM($E$2:E58)/H58</f>
        <v>-4.7922165252918854E-14</v>
      </c>
    </row>
    <row r="59" spans="1:11" x14ac:dyDescent="0.3">
      <c r="A59" s="8">
        <v>58</v>
      </c>
      <c r="B59" s="9"/>
      <c r="C59" s="9"/>
      <c r="D59" s="9">
        <f t="shared" si="0"/>
        <v>51102.890645896608</v>
      </c>
      <c r="E59" s="11"/>
      <c r="F59" s="9"/>
      <c r="G59" s="9"/>
      <c r="H59" s="9"/>
      <c r="I59" s="10"/>
      <c r="J59" s="10"/>
      <c r="K59" s="43"/>
    </row>
    <row r="61" spans="1:11" x14ac:dyDescent="0.3">
      <c r="H61" s="4">
        <f>+H58*1.25</f>
        <v>16701.151405328634</v>
      </c>
    </row>
  </sheetData>
  <conditionalFormatting sqref="K2:K59">
    <cfRule type="dataBar" priority="1">
      <dataBar>
        <cfvo type="min"/>
        <cfvo type="max"/>
        <color rgb="FF008AEF"/>
      </dataBar>
      <extLst>
        <ext xmlns:x14="http://schemas.microsoft.com/office/spreadsheetml/2009/9/main" uri="{B025F937-C7B1-47D3-B67F-A62EFF666E3E}">
          <x14:id>{BD3DDFDF-C373-4CD4-A71B-7054C5FAB8FE}</x14:id>
        </ext>
      </extLst>
    </cfRule>
  </conditionalFormatting>
  <conditionalFormatting sqref="K5:K58">
    <cfRule type="dataBar" priority="2">
      <dataBar>
        <cfvo type="min"/>
        <cfvo type="max"/>
        <color rgb="FF008AEF"/>
      </dataBar>
      <extLst>
        <ext xmlns:x14="http://schemas.microsoft.com/office/spreadsheetml/2009/9/main" uri="{B025F937-C7B1-47D3-B67F-A62EFF666E3E}">
          <x14:id>{C4260F8C-BBF6-4C74-B7AE-178224300C50}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D3DDFDF-C373-4CD4-A71B-7054C5FAB8FE}">
            <x14:dataBar minLength="0" maxLength="100" border="1" negativeBarBorderColorSameAsPositive="0">
              <x14:cfvo type="autoMin"/>
              <x14:cfvo type="autoMax"/>
              <x14:borderColor rgb="FF008AEF"/>
              <x14:negativeFillColor rgb="FFFF0000"/>
              <x14:negativeBorderColor rgb="FFFF0000"/>
              <x14:axisColor rgb="FF000000"/>
            </x14:dataBar>
          </x14:cfRule>
          <xm:sqref>K2:K59</xm:sqref>
        </x14:conditionalFormatting>
        <x14:conditionalFormatting xmlns:xm="http://schemas.microsoft.com/office/excel/2006/main">
          <x14:cfRule type="dataBar" id="{C4260F8C-BBF6-4C74-B7AE-178224300C50}">
            <x14:dataBar minLength="0" maxLength="100" border="1" negativeBarBorderColorSameAsPositive="0">
              <x14:cfvo type="autoMin"/>
              <x14:cfvo type="autoMax"/>
              <x14:borderColor rgb="FF008AEF"/>
              <x14:negativeFillColor rgb="FFFF0000"/>
              <x14:negativeBorderColor rgb="FFFF0000"/>
              <x14:axisColor rgb="FF000000"/>
            </x14:dataBar>
          </x14:cfRule>
          <xm:sqref>K5:K58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8E2F-D71A-4F4B-8BE4-B80FC4F417D9}">
  <sheetPr>
    <tabColor theme="9" tint="-0.499984740745262"/>
  </sheetPr>
  <dimension ref="A1:O59"/>
  <sheetViews>
    <sheetView zoomScale="70" zoomScaleNormal="70" workbookViewId="0">
      <pane ySplit="1" topLeftCell="A2" activePane="bottomLeft" state="frozen"/>
      <selection pane="bottomLeft" activeCell="B2" sqref="B2"/>
    </sheetView>
  </sheetViews>
  <sheetFormatPr baseColWidth="10" defaultColWidth="9.109375" defaultRowHeight="14.4" x14ac:dyDescent="0.3"/>
  <cols>
    <col min="1" max="1" width="9.109375" style="4"/>
    <col min="2" max="2" width="16" style="4" bestFit="1" customWidth="1"/>
    <col min="3" max="3" width="15.88671875" style="4" customWidth="1"/>
    <col min="4" max="5" width="16.5546875" style="4" bestFit="1" customWidth="1"/>
    <col min="6" max="6" width="14.88671875" style="4" bestFit="1" customWidth="1"/>
    <col min="7" max="7" width="25.44140625" style="4" customWidth="1"/>
    <col min="8" max="8" width="16.109375" style="4" bestFit="1" customWidth="1"/>
    <col min="9" max="9" width="9.44140625" style="4" bestFit="1" customWidth="1"/>
    <col min="10" max="10" width="9.21875" style="4" bestFit="1" customWidth="1"/>
    <col min="11" max="11" width="11.44140625" style="4" customWidth="1"/>
    <col min="12" max="13" width="9.109375" style="4"/>
    <col min="14" max="14" width="14.88671875" style="4" bestFit="1" customWidth="1"/>
    <col min="15" max="15" width="16.21875" style="4" customWidth="1"/>
    <col min="16" max="16" width="14.88671875" style="4" bestFit="1" customWidth="1"/>
    <col min="17" max="17" width="17.5546875" style="4" bestFit="1" customWidth="1"/>
    <col min="18" max="18" width="29.44140625" style="4" bestFit="1" customWidth="1"/>
    <col min="19" max="21" width="9.109375" style="4"/>
    <col min="22" max="22" width="14.88671875" style="4" bestFit="1" customWidth="1"/>
    <col min="23" max="16384" width="9.109375" style="4"/>
  </cols>
  <sheetData>
    <row r="1" spans="1:15" x14ac:dyDescent="0.3">
      <c r="A1" s="3" t="s">
        <v>7</v>
      </c>
      <c r="B1" s="3" t="s">
        <v>8</v>
      </c>
      <c r="C1" s="3" t="s">
        <v>9</v>
      </c>
      <c r="D1" s="3" t="s">
        <v>10</v>
      </c>
      <c r="E1" s="3" t="s">
        <v>11</v>
      </c>
      <c r="F1" s="3" t="s">
        <v>12</v>
      </c>
      <c r="G1" s="3" t="s">
        <v>13</v>
      </c>
      <c r="H1" s="3" t="s">
        <v>14</v>
      </c>
      <c r="I1" s="3" t="s">
        <v>15</v>
      </c>
      <c r="J1" s="3" t="s">
        <v>16</v>
      </c>
      <c r="K1" s="3" t="s">
        <v>17</v>
      </c>
    </row>
    <row r="2" spans="1:15" x14ac:dyDescent="0.3">
      <c r="A2" s="5">
        <v>1</v>
      </c>
      <c r="B2" s="6">
        <f>+data!B2</f>
        <v>7194.8920900000003</v>
      </c>
      <c r="C2" s="6"/>
      <c r="D2" s="22">
        <f>+$O$4*(A2^3)+$O$5*(A2^2)+($O$6*A2)+$O$7</f>
        <v>-10141.8323</v>
      </c>
      <c r="E2" s="23">
        <f t="shared" ref="E2:E58" si="0">+D2-B2</f>
        <v>-17336.724389999999</v>
      </c>
      <c r="F2" s="22">
        <f>+ABS(E2)</f>
        <v>17336.724389999999</v>
      </c>
      <c r="G2" s="22">
        <f>+SUMSQ($E2:E$2)/(A2)</f>
        <v>300562012.57482088</v>
      </c>
      <c r="H2" s="22">
        <f>+SUM($F2:F$2)/(A2)</f>
        <v>17336.724389999999</v>
      </c>
      <c r="I2" s="10">
        <f>+(F2/B2)*100</f>
        <v>240.95878260767631</v>
      </c>
      <c r="J2" s="10">
        <f>+AVERAGE($I2:I$2)</f>
        <v>240.95878260767631</v>
      </c>
      <c r="K2" s="43">
        <f>+SUM($E2:E$2)/H2</f>
        <v>-1</v>
      </c>
    </row>
    <row r="3" spans="1:15" x14ac:dyDescent="0.3">
      <c r="A3" s="8">
        <f>+A2+1</f>
        <v>2</v>
      </c>
      <c r="B3" s="9">
        <f>+data!B3</f>
        <v>9346.3574219999991</v>
      </c>
      <c r="C3" s="9"/>
      <c r="D3" s="9">
        <f t="shared" ref="D3:D59" si="1">+$O$4*(A3^3)+$O$5*(A3^2)+($O$6*A3)+$O$7</f>
        <v>-3929.0583999999999</v>
      </c>
      <c r="E3" s="11">
        <f t="shared" si="0"/>
        <v>-13275.415821999999</v>
      </c>
      <c r="F3" s="9">
        <f t="shared" ref="F3:F58" si="2">+ABS(E3)</f>
        <v>13275.415821999999</v>
      </c>
      <c r="G3" s="9">
        <f>+SUMSQ($E$2:E3)/(A3)</f>
        <v>238399338.91091439</v>
      </c>
      <c r="H3" s="9">
        <f>+SUM($F$2:F3)/(A3)</f>
        <v>15306.070105999999</v>
      </c>
      <c r="I3" s="10">
        <f t="shared" ref="I3:I4" si="3">+(F3/B3)*100</f>
        <v>142.03839231261961</v>
      </c>
      <c r="J3" s="10">
        <f>+AVERAGE($I$2:I3)</f>
        <v>191.49858746014797</v>
      </c>
      <c r="K3" s="43">
        <f>+SUM($E$2:E3)/H3</f>
        <v>-2</v>
      </c>
    </row>
    <row r="4" spans="1:15" x14ac:dyDescent="0.3">
      <c r="A4" s="5">
        <f t="shared" ref="A4:A58" si="4">+A3+1</f>
        <v>3</v>
      </c>
      <c r="B4" s="6">
        <f>+data!B4</f>
        <v>8599.7587889999995</v>
      </c>
      <c r="C4" s="6"/>
      <c r="D4" s="22">
        <f t="shared" si="1"/>
        <v>1777.027900000001</v>
      </c>
      <c r="E4" s="23">
        <f t="shared" si="0"/>
        <v>-6822.7308889999986</v>
      </c>
      <c r="F4" s="22">
        <f t="shared" si="2"/>
        <v>6822.7308889999986</v>
      </c>
      <c r="G4" s="22">
        <f>+SUMSQ($E$2:E4)/(A4)</f>
        <v>174449444.86851451</v>
      </c>
      <c r="H4" s="22">
        <f>+SUM($F$2:F4)/(A4)</f>
        <v>12478.290367</v>
      </c>
      <c r="I4" s="10">
        <f t="shared" si="3"/>
        <v>79.336305312737281</v>
      </c>
      <c r="J4" s="10">
        <f>+AVERAGE($I$2:I4)</f>
        <v>154.11116007767774</v>
      </c>
      <c r="K4" s="43">
        <f>+SUM($E$2:E4)/H4</f>
        <v>-3</v>
      </c>
      <c r="N4" s="4" t="s">
        <v>28</v>
      </c>
      <c r="O4" s="4">
        <v>3.1177000000000001</v>
      </c>
    </row>
    <row r="5" spans="1:15" x14ac:dyDescent="0.3">
      <c r="A5" s="8">
        <f t="shared" si="4"/>
        <v>4</v>
      </c>
      <c r="B5" s="9">
        <f>+data!B5</f>
        <v>6437.3193359999996</v>
      </c>
      <c r="C5" s="9"/>
      <c r="D5" s="9">
        <f t="shared" si="1"/>
        <v>6995.1327999999994</v>
      </c>
      <c r="E5" s="11">
        <f t="shared" si="0"/>
        <v>557.81346399999984</v>
      </c>
      <c r="F5" s="9">
        <f t="shared" si="2"/>
        <v>557.81346399999984</v>
      </c>
      <c r="G5" s="9">
        <f>+SUMSQ($E$2:E5)/(A5)</f>
        <v>130914872.61654079</v>
      </c>
      <c r="H5" s="9">
        <f>+SUM($F$2:F5)/(A5)</f>
        <v>9498.171141249999</v>
      </c>
      <c r="I5" s="10">
        <f>+(F5/B5)*100</f>
        <v>8.665306704306083</v>
      </c>
      <c r="J5" s="10">
        <f>+AVERAGE($I$2:I5)</f>
        <v>117.74969673433483</v>
      </c>
      <c r="K5" s="43">
        <f>+SUM($E$2:E5)/H5</f>
        <v>-3.8825429747043727</v>
      </c>
      <c r="N5" s="4" t="s">
        <v>29</v>
      </c>
      <c r="O5" s="4">
        <v>-272.05</v>
      </c>
    </row>
    <row r="6" spans="1:15" x14ac:dyDescent="0.3">
      <c r="A6" s="5">
        <f t="shared" si="4"/>
        <v>5</v>
      </c>
      <c r="B6" s="6">
        <f>+data!B6</f>
        <v>8672.7822269999997</v>
      </c>
      <c r="C6" s="6"/>
      <c r="D6" s="22">
        <f t="shared" si="1"/>
        <v>11743.962500000001</v>
      </c>
      <c r="E6" s="23">
        <f t="shared" si="0"/>
        <v>3071.1802730000018</v>
      </c>
      <c r="F6" s="22">
        <f t="shared" si="2"/>
        <v>3071.1802730000018</v>
      </c>
      <c r="G6" s="22">
        <f>+SUMSQ($E$2:E6)/(A6)</f>
        <v>106618327.7470855</v>
      </c>
      <c r="H6" s="22">
        <f>+SUM($F$2:F6)/(A6)</f>
        <v>8212.7729675999981</v>
      </c>
      <c r="I6" s="24">
        <f t="shared" ref="I6:I58" si="5">+(F6/B6)*100</f>
        <v>35.41170748458137</v>
      </c>
      <c r="J6" s="10">
        <f>+AVERAGE($I$2:I6)</f>
        <v>101.28209888438414</v>
      </c>
      <c r="K6" s="43">
        <f>+SUM($E$2:E6)/H6</f>
        <v>-4.1162561655322394</v>
      </c>
      <c r="N6" s="4" t="s">
        <v>30</v>
      </c>
      <c r="O6" s="4">
        <v>7007.1</v>
      </c>
    </row>
    <row r="7" spans="1:15" x14ac:dyDescent="0.3">
      <c r="A7" s="8">
        <f t="shared" si="4"/>
        <v>6</v>
      </c>
      <c r="B7" s="9">
        <f>+data!B7</f>
        <v>9463.6054690000001</v>
      </c>
      <c r="C7" s="9"/>
      <c r="D7" s="9">
        <f t="shared" si="1"/>
        <v>16042.223200000008</v>
      </c>
      <c r="E7" s="11">
        <f t="shared" si="0"/>
        <v>6578.6177310000076</v>
      </c>
      <c r="F7" s="9">
        <f t="shared" si="2"/>
        <v>6578.6177310000076</v>
      </c>
      <c r="G7" s="9">
        <f>+SUMSQ($E$2:E7)/(A7)</f>
        <v>96061641.664342523</v>
      </c>
      <c r="H7" s="9">
        <f>+SUM($F$2:F7)/(A7)</f>
        <v>7940.4137615</v>
      </c>
      <c r="I7" s="10">
        <f t="shared" si="5"/>
        <v>69.514919578480232</v>
      </c>
      <c r="J7" s="10">
        <f>+AVERAGE($I$2:I7)</f>
        <v>95.987569000066813</v>
      </c>
      <c r="K7" s="43">
        <f>+SUM($E$2:E7)/H7</f>
        <v>-3.4289472124254359</v>
      </c>
      <c r="N7" s="4" t="s">
        <v>31</v>
      </c>
      <c r="O7" s="4">
        <v>-16880</v>
      </c>
    </row>
    <row r="8" spans="1:15" x14ac:dyDescent="0.3">
      <c r="A8" s="5">
        <f t="shared" si="4"/>
        <v>7</v>
      </c>
      <c r="B8" s="6">
        <f>+data!B8</f>
        <v>9145.9853519999997</v>
      </c>
      <c r="C8" s="6"/>
      <c r="D8" s="22">
        <f t="shared" si="1"/>
        <v>19908.621100000004</v>
      </c>
      <c r="E8" s="23">
        <f t="shared" si="0"/>
        <v>10762.635748000004</v>
      </c>
      <c r="F8" s="22">
        <f t="shared" si="2"/>
        <v>10762.635748000004</v>
      </c>
      <c r="G8" s="22">
        <f>+SUMSQ($E$2:E8)/(A8)</f>
        <v>98886311.175740391</v>
      </c>
      <c r="H8" s="22">
        <f>+SUM($F$2:F8)/(A8)</f>
        <v>8343.5883310000008</v>
      </c>
      <c r="I8" s="24">
        <f t="shared" si="5"/>
        <v>117.67606587787158</v>
      </c>
      <c r="J8" s="10">
        <f>+AVERAGE($I$2:I8)</f>
        <v>99.085925696896069</v>
      </c>
      <c r="K8" s="43">
        <f>+SUM($E$2:E8)/H8</f>
        <v>-1.973326491172493</v>
      </c>
    </row>
    <row r="9" spans="1:15" x14ac:dyDescent="0.3">
      <c r="A9" s="8">
        <f t="shared" si="4"/>
        <v>8</v>
      </c>
      <c r="B9" s="9">
        <f>+data!B9</f>
        <v>11322.570313</v>
      </c>
      <c r="C9" s="9"/>
      <c r="D9" s="9">
        <f t="shared" si="1"/>
        <v>23361.862399999998</v>
      </c>
      <c r="E9" s="11">
        <f t="shared" si="0"/>
        <v>12039.292086999998</v>
      </c>
      <c r="F9" s="9">
        <f t="shared" si="2"/>
        <v>12039.292086999998</v>
      </c>
      <c r="G9" s="9">
        <f>+SUMSQ($E$2:E9)/(A9)</f>
        <v>104643591.52328545</v>
      </c>
      <c r="H9" s="9">
        <f>+SUM($F$2:F9)/(A9)</f>
        <v>8805.5513004999993</v>
      </c>
      <c r="I9" s="10">
        <f t="shared" si="5"/>
        <v>106.33002714213305</v>
      </c>
      <c r="J9" s="10">
        <f>+AVERAGE($I$2:I9)</f>
        <v>99.991438377550693</v>
      </c>
      <c r="K9" s="43">
        <f>+SUM($E$2:E9)/H9</f>
        <v>-0.50256158268576678</v>
      </c>
    </row>
    <row r="10" spans="1:15" x14ac:dyDescent="0.3">
      <c r="A10" s="5">
        <f t="shared" si="4"/>
        <v>9</v>
      </c>
      <c r="B10" s="6">
        <f>+data!B10</f>
        <v>11679.316406</v>
      </c>
      <c r="C10" s="6"/>
      <c r="D10" s="22">
        <f t="shared" si="1"/>
        <v>26420.653300000005</v>
      </c>
      <c r="E10" s="23">
        <f t="shared" si="0"/>
        <v>14741.336894000005</v>
      </c>
      <c r="F10" s="22">
        <f t="shared" si="2"/>
        <v>14741.336894000005</v>
      </c>
      <c r="G10" s="22">
        <f>+SUMSQ($E$2:E10)/(A10)</f>
        <v>117161749.51207659</v>
      </c>
      <c r="H10" s="22">
        <f>+SUM($F$2:F10)/(A10)</f>
        <v>9465.0830331111119</v>
      </c>
      <c r="I10" s="24">
        <f t="shared" si="5"/>
        <v>126.21746326203611</v>
      </c>
      <c r="J10" s="10">
        <f>+AVERAGE($I$2:I10)</f>
        <v>102.90544114249352</v>
      </c>
      <c r="K10" s="43">
        <f>+SUM($E$2:E10)/H10</f>
        <v>1.0899011725425096</v>
      </c>
    </row>
    <row r="11" spans="1:15" x14ac:dyDescent="0.3">
      <c r="A11" s="8">
        <f t="shared" si="4"/>
        <v>10</v>
      </c>
      <c r="B11" s="9">
        <f>+data!B11</f>
        <v>10795.254883</v>
      </c>
      <c r="C11" s="9"/>
      <c r="D11" s="9">
        <f t="shared" si="1"/>
        <v>29103.699999999997</v>
      </c>
      <c r="E11" s="11">
        <f t="shared" si="0"/>
        <v>18308.445116999996</v>
      </c>
      <c r="F11" s="9">
        <f t="shared" si="2"/>
        <v>18308.445116999996</v>
      </c>
      <c r="G11" s="9">
        <f>+SUMSQ($E$2:E11)/(A11)</f>
        <v>138965490.82108903</v>
      </c>
      <c r="H11" s="9">
        <f>+SUM($F$2:F11)/(A11)</f>
        <v>10349.4192415</v>
      </c>
      <c r="I11" s="10">
        <f t="shared" si="5"/>
        <v>169.59715463348172</v>
      </c>
      <c r="J11" s="10">
        <f>+AVERAGE($I$2:I11)</f>
        <v>109.57461249159232</v>
      </c>
      <c r="K11" s="43">
        <f>+SUM($E$2:E11)/H11</f>
        <v>2.7658025581009613</v>
      </c>
    </row>
    <row r="12" spans="1:15" x14ac:dyDescent="0.3">
      <c r="A12" s="5">
        <f t="shared" si="4"/>
        <v>11</v>
      </c>
      <c r="B12" s="6">
        <f>+data!B12</f>
        <v>13780.995117</v>
      </c>
      <c r="C12" s="6"/>
      <c r="D12" s="22">
        <f t="shared" si="1"/>
        <v>31429.708700000003</v>
      </c>
      <c r="E12" s="23">
        <f t="shared" si="0"/>
        <v>17648.713583000004</v>
      </c>
      <c r="F12" s="22">
        <f t="shared" si="2"/>
        <v>17648.713583000004</v>
      </c>
      <c r="G12" s="22">
        <f>+SUMSQ($E$2:E12)/(A12)</f>
        <v>154648363.5768781</v>
      </c>
      <c r="H12" s="22">
        <f>+SUM($F$2:F12)/(A12)</f>
        <v>11012.991454363637</v>
      </c>
      <c r="I12" s="24">
        <f t="shared" si="5"/>
        <v>128.06559637503139</v>
      </c>
      <c r="J12" s="10">
        <f>+AVERAGE($I$2:I12)</f>
        <v>111.25561102645042</v>
      </c>
      <c r="K12" s="43">
        <f>+SUM($E$2:E12)/H12</f>
        <v>4.2016888860533319</v>
      </c>
    </row>
    <row r="13" spans="1:15" x14ac:dyDescent="0.3">
      <c r="A13" s="8">
        <f t="shared" si="4"/>
        <v>12</v>
      </c>
      <c r="B13" s="9">
        <f>+data!B13</f>
        <v>19633.769531000002</v>
      </c>
      <c r="C13" s="9"/>
      <c r="D13" s="9">
        <f t="shared" si="1"/>
        <v>33417.385600000009</v>
      </c>
      <c r="E13" s="11">
        <f t="shared" si="0"/>
        <v>13783.616069000007</v>
      </c>
      <c r="F13" s="9">
        <f t="shared" si="2"/>
        <v>13783.616069000007</v>
      </c>
      <c r="G13" s="9">
        <f>+SUMSQ($E$2:E13)/(A13)</f>
        <v>157593339.27360454</v>
      </c>
      <c r="H13" s="9">
        <f>+SUM($F$2:F13)/(A13)</f>
        <v>11243.876838916667</v>
      </c>
      <c r="I13" s="10">
        <f t="shared" si="5"/>
        <v>70.203615496437834</v>
      </c>
      <c r="J13" s="10">
        <f>+AVERAGE($I$2:I13)</f>
        <v>107.83461139894938</v>
      </c>
      <c r="K13" s="43">
        <f>+SUM($E$2:E13)/H13</f>
        <v>5.3412875937181123</v>
      </c>
    </row>
    <row r="14" spans="1:15" x14ac:dyDescent="0.3">
      <c r="A14" s="5">
        <f t="shared" si="4"/>
        <v>13</v>
      </c>
      <c r="B14" s="6">
        <f>+data!B14</f>
        <v>28994.009765999999</v>
      </c>
      <c r="C14" s="6"/>
      <c r="D14" s="22">
        <f t="shared" si="1"/>
        <v>35085.436900000001</v>
      </c>
      <c r="E14" s="23">
        <f t="shared" si="0"/>
        <v>6091.4271340000014</v>
      </c>
      <c r="F14" s="22">
        <f t="shared" si="2"/>
        <v>6091.4271340000014</v>
      </c>
      <c r="G14" s="22">
        <f>+SUMSQ($E$2:E14)/(A14)</f>
        <v>148325042.75477582</v>
      </c>
      <c r="H14" s="22">
        <f>+SUM($F$2:F14)/(A14)</f>
        <v>10847.534553923078</v>
      </c>
      <c r="I14" s="24">
        <f t="shared" si="5"/>
        <v>21.00926082029244</v>
      </c>
      <c r="J14" s="10">
        <f>+AVERAGE($I$2:I14)</f>
        <v>101.15573827751422</v>
      </c>
      <c r="K14" s="43">
        <f>+SUM($E$2:E14)/H14</f>
        <v>6.0979945876343953</v>
      </c>
    </row>
    <row r="15" spans="1:15" x14ac:dyDescent="0.3">
      <c r="A15" s="8">
        <f t="shared" si="4"/>
        <v>14</v>
      </c>
      <c r="B15" s="9">
        <f>+data!B15</f>
        <v>33114.578125</v>
      </c>
      <c r="C15" s="9"/>
      <c r="D15" s="9">
        <f t="shared" si="1"/>
        <v>36452.568800000008</v>
      </c>
      <c r="E15" s="11">
        <f t="shared" si="0"/>
        <v>3337.9906750000082</v>
      </c>
      <c r="F15" s="9">
        <f t="shared" si="2"/>
        <v>3337.9906750000082</v>
      </c>
      <c r="G15" s="9">
        <f>+SUMSQ($E$2:E15)/(A15)</f>
        <v>138526266.96846235</v>
      </c>
      <c r="H15" s="9">
        <f>+SUM($F$2:F15)/(A15)</f>
        <v>10311.13856257143</v>
      </c>
      <c r="I15" s="10">
        <f t="shared" si="5"/>
        <v>10.080124416502764</v>
      </c>
      <c r="J15" s="10">
        <f>+AVERAGE($I$2:I15)</f>
        <v>94.650337287441971</v>
      </c>
      <c r="K15" s="43">
        <f>+SUM($E$2:E15)/H15</f>
        <v>6.7389451952696193</v>
      </c>
    </row>
    <row r="16" spans="1:15" x14ac:dyDescent="0.3">
      <c r="A16" s="5">
        <f t="shared" si="4"/>
        <v>15</v>
      </c>
      <c r="B16" s="6">
        <f>+data!B16</f>
        <v>45159.503905999998</v>
      </c>
      <c r="C16" s="6"/>
      <c r="D16" s="22">
        <f t="shared" si="1"/>
        <v>37537.487500000003</v>
      </c>
      <c r="E16" s="23">
        <f t="shared" si="0"/>
        <v>-7622.0164059999952</v>
      </c>
      <c r="F16" s="22">
        <f t="shared" si="2"/>
        <v>7622.0164059999952</v>
      </c>
      <c r="G16" s="22">
        <f>+SUMSQ($E$2:E16)/(A16)</f>
        <v>133164191.44345373</v>
      </c>
      <c r="H16" s="22">
        <f>+SUM($F$2:F16)/(A16)</f>
        <v>10131.863752133333</v>
      </c>
      <c r="I16" s="24">
        <f t="shared" si="5"/>
        <v>16.877989673813303</v>
      </c>
      <c r="J16" s="10">
        <f>+AVERAGE($I$2:I16)</f>
        <v>89.465514113200058</v>
      </c>
      <c r="K16" s="43">
        <f>+SUM($E$2:E16)/H16</f>
        <v>6.1059033936351641</v>
      </c>
    </row>
    <row r="17" spans="1:11" x14ac:dyDescent="0.3">
      <c r="A17" s="8">
        <f t="shared" si="4"/>
        <v>16</v>
      </c>
      <c r="B17" s="9">
        <f>+data!B17</f>
        <v>58926.5625</v>
      </c>
      <c r="C17" s="9"/>
      <c r="D17" s="9">
        <f t="shared" si="1"/>
        <v>38358.8992</v>
      </c>
      <c r="E17" s="11">
        <f t="shared" si="0"/>
        <v>-20567.6633</v>
      </c>
      <c r="F17" s="9">
        <f t="shared" si="2"/>
        <v>20567.6633</v>
      </c>
      <c r="G17" s="9">
        <f>+SUMSQ($E$2:E17)/(A17)</f>
        <v>151280727.82962328</v>
      </c>
      <c r="H17" s="9">
        <f>+SUM($F$2:F17)/(A17)</f>
        <v>10784.101223875001</v>
      </c>
      <c r="I17" s="10">
        <f t="shared" si="5"/>
        <v>34.903891262959725</v>
      </c>
      <c r="J17" s="10">
        <f>+AVERAGE($I$2:I17)</f>
        <v>86.055412685060034</v>
      </c>
      <c r="K17" s="43">
        <f>+SUM($E$2:E17)/H17</f>
        <v>3.8293889412474509</v>
      </c>
    </row>
    <row r="18" spans="1:11" x14ac:dyDescent="0.3">
      <c r="A18" s="5">
        <f t="shared" si="4"/>
        <v>17</v>
      </c>
      <c r="B18" s="6">
        <f>+data!B18</f>
        <v>57714.664062999997</v>
      </c>
      <c r="C18" s="6"/>
      <c r="D18" s="22">
        <f t="shared" si="1"/>
        <v>38935.510100000014</v>
      </c>
      <c r="E18" s="23">
        <f t="shared" si="0"/>
        <v>-18779.153962999982</v>
      </c>
      <c r="F18" s="22">
        <f t="shared" si="2"/>
        <v>18779.153962999982</v>
      </c>
      <c r="G18" s="22">
        <f>+SUMSQ($E$2:E18)/(A18)</f>
        <v>163126368.75529593</v>
      </c>
      <c r="H18" s="22">
        <f>+SUM($F$2:F18)/(A18)</f>
        <v>11254.398443823529</v>
      </c>
      <c r="I18" s="24">
        <f t="shared" si="5"/>
        <v>32.537924750806994</v>
      </c>
      <c r="J18" s="10">
        <f>+AVERAGE($I$2:I18)</f>
        <v>82.907325159515736</v>
      </c>
      <c r="K18" s="43">
        <f>+SUM($E$2:E18)/H18</f>
        <v>2.0007612239246506</v>
      </c>
    </row>
    <row r="19" spans="1:11" x14ac:dyDescent="0.3">
      <c r="A19" s="8">
        <f t="shared" si="4"/>
        <v>18</v>
      </c>
      <c r="B19" s="9">
        <f>+data!B19</f>
        <v>37293.792969000002</v>
      </c>
      <c r="C19" s="9"/>
      <c r="D19" s="9">
        <f t="shared" si="1"/>
        <v>39286.026400000002</v>
      </c>
      <c r="E19" s="11">
        <f t="shared" si="0"/>
        <v>1992.2334310000006</v>
      </c>
      <c r="F19" s="9">
        <f t="shared" si="2"/>
        <v>1992.2334310000006</v>
      </c>
      <c r="G19" s="9">
        <f>+SUMSQ($E$2:E19)/(A19)</f>
        <v>154284292.38242358</v>
      </c>
      <c r="H19" s="9">
        <f>+SUM($F$2:F19)/(A19)</f>
        <v>10739.83372088889</v>
      </c>
      <c r="I19" s="10">
        <f t="shared" si="5"/>
        <v>5.341997347000933</v>
      </c>
      <c r="J19" s="10">
        <f>+AVERAGE($I$2:I19)</f>
        <v>78.598140281042689</v>
      </c>
      <c r="K19" s="43">
        <f>+SUM($E$2:E19)/H19</f>
        <v>2.2821207546564786</v>
      </c>
    </row>
    <row r="20" spans="1:11" x14ac:dyDescent="0.3">
      <c r="A20" s="5">
        <f t="shared" si="4"/>
        <v>19</v>
      </c>
      <c r="B20" s="6">
        <f>+data!B20</f>
        <v>35035.984375</v>
      </c>
      <c r="C20" s="6"/>
      <c r="D20" s="22">
        <f t="shared" si="1"/>
        <v>39429.154299999995</v>
      </c>
      <c r="E20" s="23">
        <f t="shared" si="0"/>
        <v>4393.1699249999947</v>
      </c>
      <c r="F20" s="22">
        <f t="shared" si="2"/>
        <v>4393.1699249999947</v>
      </c>
      <c r="G20" s="22">
        <f>+SUMSQ($E$2:E20)/(A20)</f>
        <v>147179852.88808152</v>
      </c>
      <c r="H20" s="22">
        <f>+SUM($F$2:F20)/(A20)</f>
        <v>10405.798784263157</v>
      </c>
      <c r="I20" s="24">
        <f t="shared" si="5"/>
        <v>12.539022389034828</v>
      </c>
      <c r="J20" s="10">
        <f>+AVERAGE($I$2:I20)</f>
        <v>75.121344602515961</v>
      </c>
      <c r="K20" s="43">
        <f>+SUM($E$2:E20)/H20</f>
        <v>2.7775635451177592</v>
      </c>
    </row>
    <row r="21" spans="1:11" x14ac:dyDescent="0.3">
      <c r="A21" s="8">
        <f t="shared" si="4"/>
        <v>20</v>
      </c>
      <c r="B21" s="9">
        <f>+data!B21</f>
        <v>41460.84375</v>
      </c>
      <c r="C21" s="9"/>
      <c r="D21" s="9">
        <f t="shared" si="1"/>
        <v>39383.600000000006</v>
      </c>
      <c r="E21" s="11">
        <f t="shared" si="0"/>
        <v>-2077.2437499999942</v>
      </c>
      <c r="F21" s="9">
        <f t="shared" si="2"/>
        <v>2077.2437499999942</v>
      </c>
      <c r="G21" s="9">
        <f>+SUMSQ($E$2:E21)/(A21)</f>
        <v>140036607.32352313</v>
      </c>
      <c r="H21" s="9">
        <f>+SUM($F$2:F21)/(A21)</f>
        <v>9989.3710325499997</v>
      </c>
      <c r="I21" s="10">
        <f t="shared" si="5"/>
        <v>5.0101338084804272</v>
      </c>
      <c r="J21" s="10">
        <f>+AVERAGE($I$2:I21)</f>
        <v>71.615784062814186</v>
      </c>
      <c r="K21" s="43">
        <f>+SUM($E$2:E21)/H21</f>
        <v>2.6854066711097286</v>
      </c>
    </row>
    <row r="22" spans="1:11" x14ac:dyDescent="0.3">
      <c r="A22" s="5">
        <f t="shared" si="4"/>
        <v>21</v>
      </c>
      <c r="B22" s="6">
        <f>+data!B22</f>
        <v>47099.773437999997</v>
      </c>
      <c r="C22" s="6"/>
      <c r="D22" s="22">
        <f t="shared" si="1"/>
        <v>39168.069700000007</v>
      </c>
      <c r="E22" s="23">
        <f t="shared" si="0"/>
        <v>-7931.7037379999892</v>
      </c>
      <c r="F22" s="22">
        <f t="shared" si="2"/>
        <v>7931.7037379999892</v>
      </c>
      <c r="G22" s="22">
        <f>+SUMSQ($E$2:E22)/(A22)</f>
        <v>136364003.36466029</v>
      </c>
      <c r="H22" s="22">
        <f>+SUM($F$2:F22)/(A22)</f>
        <v>9891.3868756666652</v>
      </c>
      <c r="I22" s="24">
        <f t="shared" si="5"/>
        <v>16.84021633021425</v>
      </c>
      <c r="J22" s="10">
        <f>+AVERAGE($I$2:I22)</f>
        <v>69.007423694595147</v>
      </c>
      <c r="K22" s="43">
        <f>+SUM($E$2:E22)/H22</f>
        <v>1.9101284896135096</v>
      </c>
    </row>
    <row r="23" spans="1:11" x14ac:dyDescent="0.3">
      <c r="A23" s="8">
        <f t="shared" si="4"/>
        <v>22</v>
      </c>
      <c r="B23" s="9">
        <f>+data!B23</f>
        <v>43816.742187999997</v>
      </c>
      <c r="C23" s="9"/>
      <c r="D23" s="9">
        <f t="shared" si="1"/>
        <v>38801.2696</v>
      </c>
      <c r="E23" s="11">
        <f t="shared" si="0"/>
        <v>-5015.4725879999969</v>
      </c>
      <c r="F23" s="9">
        <f t="shared" si="2"/>
        <v>5015.4725879999969</v>
      </c>
      <c r="G23" s="9">
        <f>+SUMSQ($E$2:E23)/(A23)</f>
        <v>131309047.08812933</v>
      </c>
      <c r="H23" s="9">
        <f>+SUM($F$2:F23)/(A23)</f>
        <v>9669.7544080454536</v>
      </c>
      <c r="I23" s="10">
        <f t="shared" si="5"/>
        <v>11.446475336939985</v>
      </c>
      <c r="J23" s="10">
        <f>+AVERAGE($I$2:I23)</f>
        <v>66.391016951065367</v>
      </c>
      <c r="K23" s="43">
        <f>+SUM($E$2:E23)/H23</f>
        <v>1.4352326542495188</v>
      </c>
    </row>
    <row r="24" spans="1:11" x14ac:dyDescent="0.3">
      <c r="A24" s="5">
        <f t="shared" si="4"/>
        <v>23</v>
      </c>
      <c r="B24" s="6">
        <f>+data!B24</f>
        <v>61320.449219000002</v>
      </c>
      <c r="C24" s="6"/>
      <c r="D24" s="22">
        <f t="shared" si="1"/>
        <v>38301.905900000012</v>
      </c>
      <c r="E24" s="23">
        <f t="shared" si="0"/>
        <v>-23018.543318999989</v>
      </c>
      <c r="F24" s="22">
        <f t="shared" si="2"/>
        <v>23018.543318999989</v>
      </c>
      <c r="G24" s="22">
        <f>+SUMSQ($E$2:E24)/(A24)</f>
        <v>148637059.67250106</v>
      </c>
      <c r="H24" s="22">
        <f>+SUM($F$2:F24)/(A24)</f>
        <v>10250.136534608695</v>
      </c>
      <c r="I24" s="24">
        <f t="shared" si="5"/>
        <v>37.53811919542779</v>
      </c>
      <c r="J24" s="10">
        <f>+AVERAGE($I$2:I24)</f>
        <v>65.136543135602864</v>
      </c>
      <c r="K24" s="43">
        <f>+SUM($E$2:E24)/H24</f>
        <v>-0.89171456430251927</v>
      </c>
    </row>
    <row r="25" spans="1:11" x14ac:dyDescent="0.3">
      <c r="A25" s="8">
        <f t="shared" si="4"/>
        <v>24</v>
      </c>
      <c r="B25" s="9">
        <f>+data!B25</f>
        <v>56907.964844000002</v>
      </c>
      <c r="C25" s="9"/>
      <c r="D25" s="9">
        <f t="shared" si="1"/>
        <v>37688.684800000017</v>
      </c>
      <c r="E25" s="11">
        <f t="shared" si="0"/>
        <v>-19219.280043999985</v>
      </c>
      <c r="F25" s="9">
        <f t="shared" si="2"/>
        <v>19219.280043999985</v>
      </c>
      <c r="G25" s="9">
        <f>+SUMSQ($E$2:E25)/(A25)</f>
        <v>157834712.41155085</v>
      </c>
      <c r="H25" s="9">
        <f>+SUM($F$2:F25)/(A25)</f>
        <v>10623.850847499998</v>
      </c>
      <c r="I25" s="10">
        <f t="shared" si="5"/>
        <v>33.772566101573283</v>
      </c>
      <c r="J25" s="10">
        <f>+AVERAGE($I$2:I25)</f>
        <v>63.829710759184962</v>
      </c>
      <c r="K25" s="43">
        <f>+SUM($E$2:E25)/H25</f>
        <v>-2.6694158723692416</v>
      </c>
    </row>
    <row r="26" spans="1:11" x14ac:dyDescent="0.3">
      <c r="A26" s="5">
        <f t="shared" si="4"/>
        <v>25</v>
      </c>
      <c r="B26" s="6">
        <f>+data!B26</f>
        <v>46311.746094000002</v>
      </c>
      <c r="C26" s="6"/>
      <c r="D26" s="22">
        <f t="shared" si="1"/>
        <v>36980.3125</v>
      </c>
      <c r="E26" s="23">
        <f t="shared" si="0"/>
        <v>-9331.4335940000019</v>
      </c>
      <c r="F26" s="22">
        <f t="shared" si="2"/>
        <v>9331.4335940000019</v>
      </c>
      <c r="G26" s="22">
        <f>+SUMSQ($E$2:E26)/(A26)</f>
        <v>155004350.03185809</v>
      </c>
      <c r="H26" s="22">
        <f>+SUM($F$2:F26)/(A26)</f>
        <v>10572.154157359999</v>
      </c>
      <c r="I26" s="24">
        <f t="shared" si="5"/>
        <v>20.149172469247389</v>
      </c>
      <c r="J26" s="10">
        <f>+AVERAGE($I$2:I26)</f>
        <v>62.082489227587459</v>
      </c>
      <c r="K26" s="43">
        <f>+SUM($E$2:E26)/H26</f>
        <v>-3.5651116235153171</v>
      </c>
    </row>
    <row r="27" spans="1:11" x14ac:dyDescent="0.3">
      <c r="A27" s="8">
        <f t="shared" si="4"/>
        <v>26</v>
      </c>
      <c r="B27" s="9">
        <f>+data!B27</f>
        <v>38481.765625</v>
      </c>
      <c r="C27" s="9"/>
      <c r="D27" s="9">
        <f t="shared" si="1"/>
        <v>36195.49519999999</v>
      </c>
      <c r="E27" s="11">
        <f t="shared" si="0"/>
        <v>-2286.2704250000097</v>
      </c>
      <c r="F27" s="9">
        <f t="shared" si="2"/>
        <v>2286.2704250000097</v>
      </c>
      <c r="G27" s="9">
        <f>+SUMSQ($E$2:E27)/(A27)</f>
        <v>149243683.971257</v>
      </c>
      <c r="H27" s="9">
        <f>+SUM($F$2:F27)/(A27)</f>
        <v>10253.466321499998</v>
      </c>
      <c r="I27" s="10">
        <f t="shared" si="5"/>
        <v>5.9411786020408455</v>
      </c>
      <c r="J27" s="10">
        <f>+AVERAGE($I$2:I27)</f>
        <v>59.923208049681811</v>
      </c>
      <c r="K27" s="43">
        <f>+SUM($E$2:E27)/H27</f>
        <v>-3.8988941732976397</v>
      </c>
    </row>
    <row r="28" spans="1:11" x14ac:dyDescent="0.3">
      <c r="A28" s="5">
        <f t="shared" si="4"/>
        <v>27</v>
      </c>
      <c r="B28" s="6">
        <f>+data!B28</f>
        <v>43194.503905999998</v>
      </c>
      <c r="C28" s="6"/>
      <c r="D28" s="22">
        <f t="shared" si="1"/>
        <v>35352.939100000018</v>
      </c>
      <c r="E28" s="23">
        <f t="shared" si="0"/>
        <v>-7841.5648059999803</v>
      </c>
      <c r="F28" s="22">
        <f t="shared" si="2"/>
        <v>7841.5648059999803</v>
      </c>
      <c r="G28" s="22">
        <f>+SUMSQ($E$2:E28)/(A28)</f>
        <v>145993552.66145849</v>
      </c>
      <c r="H28" s="22">
        <f>+SUM($F$2:F28)/(A28)</f>
        <v>10164.136635740739</v>
      </c>
      <c r="I28" s="24">
        <f t="shared" si="5"/>
        <v>18.154080026164475</v>
      </c>
      <c r="J28" s="10">
        <f>+AVERAGE($I$2:I28)</f>
        <v>58.376203308070053</v>
      </c>
      <c r="K28" s="43">
        <f>+SUM($E$2:E28)/H28</f>
        <v>-4.7046538842120738</v>
      </c>
    </row>
    <row r="29" spans="1:11" x14ac:dyDescent="0.3">
      <c r="A29" s="8">
        <f t="shared" si="4"/>
        <v>28</v>
      </c>
      <c r="B29" s="9">
        <f>+data!B29</f>
        <v>45554.164062999997</v>
      </c>
      <c r="C29" s="9"/>
      <c r="D29" s="9">
        <f t="shared" si="1"/>
        <v>34471.350400000025</v>
      </c>
      <c r="E29" s="11">
        <f t="shared" si="0"/>
        <v>-11082.813662999972</v>
      </c>
      <c r="F29" s="9">
        <f t="shared" si="2"/>
        <v>11082.813662999972</v>
      </c>
      <c r="G29" s="9">
        <f>+SUMSQ($E$2:E29)/(A29)</f>
        <v>145166238.59100565</v>
      </c>
      <c r="H29" s="9">
        <f>+SUM($F$2:F29)/(A29)</f>
        <v>10196.946529571424</v>
      </c>
      <c r="I29" s="10">
        <f t="shared" si="5"/>
        <v>24.32887067727285</v>
      </c>
      <c r="J29" s="10">
        <f>+AVERAGE($I$2:I29)</f>
        <v>57.160227142684441</v>
      </c>
      <c r="K29" s="43">
        <f>+SUM($E$2:E29)/H29</f>
        <v>-5.7763918242763896</v>
      </c>
    </row>
    <row r="30" spans="1:11" x14ac:dyDescent="0.3">
      <c r="A30" s="5">
        <f t="shared" si="4"/>
        <v>29</v>
      </c>
      <c r="B30" s="6">
        <f>+data!B30</f>
        <v>37713.265625</v>
      </c>
      <c r="C30" s="6"/>
      <c r="D30" s="22">
        <f t="shared" si="1"/>
        <v>33569.435300000012</v>
      </c>
      <c r="E30" s="23">
        <f t="shared" si="0"/>
        <v>-4143.8303249999881</v>
      </c>
      <c r="F30" s="22">
        <f t="shared" si="2"/>
        <v>4143.8303249999881</v>
      </c>
      <c r="G30" s="22">
        <f>+SUMSQ($E$2:E30)/(A30)</f>
        <v>140752621.04519132</v>
      </c>
      <c r="H30" s="22">
        <f>+SUM($F$2:F30)/(A30)</f>
        <v>9988.2183845862019</v>
      </c>
      <c r="I30" s="24">
        <f t="shared" si="5"/>
        <v>10.987726086104452</v>
      </c>
      <c r="J30" s="10">
        <f>+AVERAGE($I$2:I30)</f>
        <v>55.568071933836855</v>
      </c>
      <c r="K30" s="43">
        <f>+SUM($E$2:E30)/H30</f>
        <v>-6.3119754157849988</v>
      </c>
    </row>
    <row r="31" spans="1:11" x14ac:dyDescent="0.3">
      <c r="A31" s="8">
        <f t="shared" si="4"/>
        <v>30</v>
      </c>
      <c r="B31" s="9">
        <f>+data!B31</f>
        <v>31792.554688</v>
      </c>
      <c r="C31" s="9"/>
      <c r="D31" s="9">
        <f t="shared" si="1"/>
        <v>32665.900000000023</v>
      </c>
      <c r="E31" s="11">
        <f t="shared" si="0"/>
        <v>873.34531200002311</v>
      </c>
      <c r="F31" s="9">
        <f t="shared" si="2"/>
        <v>873.34531200002311</v>
      </c>
      <c r="G31" s="9">
        <f>+SUMSQ($E$2:E31)/(A31)</f>
        <v>136086291.41148466</v>
      </c>
      <c r="H31" s="9">
        <f>+SUM($F$2:F31)/(A31)</f>
        <v>9684.3892821666632</v>
      </c>
      <c r="I31" s="10">
        <f t="shared" si="5"/>
        <v>2.7470120616940057</v>
      </c>
      <c r="J31" s="10">
        <f>+AVERAGE($I$2:I31)</f>
        <v>53.807369938098759</v>
      </c>
      <c r="K31" s="43">
        <f>+SUM($E$2:E31)/H31</f>
        <v>-6.41982078245106</v>
      </c>
    </row>
    <row r="32" spans="1:11" x14ac:dyDescent="0.3">
      <c r="A32" s="5">
        <f t="shared" si="4"/>
        <v>31</v>
      </c>
      <c r="B32" s="6">
        <f>+data!B32</f>
        <v>19820.470702999999</v>
      </c>
      <c r="C32" s="6"/>
      <c r="D32" s="22">
        <f t="shared" si="1"/>
        <v>31779.450699999987</v>
      </c>
      <c r="E32" s="23">
        <f t="shared" si="0"/>
        <v>11958.979996999988</v>
      </c>
      <c r="F32" s="22">
        <f t="shared" si="2"/>
        <v>11958.979996999988</v>
      </c>
      <c r="G32" s="22">
        <f>+SUMSQ($E$2:E32)/(A32)</f>
        <v>136309869.19074795</v>
      </c>
      <c r="H32" s="22">
        <f>+SUM($F$2:F32)/(A32)</f>
        <v>9757.7631761935427</v>
      </c>
      <c r="I32" s="24">
        <f t="shared" si="5"/>
        <v>60.336508533018304</v>
      </c>
      <c r="J32" s="10">
        <f>+AVERAGE($I$2:I32)</f>
        <v>54.017987312128426</v>
      </c>
      <c r="K32" s="43">
        <f>+SUM($E$2:E32)/H32</f>
        <v>-5.1459604701728106</v>
      </c>
    </row>
    <row r="33" spans="1:11" x14ac:dyDescent="0.3">
      <c r="A33" s="8">
        <f t="shared" si="4"/>
        <v>32</v>
      </c>
      <c r="B33" s="9">
        <f>+data!B33</f>
        <v>23336.71875</v>
      </c>
      <c r="C33" s="9"/>
      <c r="D33" s="9">
        <f t="shared" si="1"/>
        <v>30928.793600000005</v>
      </c>
      <c r="E33" s="11">
        <f t="shared" si="0"/>
        <v>7592.0748500000045</v>
      </c>
      <c r="F33" s="9">
        <f t="shared" si="2"/>
        <v>7592.0748500000045</v>
      </c>
      <c r="G33" s="9">
        <f>+SUMSQ($E$2:E33)/(A33)</f>
        <v>133851423.29503715</v>
      </c>
      <c r="H33" s="9">
        <f>+SUM($F$2:F33)/(A33)</f>
        <v>9690.0854159999944</v>
      </c>
      <c r="I33" s="10">
        <f t="shared" si="5"/>
        <v>32.532743490341822</v>
      </c>
      <c r="J33" s="10">
        <f>+AVERAGE($I$2:I33)</f>
        <v>53.34657344269759</v>
      </c>
      <c r="K33" s="43">
        <f>+SUM($E$2:E33)/H33</f>
        <v>-4.3984120781459044</v>
      </c>
    </row>
    <row r="34" spans="1:11" x14ac:dyDescent="0.3">
      <c r="A34" s="5">
        <f t="shared" si="4"/>
        <v>33</v>
      </c>
      <c r="B34" s="6">
        <f>+data!B34</f>
        <v>20050.498047000001</v>
      </c>
      <c r="C34" s="6"/>
      <c r="D34" s="22">
        <f t="shared" si="1"/>
        <v>30132.634900000005</v>
      </c>
      <c r="E34" s="23">
        <f t="shared" si="0"/>
        <v>10082.136853000004</v>
      </c>
      <c r="F34" s="22">
        <f t="shared" si="2"/>
        <v>10082.136853000004</v>
      </c>
      <c r="G34" s="22">
        <f>+SUMSQ($E$2:E34)/(A34)</f>
        <v>132875606.93829727</v>
      </c>
      <c r="H34" s="22">
        <f>+SUM($F$2:F34)/(A34)</f>
        <v>9701.9657625757536</v>
      </c>
      <c r="I34" s="24">
        <f t="shared" si="5"/>
        <v>50.283722775198171</v>
      </c>
      <c r="J34" s="10">
        <f>+AVERAGE($I$2:I34)</f>
        <v>53.253759786106698</v>
      </c>
      <c r="K34" s="43">
        <f>+SUM($E$2:E34)/H34</f>
        <v>-3.353841136454514</v>
      </c>
    </row>
    <row r="35" spans="1:11" x14ac:dyDescent="0.3">
      <c r="A35" s="8">
        <f t="shared" si="4"/>
        <v>34</v>
      </c>
      <c r="B35" s="9">
        <f>+data!B35</f>
        <v>19431.105468999998</v>
      </c>
      <c r="C35" s="9"/>
      <c r="D35" s="9">
        <f t="shared" si="1"/>
        <v>29409.680800000031</v>
      </c>
      <c r="E35" s="11">
        <f t="shared" si="0"/>
        <v>9978.5753310000327</v>
      </c>
      <c r="F35" s="9">
        <f t="shared" si="2"/>
        <v>9978.5753310000327</v>
      </c>
      <c r="G35" s="9">
        <f>+SUMSQ($E$2:E35)/(A35)</f>
        <v>131896088.076478</v>
      </c>
      <c r="H35" s="9">
        <f>+SUM($F$2:F35)/(A35)</f>
        <v>9710.1013381176435</v>
      </c>
      <c r="I35" s="10">
        <f t="shared" si="5"/>
        <v>51.353616225899522</v>
      </c>
      <c r="J35" s="10">
        <f>+AVERAGE($I$2:I35)</f>
        <v>53.197873210806485</v>
      </c>
      <c r="K35" s="43">
        <f>+SUM($E$2:E35)/H35</f>
        <v>-2.3233821936994583</v>
      </c>
    </row>
    <row r="36" spans="1:11" x14ac:dyDescent="0.3">
      <c r="A36" s="5">
        <f t="shared" si="4"/>
        <v>35</v>
      </c>
      <c r="B36" s="6">
        <f>+data!B36</f>
        <v>20494.898438</v>
      </c>
      <c r="C36" s="6"/>
      <c r="D36" s="22">
        <f t="shared" si="1"/>
        <v>28778.637500000012</v>
      </c>
      <c r="E36" s="23">
        <f t="shared" si="0"/>
        <v>8283.7390620000115</v>
      </c>
      <c r="F36" s="22">
        <f t="shared" si="2"/>
        <v>8283.7390620000115</v>
      </c>
      <c r="G36" s="22">
        <f>+SUMSQ($E$2:E36)/(A36)</f>
        <v>130088209.35564449</v>
      </c>
      <c r="H36" s="22">
        <f>+SUM($F$2:F36)/(A36)</f>
        <v>9669.3481302285691</v>
      </c>
      <c r="I36" s="24">
        <f t="shared" si="5"/>
        <v>40.418541653472971</v>
      </c>
      <c r="J36" s="10">
        <f>+AVERAGE($I$2:I36)</f>
        <v>52.832749452025524</v>
      </c>
      <c r="K36" s="43">
        <f>+SUM($E$2:E36)/H36</f>
        <v>-1.4764736250800734</v>
      </c>
    </row>
    <row r="37" spans="1:11" x14ac:dyDescent="0.3">
      <c r="A37" s="8">
        <f t="shared" si="4"/>
        <v>36</v>
      </c>
      <c r="B37" s="9">
        <f>+data!B37</f>
        <v>17168.001952999999</v>
      </c>
      <c r="C37" s="9"/>
      <c r="D37" s="9">
        <f t="shared" si="1"/>
        <v>28258.21120000002</v>
      </c>
      <c r="E37" s="11">
        <f t="shared" si="0"/>
        <v>11090.209247000021</v>
      </c>
      <c r="F37" s="9">
        <f t="shared" si="2"/>
        <v>11090.209247000021</v>
      </c>
      <c r="G37" s="9">
        <f>+SUMSQ($E$2:E37)/(A37)</f>
        <v>129891113.01638338</v>
      </c>
      <c r="H37" s="9">
        <f>+SUM($F$2:F37)/(A37)</f>
        <v>9708.8164945833305</v>
      </c>
      <c r="I37" s="10">
        <f t="shared" si="5"/>
        <v>64.598135982050479</v>
      </c>
      <c r="J37" s="10">
        <f>+AVERAGE($I$2:I37)</f>
        <v>53.159565744526219</v>
      </c>
      <c r="K37" s="43">
        <f>+SUM($E$2:E37)/H37</f>
        <v>-0.3281891506320545</v>
      </c>
    </row>
    <row r="38" spans="1:11" x14ac:dyDescent="0.3">
      <c r="A38" s="5">
        <f t="shared" si="4"/>
        <v>37</v>
      </c>
      <c r="B38" s="6">
        <f>+data!B38</f>
        <v>16547.914063</v>
      </c>
      <c r="C38" s="6"/>
      <c r="D38" s="22">
        <f t="shared" si="1"/>
        <v>27867.108100000012</v>
      </c>
      <c r="E38" s="23">
        <f t="shared" si="0"/>
        <v>11319.194037000012</v>
      </c>
      <c r="F38" s="22">
        <f t="shared" si="2"/>
        <v>11319.194037000012</v>
      </c>
      <c r="G38" s="22">
        <f>+SUMSQ($E$2:E38)/(A38)</f>
        <v>129843357.35775834</v>
      </c>
      <c r="H38" s="22">
        <f>+SUM($F$2:F38)/(A38)</f>
        <v>9752.3402119459424</v>
      </c>
      <c r="I38" s="24">
        <f t="shared" si="5"/>
        <v>68.402543026912085</v>
      </c>
      <c r="J38" s="10">
        <f>+AVERAGE($I$2:I38)</f>
        <v>53.571538103509624</v>
      </c>
      <c r="K38" s="43">
        <f>+SUM($E$2:E38)/H38</f>
        <v>0.83393991813760049</v>
      </c>
    </row>
    <row r="39" spans="1:11" x14ac:dyDescent="0.3">
      <c r="A39" s="8">
        <f t="shared" si="4"/>
        <v>38</v>
      </c>
      <c r="B39" s="9">
        <f>+data!B39</f>
        <v>23137.835938</v>
      </c>
      <c r="C39" s="9"/>
      <c r="D39" s="9">
        <f t="shared" si="1"/>
        <v>27624.034399999975</v>
      </c>
      <c r="E39" s="11">
        <f t="shared" si="0"/>
        <v>4486.1984619999748</v>
      </c>
      <c r="F39" s="9">
        <f t="shared" si="2"/>
        <v>4486.1984619999748</v>
      </c>
      <c r="G39" s="9">
        <f>+SUMSQ($E$2:E39)/(A39)</f>
        <v>126956057.86519761</v>
      </c>
      <c r="H39" s="9">
        <f>+SUM($F$2:F39)/(A39)</f>
        <v>9613.757534315786</v>
      </c>
      <c r="I39" s="10">
        <f t="shared" si="5"/>
        <v>19.389014919204907</v>
      </c>
      <c r="J39" s="10">
        <f>+AVERAGE($I$2:I39)</f>
        <v>52.671998019712134</v>
      </c>
      <c r="K39" s="43">
        <f>+SUM($E$2:E39)/H39</f>
        <v>1.312604797339348</v>
      </c>
    </row>
    <row r="40" spans="1:11" x14ac:dyDescent="0.3">
      <c r="A40" s="5">
        <f t="shared" si="4"/>
        <v>39</v>
      </c>
      <c r="B40" s="6">
        <f>+data!B40</f>
        <v>23150.929688</v>
      </c>
      <c r="C40" s="6"/>
      <c r="D40" s="22">
        <f t="shared" si="1"/>
        <v>27547.69630000004</v>
      </c>
      <c r="E40" s="23">
        <f t="shared" si="0"/>
        <v>4396.7666120000395</v>
      </c>
      <c r="F40" s="22">
        <f t="shared" si="2"/>
        <v>4396.7666120000395</v>
      </c>
      <c r="G40" s="22">
        <f>+SUMSQ($E$2:E40)/(A40)</f>
        <v>124196455.26968993</v>
      </c>
      <c r="H40" s="22">
        <f>+SUM($F$2:F40)/(A40)</f>
        <v>9479.9885363076919</v>
      </c>
      <c r="I40" s="24">
        <f t="shared" si="5"/>
        <v>18.99174966731055</v>
      </c>
      <c r="J40" s="10">
        <f>+AVERAGE($I$2:I40)</f>
        <v>51.808401908112096</v>
      </c>
      <c r="K40" s="43">
        <f>+SUM($E$2:E40)/H40</f>
        <v>1.7949210388631591</v>
      </c>
    </row>
    <row r="41" spans="1:11" x14ac:dyDescent="0.3">
      <c r="A41" s="8">
        <f t="shared" si="4"/>
        <v>40</v>
      </c>
      <c r="B41" s="9">
        <f>+data!B41</f>
        <v>28473.332031000002</v>
      </c>
      <c r="C41" s="9"/>
      <c r="D41" s="9">
        <f t="shared" si="1"/>
        <v>27656.800000000017</v>
      </c>
      <c r="E41" s="11">
        <f t="shared" si="0"/>
        <v>-816.53203099998427</v>
      </c>
      <c r="F41" s="9">
        <f t="shared" si="2"/>
        <v>816.53203099998427</v>
      </c>
      <c r="G41" s="9">
        <f>+SUMSQ($E$2:E41)/(A41)</f>
        <v>121108212.0018889</v>
      </c>
      <c r="H41" s="9">
        <f>+SUM($F$2:F41)/(A41)</f>
        <v>9263.4021236749995</v>
      </c>
      <c r="I41" s="10">
        <f t="shared" si="5"/>
        <v>2.8677080368078971</v>
      </c>
      <c r="J41" s="10">
        <f>+AVERAGE($I$2:I41)</f>
        <v>50.584884561329488</v>
      </c>
      <c r="K41" s="43">
        <f>+SUM($E$2:E41)/H41</f>
        <v>1.7487418363927867</v>
      </c>
    </row>
    <row r="42" spans="1:11" x14ac:dyDescent="0.3">
      <c r="A42" s="5">
        <f t="shared" si="4"/>
        <v>41</v>
      </c>
      <c r="B42" s="6">
        <f>+data!B42</f>
        <v>29227.103515999999</v>
      </c>
      <c r="C42" s="6"/>
      <c r="D42" s="22">
        <f t="shared" si="1"/>
        <v>27970.051700000011</v>
      </c>
      <c r="E42" s="23">
        <f t="shared" si="0"/>
        <v>-1257.0518159999883</v>
      </c>
      <c r="F42" s="22">
        <f t="shared" si="2"/>
        <v>1257.0518159999883</v>
      </c>
      <c r="G42" s="22">
        <f>+SUMSQ($E$2:E42)/(A42)</f>
        <v>118192894.13033329</v>
      </c>
      <c r="H42" s="22">
        <f>+SUM($F$2:F42)/(A42)</f>
        <v>9068.1252869024374</v>
      </c>
      <c r="I42" s="24">
        <f t="shared" si="5"/>
        <v>4.3009797919654664</v>
      </c>
      <c r="J42" s="10">
        <f>+AVERAGE($I$2:I42)</f>
        <v>49.456008835247445</v>
      </c>
      <c r="K42" s="43">
        <f>+SUM($E$2:E42)/H42</f>
        <v>1.6477768615065487</v>
      </c>
    </row>
    <row r="43" spans="1:11" x14ac:dyDescent="0.3">
      <c r="A43" s="8">
        <f t="shared" si="4"/>
        <v>42</v>
      </c>
      <c r="B43" s="9">
        <f>+data!B43</f>
        <v>27218.412109000001</v>
      </c>
      <c r="C43" s="9"/>
      <c r="D43" s="9">
        <f t="shared" si="1"/>
        <v>28506.157600000006</v>
      </c>
      <c r="E43" s="11">
        <f t="shared" si="0"/>
        <v>1287.7454910000051</v>
      </c>
      <c r="F43" s="9">
        <f t="shared" si="2"/>
        <v>1287.7454910000051</v>
      </c>
      <c r="G43" s="9">
        <f>+SUMSQ($E$2:E43)/(A43)</f>
        <v>115418260.66174419</v>
      </c>
      <c r="H43" s="9">
        <f>+SUM($F$2:F43)/(A43)</f>
        <v>8882.8781489047597</v>
      </c>
      <c r="I43" s="10">
        <f t="shared" si="5"/>
        <v>4.7311558287935584</v>
      </c>
      <c r="J43" s="10">
        <f>+AVERAGE($I$2:I43)</f>
        <v>48.391131382712828</v>
      </c>
      <c r="K43" s="43">
        <f>+SUM($E$2:E43)/H43</f>
        <v>1.827109664675677</v>
      </c>
    </row>
    <row r="44" spans="1:11" x14ac:dyDescent="0.3">
      <c r="A44" s="5">
        <f t="shared" si="4"/>
        <v>43</v>
      </c>
      <c r="B44" s="6">
        <f>+data!B44</f>
        <v>30471.847656000002</v>
      </c>
      <c r="C44" s="6"/>
      <c r="D44" s="22">
        <f t="shared" si="1"/>
        <v>29283.823899999988</v>
      </c>
      <c r="E44" s="23">
        <f t="shared" si="0"/>
        <v>-1188.0237560000132</v>
      </c>
      <c r="F44" s="22">
        <f t="shared" si="2"/>
        <v>1188.0237560000132</v>
      </c>
      <c r="G44" s="22">
        <f>+SUMSQ($E$2:E44)/(A44)</f>
        <v>112766938.33111805</v>
      </c>
      <c r="H44" s="22">
        <f>+SUM($F$2:F44)/(A44)</f>
        <v>8703.9280467441858</v>
      </c>
      <c r="I44" s="24">
        <f t="shared" si="5"/>
        <v>3.8987585177365758</v>
      </c>
      <c r="J44" s="10">
        <f>+AVERAGE($I$2:I44)</f>
        <v>47.356425037015704</v>
      </c>
      <c r="K44" s="43">
        <f>+SUM($E$2:E44)/H44</f>
        <v>1.7281816530671918</v>
      </c>
    </row>
    <row r="45" spans="1:11" x14ac:dyDescent="0.3">
      <c r="A45" s="8">
        <f t="shared" si="4"/>
        <v>44</v>
      </c>
      <c r="B45" s="9">
        <f>+data!B45</f>
        <v>29230.873047000001</v>
      </c>
      <c r="C45" s="9"/>
      <c r="D45" s="9">
        <f t="shared" si="1"/>
        <v>30321.756799999974</v>
      </c>
      <c r="E45" s="11">
        <f t="shared" si="0"/>
        <v>1090.8837529999728</v>
      </c>
      <c r="F45" s="9">
        <f t="shared" si="2"/>
        <v>1090.8837529999728</v>
      </c>
      <c r="G45" s="9">
        <f>+SUMSQ($E$2:E45)/(A45)</f>
        <v>110231099.44546899</v>
      </c>
      <c r="H45" s="9">
        <f>+SUM($F$2:F45)/(A45)</f>
        <v>8530.9043127954537</v>
      </c>
      <c r="I45" s="10">
        <f t="shared" si="5"/>
        <v>3.7319574794976282</v>
      </c>
      <c r="J45" s="10">
        <f>+AVERAGE($I$2:I45)</f>
        <v>46.36495986525393</v>
      </c>
      <c r="K45" s="43">
        <f>+SUM($E$2:E45)/H45</f>
        <v>1.8911069590597402</v>
      </c>
    </row>
    <row r="46" spans="1:11" x14ac:dyDescent="0.3">
      <c r="A46" s="5">
        <f t="shared" si="4"/>
        <v>45</v>
      </c>
      <c r="B46" s="6">
        <f>+data!B46</f>
        <v>25934.021484000001</v>
      </c>
      <c r="C46" s="6"/>
      <c r="D46" s="22">
        <f t="shared" si="1"/>
        <v>31638.662500000035</v>
      </c>
      <c r="E46" s="23">
        <f t="shared" si="0"/>
        <v>5704.6410160000341</v>
      </c>
      <c r="F46" s="22">
        <f t="shared" si="2"/>
        <v>5704.6410160000341</v>
      </c>
      <c r="G46" s="22">
        <f>+SUMSQ($E$2:E46)/(A46)</f>
        <v>108504695.66049033</v>
      </c>
      <c r="H46" s="22">
        <f>+SUM($F$2:F46)/(A46)</f>
        <v>8468.098461755555</v>
      </c>
      <c r="I46" s="24">
        <f t="shared" si="5"/>
        <v>21.99674670401393</v>
      </c>
      <c r="J46" s="10">
        <f>+AVERAGE($I$2:I46)</f>
        <v>45.823444017226372</v>
      </c>
      <c r="K46" s="43">
        <f>+SUM($E$2:E46)/H46</f>
        <v>2.578795419966462</v>
      </c>
    </row>
    <row r="47" spans="1:11" x14ac:dyDescent="0.3">
      <c r="A47" s="8">
        <f t="shared" si="4"/>
        <v>46</v>
      </c>
      <c r="B47" s="9">
        <f>+data!B47</f>
        <v>26967.396484000001</v>
      </c>
      <c r="C47" s="9"/>
      <c r="D47" s="9">
        <f t="shared" si="1"/>
        <v>33253.247199999983</v>
      </c>
      <c r="E47" s="11">
        <f t="shared" si="0"/>
        <v>6285.8507159999826</v>
      </c>
      <c r="F47" s="9">
        <f t="shared" si="2"/>
        <v>6285.8507159999826</v>
      </c>
      <c r="G47" s="9">
        <f>+SUMSQ($E$2:E47)/(A47)</f>
        <v>107004852.69447614</v>
      </c>
      <c r="H47" s="9">
        <f>+SUM($F$2:F47)/(A47)</f>
        <v>8420.6582933695645</v>
      </c>
      <c r="I47" s="10">
        <f t="shared" si="5"/>
        <v>23.309075163149082</v>
      </c>
      <c r="J47" s="10">
        <f>+AVERAGE($I$2:I47)</f>
        <v>45.334001216050773</v>
      </c>
      <c r="K47" s="43">
        <f>+SUM($E$2:E47)/H47</f>
        <v>3.3398035242855779</v>
      </c>
    </row>
    <row r="48" spans="1:11" x14ac:dyDescent="0.3">
      <c r="A48" s="5">
        <f t="shared" si="4"/>
        <v>47</v>
      </c>
      <c r="B48" s="6">
        <f>+data!B48</f>
        <v>34657.273437999997</v>
      </c>
      <c r="C48" s="6"/>
      <c r="D48" s="22">
        <f t="shared" si="1"/>
        <v>35184.217099999951</v>
      </c>
      <c r="E48" s="23">
        <f t="shared" si="0"/>
        <v>526.9436619999542</v>
      </c>
      <c r="F48" s="22">
        <f t="shared" si="2"/>
        <v>526.9436619999542</v>
      </c>
      <c r="G48" s="22">
        <f>+SUMSQ($E$2:E48)/(A48)</f>
        <v>104734061.56529415</v>
      </c>
      <c r="H48" s="22">
        <f>+SUM($F$2:F48)/(A48)</f>
        <v>8252.7069182340401</v>
      </c>
      <c r="I48" s="24">
        <f t="shared" si="5"/>
        <v>1.5204417708814519</v>
      </c>
      <c r="J48" s="10">
        <f>+AVERAGE($I$2:I48)</f>
        <v>44.401797823600369</v>
      </c>
      <c r="K48" s="43">
        <f>+SUM($E$2:E48)/H48</f>
        <v>3.4716230917759225</v>
      </c>
    </row>
    <row r="49" spans="1:11" x14ac:dyDescent="0.3">
      <c r="A49" s="8">
        <f t="shared" si="4"/>
        <v>48</v>
      </c>
      <c r="B49" s="9">
        <f>+data!B49</f>
        <v>37718.007812999997</v>
      </c>
      <c r="C49" s="9"/>
      <c r="D49" s="9">
        <f t="shared" si="1"/>
        <v>37450.27840000001</v>
      </c>
      <c r="E49" s="11">
        <f t="shared" si="0"/>
        <v>-267.72941299998638</v>
      </c>
      <c r="F49" s="9">
        <f t="shared" si="2"/>
        <v>267.72941299998638</v>
      </c>
      <c r="G49" s="9">
        <f>+SUMSQ($E$2:E49)/(A49)</f>
        <v>102553595.26265438</v>
      </c>
      <c r="H49" s="9">
        <f>+SUM($F$2:F49)/(A49)</f>
        <v>8086.3532202083306</v>
      </c>
      <c r="I49" s="10">
        <f t="shared" si="5"/>
        <v>0.70981854165614222</v>
      </c>
      <c r="J49" s="10">
        <f>+AVERAGE($I$2:I49)</f>
        <v>43.491548255226526</v>
      </c>
      <c r="K49" s="43">
        <f>+SUM($E$2:E49)/H49</f>
        <v>3.5099330589554674</v>
      </c>
    </row>
    <row r="50" spans="1:11" x14ac:dyDescent="0.3">
      <c r="A50" s="5">
        <f t="shared" si="4"/>
        <v>49</v>
      </c>
      <c r="B50" s="6">
        <f>+data!B50</f>
        <v>42280.234375</v>
      </c>
      <c r="C50" s="6"/>
      <c r="D50" s="22">
        <f t="shared" si="1"/>
        <v>40070.137300000002</v>
      </c>
      <c r="E50" s="23">
        <f t="shared" si="0"/>
        <v>-2210.0970749999979</v>
      </c>
      <c r="F50" s="22">
        <f t="shared" si="2"/>
        <v>2210.0970749999979</v>
      </c>
      <c r="G50" s="22">
        <f>+SUMSQ($E$2:E50)/(A50)</f>
        <v>100560349.01404762</v>
      </c>
      <c r="H50" s="22">
        <f>+SUM($F$2:F50)/(A50)</f>
        <v>7966.429625408161</v>
      </c>
      <c r="I50" s="24">
        <f t="shared" si="5"/>
        <v>5.2272583339954526</v>
      </c>
      <c r="J50" s="10">
        <f>+AVERAGE($I$2:I50)</f>
        <v>42.710644379283039</v>
      </c>
      <c r="K50" s="43">
        <f>+SUM($E$2:E50)/H50</f>
        <v>3.2853439557823587</v>
      </c>
    </row>
    <row r="51" spans="1:11" x14ac:dyDescent="0.3">
      <c r="A51" s="8">
        <f t="shared" si="4"/>
        <v>50</v>
      </c>
      <c r="B51" s="9">
        <f>+data!B51</f>
        <v>42569.761719000002</v>
      </c>
      <c r="C51" s="9"/>
      <c r="D51" s="9">
        <f t="shared" si="1"/>
        <v>43062.5</v>
      </c>
      <c r="E51" s="11">
        <f t="shared" si="0"/>
        <v>492.7382809999981</v>
      </c>
      <c r="F51" s="9">
        <f t="shared" si="2"/>
        <v>492.7382809999981</v>
      </c>
      <c r="G51" s="9">
        <f>+SUMSQ($E$2:E51)/(A51)</f>
        <v>98553997.854037941</v>
      </c>
      <c r="H51" s="9">
        <f>+SUM($F$2:F51)/(A51)</f>
        <v>7816.9557985199972</v>
      </c>
      <c r="I51" s="10">
        <f t="shared" si="5"/>
        <v>1.1574842355297377</v>
      </c>
      <c r="J51" s="10">
        <f>+AVERAGE($I$2:I51)</f>
        <v>41.879581176407974</v>
      </c>
      <c r="K51" s="43">
        <f>+SUM($E$2:E51)/H51</f>
        <v>3.4112000102455236</v>
      </c>
    </row>
    <row r="52" spans="1:11" x14ac:dyDescent="0.3">
      <c r="A52" s="5">
        <f t="shared" si="4"/>
        <v>51</v>
      </c>
      <c r="B52" s="6">
        <f>+data!B52</f>
        <v>61168.0625</v>
      </c>
      <c r="C52" s="6"/>
      <c r="D52" s="22">
        <f t="shared" si="1"/>
        <v>46446.072700000019</v>
      </c>
      <c r="E52" s="23">
        <f t="shared" si="0"/>
        <v>-14721.989799999981</v>
      </c>
      <c r="F52" s="22">
        <f t="shared" si="2"/>
        <v>14721.989799999981</v>
      </c>
      <c r="G52" s="22">
        <f>+SUMSQ($E$2:E52)/(A52)</f>
        <v>100871311.30143531</v>
      </c>
      <c r="H52" s="22">
        <f>+SUM($F$2:F52)/(A52)</f>
        <v>7952.3486220784289</v>
      </c>
      <c r="I52" s="24">
        <f t="shared" si="5"/>
        <v>24.068098936434321</v>
      </c>
      <c r="J52" s="10">
        <f>+AVERAGE($I$2:I52)</f>
        <v>41.530336426604563</v>
      </c>
      <c r="K52" s="43">
        <f>+SUM($E$2:E52)/H52</f>
        <v>1.5018468716074418</v>
      </c>
    </row>
    <row r="53" spans="1:11" x14ac:dyDescent="0.3">
      <c r="A53" s="8">
        <f t="shared" si="4"/>
        <v>52</v>
      </c>
      <c r="B53" s="9">
        <f>+data!B53</f>
        <v>71333.484375</v>
      </c>
      <c r="C53" s="9"/>
      <c r="D53" s="9">
        <f t="shared" si="1"/>
        <v>50239.561599999957</v>
      </c>
      <c r="E53" s="11">
        <f t="shared" si="0"/>
        <v>-21093.922775000043</v>
      </c>
      <c r="F53" s="9">
        <f t="shared" si="2"/>
        <v>21093.922775000043</v>
      </c>
      <c r="G53" s="9">
        <f>+SUMSQ($E$2:E53)/(A53)</f>
        <v>107488277.96943973</v>
      </c>
      <c r="H53" s="9">
        <f>+SUM($F$2:F53)/(A53)</f>
        <v>8205.0712019423063</v>
      </c>
      <c r="I53" s="10">
        <f t="shared" si="5"/>
        <v>29.570857164511029</v>
      </c>
      <c r="J53" s="10">
        <f>+AVERAGE($I$2:I53)</f>
        <v>41.300346440795074</v>
      </c>
      <c r="K53" s="43">
        <f>+SUM($E$2:E53)/H53</f>
        <v>-1.1152508795820866</v>
      </c>
    </row>
    <row r="54" spans="1:11" x14ac:dyDescent="0.3">
      <c r="A54" s="5">
        <f t="shared" si="4"/>
        <v>53</v>
      </c>
      <c r="B54" s="6">
        <f>+data!B54</f>
        <v>60609.496094000002</v>
      </c>
      <c r="C54" s="6"/>
      <c r="D54" s="22">
        <f t="shared" si="1"/>
        <v>54461.672900000005</v>
      </c>
      <c r="E54" s="23">
        <f t="shared" si="0"/>
        <v>-6147.8231939999969</v>
      </c>
      <c r="F54" s="22">
        <f t="shared" si="2"/>
        <v>6147.8231939999969</v>
      </c>
      <c r="G54" s="22">
        <f>+SUMSQ($E$2:E54)/(A54)</f>
        <v>106173324.23463301</v>
      </c>
      <c r="H54" s="22">
        <f>+SUM($F$2:F54)/(A54)</f>
        <v>8166.2552017924509</v>
      </c>
      <c r="I54" s="24">
        <f t="shared" si="5"/>
        <v>10.143333289663493</v>
      </c>
      <c r="J54" s="10">
        <f>+AVERAGE($I$2:I54)</f>
        <v>40.712478268132216</v>
      </c>
      <c r="K54" s="43">
        <f>+SUM($E$2:E54)/H54</f>
        <v>-1.873384518480619</v>
      </c>
    </row>
    <row r="55" spans="1:11" x14ac:dyDescent="0.3">
      <c r="A55" s="8">
        <f t="shared" si="4"/>
        <v>54</v>
      </c>
      <c r="B55" s="9">
        <f>+data!B55</f>
        <v>67489.609375</v>
      </c>
      <c r="C55" s="9"/>
      <c r="D55" s="9">
        <f t="shared" si="1"/>
        <v>59131.112800000003</v>
      </c>
      <c r="E55" s="11">
        <f t="shared" si="0"/>
        <v>-8358.4965749999974</v>
      </c>
      <c r="F55" s="9">
        <f t="shared" si="2"/>
        <v>8358.4965749999974</v>
      </c>
      <c r="G55" s="9">
        <f>+SUMSQ($E$2:E55)/(A55)</f>
        <v>105500937.95240438</v>
      </c>
      <c r="H55" s="9">
        <f>+SUM($F$2:F55)/(A55)</f>
        <v>8169.8152272222205</v>
      </c>
      <c r="I55" s="10">
        <f t="shared" si="5"/>
        <v>12.384864355276907</v>
      </c>
      <c r="J55" s="10">
        <f>+AVERAGE($I$2:I55)</f>
        <v>40.18789282530156</v>
      </c>
      <c r="K55" s="43">
        <f>+SUM($E$2:E55)/H55</f>
        <v>-2.8956631191821107</v>
      </c>
    </row>
    <row r="56" spans="1:11" x14ac:dyDescent="0.3">
      <c r="A56" s="5">
        <f t="shared" si="4"/>
        <v>55</v>
      </c>
      <c r="B56" s="6">
        <f>+data!B56</f>
        <v>62673.605469000002</v>
      </c>
      <c r="C56" s="6"/>
      <c r="D56" s="22">
        <f t="shared" si="1"/>
        <v>64266.587500000023</v>
      </c>
      <c r="E56" s="23">
        <f t="shared" si="0"/>
        <v>1592.9820310000214</v>
      </c>
      <c r="F56" s="22">
        <f t="shared" si="2"/>
        <v>1592.9820310000214</v>
      </c>
      <c r="G56" s="22">
        <f>+SUMSQ($E$2:E56)/(A56)</f>
        <v>103628877.11238046</v>
      </c>
      <c r="H56" s="22">
        <f>+SUM($F$2:F56)/(A56)</f>
        <v>8050.2364418363622</v>
      </c>
      <c r="I56" s="24">
        <f t="shared" si="5"/>
        <v>2.541711170243671</v>
      </c>
      <c r="J56" s="10">
        <f>+AVERAGE($I$2:I56)</f>
        <v>39.503416795209596</v>
      </c>
      <c r="K56" s="43">
        <f>+SUM($E$2:E56)/H56</f>
        <v>-2.7407953508464509</v>
      </c>
    </row>
    <row r="57" spans="1:11" x14ac:dyDescent="0.3">
      <c r="A57" s="8">
        <f t="shared" si="4"/>
        <v>56</v>
      </c>
      <c r="B57" s="9">
        <f>+data!B57</f>
        <v>64625.839844000002</v>
      </c>
      <c r="C57" s="9"/>
      <c r="D57" s="9">
        <f t="shared" si="1"/>
        <v>69886.803200000024</v>
      </c>
      <c r="E57" s="11">
        <f t="shared" si="0"/>
        <v>5260.963356000022</v>
      </c>
      <c r="F57" s="9">
        <f t="shared" si="2"/>
        <v>5260.963356000022</v>
      </c>
      <c r="G57" s="9">
        <f>+SUMSQ($E$2:E57)/(A57)</f>
        <v>102272606.72525179</v>
      </c>
      <c r="H57" s="9">
        <f>+SUM($F$2:F57)/(A57)</f>
        <v>8000.4279938749987</v>
      </c>
      <c r="I57" s="10">
        <f t="shared" si="5"/>
        <v>8.1406498835441621</v>
      </c>
      <c r="J57" s="10">
        <f>+AVERAGE($I$2:I57)</f>
        <v>38.943367386072715</v>
      </c>
      <c r="K57" s="43">
        <f>+SUM($E$2:E57)/H57</f>
        <v>-2.1002735440983824</v>
      </c>
    </row>
    <row r="58" spans="1:11" x14ac:dyDescent="0.3">
      <c r="A58" s="5">
        <f t="shared" si="4"/>
        <v>57</v>
      </c>
      <c r="B58" s="6">
        <f>+data!B58</f>
        <v>58969.800780999998</v>
      </c>
      <c r="C58" s="6"/>
      <c r="D58" s="22">
        <f t="shared" si="1"/>
        <v>76010.46610000002</v>
      </c>
      <c r="E58" s="23">
        <f t="shared" si="0"/>
        <v>17040.665319000022</v>
      </c>
      <c r="F58" s="22">
        <f t="shared" si="2"/>
        <v>17040.665319000022</v>
      </c>
      <c r="G58" s="22">
        <f>+SUMSQ($E$2:E58)/(A58)</f>
        <v>105572811.42330298</v>
      </c>
      <c r="H58" s="22">
        <f>+SUM($F$2:F58)/(A58)</f>
        <v>8159.0286487017538</v>
      </c>
      <c r="I58" s="24">
        <f t="shared" si="5"/>
        <v>28.897274695373405</v>
      </c>
      <c r="J58" s="10">
        <f>+AVERAGE($I$2:I58)</f>
        <v>38.767120145885002</v>
      </c>
      <c r="K58" s="43">
        <f>+SUM($E$2:E58)/H58</f>
        <v>2.9118424781860393E-2</v>
      </c>
    </row>
    <row r="59" spans="1:11" x14ac:dyDescent="0.3">
      <c r="A59" s="8">
        <v>58</v>
      </c>
      <c r="B59" s="9"/>
      <c r="C59" s="9"/>
      <c r="D59" s="9">
        <f t="shared" si="1"/>
        <v>82656.282400000026</v>
      </c>
      <c r="E59" s="11"/>
      <c r="F59" s="9"/>
      <c r="G59" s="9"/>
      <c r="H59" s="9"/>
      <c r="I59" s="10"/>
      <c r="J59" s="10"/>
      <c r="K59" s="10"/>
    </row>
  </sheetData>
  <conditionalFormatting sqref="K2:K58">
    <cfRule type="dataBar" priority="1">
      <dataBar>
        <cfvo type="min"/>
        <cfvo type="max"/>
        <color rgb="FF008AEF"/>
      </dataBar>
      <extLst>
        <ext xmlns:x14="http://schemas.microsoft.com/office/spreadsheetml/2009/9/main" uri="{B025F937-C7B1-47D3-B67F-A62EFF666E3E}">
          <x14:id>{CEA66304-4FBC-4C09-A657-F79BC1F5C5EF}</x14:id>
        </ext>
      </extLst>
    </cfRule>
  </conditionalFormatting>
  <conditionalFormatting sqref="K5:K58">
    <cfRule type="dataBar" priority="2">
      <dataBar>
        <cfvo type="min"/>
        <cfvo type="max"/>
        <color rgb="FF008AEF"/>
      </dataBar>
      <extLst>
        <ext xmlns:x14="http://schemas.microsoft.com/office/spreadsheetml/2009/9/main" uri="{B025F937-C7B1-47D3-B67F-A62EFF666E3E}">
          <x14:id>{CCA764D3-2C52-417E-A528-2DFFC9BAABF8}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EA66304-4FBC-4C09-A657-F79BC1F5C5EF}">
            <x14:dataBar minLength="0" maxLength="100" border="1" negativeBarBorderColorSameAsPositive="0">
              <x14:cfvo type="autoMin"/>
              <x14:cfvo type="autoMax"/>
              <x14:borderColor rgb="FF008AEF"/>
              <x14:negativeFillColor rgb="FFFF0000"/>
              <x14:negativeBorderColor rgb="FFFF0000"/>
              <x14:axisColor rgb="FF000000"/>
            </x14:dataBar>
          </x14:cfRule>
          <xm:sqref>K2:K58</xm:sqref>
        </x14:conditionalFormatting>
        <x14:conditionalFormatting xmlns:xm="http://schemas.microsoft.com/office/excel/2006/main">
          <x14:cfRule type="dataBar" id="{CCA764D3-2C52-417E-A528-2DFFC9BAABF8}">
            <x14:dataBar minLength="0" maxLength="100" border="1" negativeBarBorderColorSameAsPositive="0">
              <x14:cfvo type="autoMin"/>
              <x14:cfvo type="autoMax"/>
              <x14:borderColor rgb="FF008AEF"/>
              <x14:negativeFillColor rgb="FFFF0000"/>
              <x14:negativeBorderColor rgb="FFFF0000"/>
              <x14:axisColor rgb="FF000000"/>
            </x14:dataBar>
          </x14:cfRule>
          <xm:sqref>K5:K58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316D1-4A2E-42F7-BDE6-E2D86C2A3A01}">
  <sheetPr>
    <tabColor theme="9" tint="-0.499984740745262"/>
  </sheetPr>
  <dimension ref="A1:O59"/>
  <sheetViews>
    <sheetView zoomScale="70" zoomScaleNormal="70" workbookViewId="0">
      <pane ySplit="1" topLeftCell="A24" activePane="bottomLeft" state="frozen"/>
      <selection pane="bottomLeft" activeCell="L59" sqref="L59"/>
    </sheetView>
  </sheetViews>
  <sheetFormatPr baseColWidth="10" defaultColWidth="9.109375" defaultRowHeight="14.4" x14ac:dyDescent="0.3"/>
  <cols>
    <col min="1" max="1" width="9.109375" style="4"/>
    <col min="2" max="2" width="16" style="4" bestFit="1" customWidth="1"/>
    <col min="3" max="3" width="15.88671875" style="4" customWidth="1"/>
    <col min="4" max="5" width="16.5546875" style="4" bestFit="1" customWidth="1"/>
    <col min="6" max="6" width="14.88671875" style="4" bestFit="1" customWidth="1"/>
    <col min="7" max="7" width="25.44140625" style="4" customWidth="1"/>
    <col min="8" max="8" width="16.109375" style="4" bestFit="1" customWidth="1"/>
    <col min="9" max="9" width="9.44140625" style="4" bestFit="1" customWidth="1"/>
    <col min="10" max="10" width="9.21875" style="4" bestFit="1" customWidth="1"/>
    <col min="11" max="11" width="11.44140625" style="4" customWidth="1"/>
    <col min="12" max="13" width="9.109375" style="4"/>
    <col min="14" max="14" width="14.88671875" style="4" bestFit="1" customWidth="1"/>
    <col min="15" max="15" width="16.21875" style="4" customWidth="1"/>
    <col min="16" max="16" width="14.88671875" style="4" bestFit="1" customWidth="1"/>
    <col min="17" max="17" width="17.5546875" style="4" bestFit="1" customWidth="1"/>
    <col min="18" max="18" width="29.44140625" style="4" bestFit="1" customWidth="1"/>
    <col min="19" max="21" width="9.109375" style="4"/>
    <col min="22" max="22" width="14.88671875" style="4" bestFit="1" customWidth="1"/>
    <col min="23" max="16384" width="9.109375" style="4"/>
  </cols>
  <sheetData>
    <row r="1" spans="1:15" x14ac:dyDescent="0.3">
      <c r="A1" s="3" t="s">
        <v>7</v>
      </c>
      <c r="B1" s="3" t="s">
        <v>8</v>
      </c>
      <c r="C1" s="3" t="s">
        <v>9</v>
      </c>
      <c r="D1" s="3" t="s">
        <v>10</v>
      </c>
      <c r="E1" s="3" t="s">
        <v>11</v>
      </c>
      <c r="F1" s="3" t="s">
        <v>12</v>
      </c>
      <c r="G1" s="3" t="s">
        <v>13</v>
      </c>
      <c r="H1" s="3" t="s">
        <v>14</v>
      </c>
      <c r="I1" s="3" t="s">
        <v>15</v>
      </c>
      <c r="J1" s="3" t="s">
        <v>16</v>
      </c>
      <c r="K1" s="3" t="s">
        <v>17</v>
      </c>
    </row>
    <row r="2" spans="1:15" x14ac:dyDescent="0.3">
      <c r="A2" s="21">
        <v>1</v>
      </c>
      <c r="B2" s="22">
        <f>+data!B2</f>
        <v>7194.8920900000003</v>
      </c>
      <c r="C2" s="22"/>
      <c r="D2" s="22">
        <f>+$O$4*(A2^4)+$O$5*(A2^3)+$O$6*(A2^2)+($O$7*A2)+$O$8</f>
        <v>-5087.8285999999989</v>
      </c>
      <c r="E2" s="23">
        <f t="shared" ref="E2:E58" si="0">+D2-B2</f>
        <v>-12282.720689999998</v>
      </c>
      <c r="F2" s="22">
        <f>+ABS(E2)</f>
        <v>12282.720689999998</v>
      </c>
      <c r="G2" s="22">
        <f>+SUMSQ($E2:E$2)/(A2)</f>
        <v>150865227.54855403</v>
      </c>
      <c r="H2" s="22">
        <f>+SUM($F2:F$2)/(A2)</f>
        <v>12282.720689999998</v>
      </c>
      <c r="I2" s="10">
        <f>+(F2/B2)*100</f>
        <v>170.71445320314731</v>
      </c>
      <c r="J2" s="10">
        <f>+AVERAGE($I2:I$2)</f>
        <v>170.71445320314731</v>
      </c>
      <c r="K2" s="11">
        <f>+SUM($E2:E$2)/H2</f>
        <v>-1</v>
      </c>
    </row>
    <row r="3" spans="1:15" x14ac:dyDescent="0.3">
      <c r="A3" s="8">
        <f>+A2+1</f>
        <v>2</v>
      </c>
      <c r="B3" s="9">
        <f>+data!B3</f>
        <v>9346.3574219999991</v>
      </c>
      <c r="C3" s="9"/>
      <c r="D3" s="9">
        <f t="shared" ref="D3:D59" si="1">+$O$4*(A3^4)+$O$5*(A3^3)+$O$6*(A3^2)+($O$7*A3)+$O$8</f>
        <v>-680.24799999999959</v>
      </c>
      <c r="E3" s="11">
        <f t="shared" si="0"/>
        <v>-10026.605421999999</v>
      </c>
      <c r="F3" s="9">
        <f t="shared" ref="F3:F58" si="2">+ABS(E3)</f>
        <v>10026.605421999999</v>
      </c>
      <c r="G3" s="9">
        <f>+SUMSQ($E$2:E3)/(A3)</f>
        <v>125699021.9185169</v>
      </c>
      <c r="H3" s="9">
        <f>+SUM($F$2:F3)/(A3)</f>
        <v>11154.663055999998</v>
      </c>
      <c r="I3" s="10">
        <f t="shared" ref="I3:I58" si="3">+(F3/B3)*100</f>
        <v>107.27821513008686</v>
      </c>
      <c r="J3" s="10">
        <f>+AVERAGE($I$2:I3)</f>
        <v>138.99633416661709</v>
      </c>
      <c r="K3" s="11">
        <f>+SUM($E$2:E3)/H3</f>
        <v>-2</v>
      </c>
    </row>
    <row r="4" spans="1:15" x14ac:dyDescent="0.3">
      <c r="A4" s="21">
        <f t="shared" ref="A4:A58" si="4">+A3+1</f>
        <v>3</v>
      </c>
      <c r="B4" s="22">
        <f>+data!B4</f>
        <v>8599.7587889999995</v>
      </c>
      <c r="C4" s="22"/>
      <c r="D4" s="22">
        <f t="shared" si="1"/>
        <v>3516.6532000000007</v>
      </c>
      <c r="E4" s="23">
        <f t="shared" si="0"/>
        <v>-5083.1055889999989</v>
      </c>
      <c r="F4" s="22">
        <f t="shared" si="2"/>
        <v>5083.1055889999989</v>
      </c>
      <c r="G4" s="22">
        <f>+SUMSQ($E$2:E4)/(A4)</f>
        <v>92412002.088652268</v>
      </c>
      <c r="H4" s="22">
        <f>+SUM($F$2:F4)/(A4)</f>
        <v>9130.8105669999986</v>
      </c>
      <c r="I4" s="10">
        <f t="shared" si="3"/>
        <v>59.10753677768065</v>
      </c>
      <c r="J4" s="10">
        <f>+AVERAGE($I$2:I4)</f>
        <v>112.3667350369716</v>
      </c>
      <c r="K4" s="11">
        <f>+SUM($E$2:E4)/H4</f>
        <v>-3</v>
      </c>
      <c r="N4" s="4" t="s">
        <v>28</v>
      </c>
      <c r="O4" s="4">
        <v>4.0099999999999997E-2</v>
      </c>
    </row>
    <row r="5" spans="1:15" x14ac:dyDescent="0.3">
      <c r="A5" s="8">
        <f t="shared" si="4"/>
        <v>4</v>
      </c>
      <c r="B5" s="9">
        <f>+data!B5</f>
        <v>6437.3193359999996</v>
      </c>
      <c r="C5" s="9"/>
      <c r="D5" s="9">
        <f t="shared" si="1"/>
        <v>7496.0488000000005</v>
      </c>
      <c r="E5" s="11">
        <f t="shared" si="0"/>
        <v>1058.7294640000009</v>
      </c>
      <c r="F5" s="9">
        <f t="shared" si="2"/>
        <v>1058.7294640000009</v>
      </c>
      <c r="G5" s="9">
        <f>+SUMSQ($E$2:E5)/(A5)</f>
        <v>69589228.585974634</v>
      </c>
      <c r="H5" s="9">
        <f>+SUM($F$2:F5)/(A5)</f>
        <v>7112.7902912499985</v>
      </c>
      <c r="I5" s="10">
        <f t="shared" si="3"/>
        <v>16.446744502469731</v>
      </c>
      <c r="J5" s="10">
        <f>+AVERAGE($I$2:I5)</f>
        <v>88.386737403346146</v>
      </c>
      <c r="K5" s="11">
        <f>+SUM($E$2:E5)/H5</f>
        <v>-3.7023026349300845</v>
      </c>
      <c r="N5" s="4" t="s">
        <v>29</v>
      </c>
      <c r="O5" s="4">
        <v>-1.5387</v>
      </c>
    </row>
    <row r="6" spans="1:15" x14ac:dyDescent="0.3">
      <c r="A6" s="21">
        <f t="shared" si="4"/>
        <v>5</v>
      </c>
      <c r="B6" s="22">
        <f>+data!B6</f>
        <v>8672.7822269999997</v>
      </c>
      <c r="C6" s="22"/>
      <c r="D6" s="22">
        <f t="shared" si="1"/>
        <v>11252.075000000001</v>
      </c>
      <c r="E6" s="23">
        <f t="shared" si="0"/>
        <v>2579.292773000001</v>
      </c>
      <c r="F6" s="22">
        <f t="shared" si="2"/>
        <v>2579.292773000001</v>
      </c>
      <c r="G6" s="22">
        <f>+SUMSQ($E$2:E6)/(A6)</f>
        <v>57001933.110549711</v>
      </c>
      <c r="H6" s="22">
        <f>+SUM($F$2:F6)/(A6)</f>
        <v>6206.0907875999992</v>
      </c>
      <c r="I6" s="10">
        <f t="shared" si="3"/>
        <v>29.740084617485014</v>
      </c>
      <c r="J6" s="10">
        <f>+AVERAGE($I$2:I6)</f>
        <v>76.657406846173927</v>
      </c>
      <c r="K6" s="11">
        <f>+SUM($E$2:E6)/H6</f>
        <v>-3.8275961917060881</v>
      </c>
      <c r="N6" s="4" t="s">
        <v>30</v>
      </c>
      <c r="O6" s="4">
        <v>-97.11</v>
      </c>
    </row>
    <row r="7" spans="1:15" x14ac:dyDescent="0.3">
      <c r="A7" s="8">
        <f t="shared" si="4"/>
        <v>6</v>
      </c>
      <c r="B7" s="9">
        <f>+data!B7</f>
        <v>9463.6054690000001</v>
      </c>
      <c r="C7" s="9"/>
      <c r="D7" s="9">
        <f t="shared" si="1"/>
        <v>14779.830399999999</v>
      </c>
      <c r="E7" s="11">
        <f t="shared" si="0"/>
        <v>5316.2249309999988</v>
      </c>
      <c r="F7" s="9">
        <f t="shared" si="2"/>
        <v>5316.2249309999988</v>
      </c>
      <c r="G7" s="9">
        <f>+SUMSQ($E$2:E7)/(A7)</f>
        <v>52211985.511622421</v>
      </c>
      <c r="H7" s="9">
        <f>+SUM($F$2:F7)/(A7)</f>
        <v>6057.7798114999996</v>
      </c>
      <c r="I7" s="10">
        <f t="shared" si="3"/>
        <v>56.175470843690547</v>
      </c>
      <c r="J7" s="10">
        <f>+AVERAGE($I$2:I7)</f>
        <v>73.243750845760033</v>
      </c>
      <c r="K7" s="11">
        <f>+SUM($E$2:E7)/H7</f>
        <v>-3.0437198291686363</v>
      </c>
      <c r="N7" s="4" t="s">
        <v>31</v>
      </c>
      <c r="O7" s="4">
        <v>4709.08</v>
      </c>
    </row>
    <row r="8" spans="1:15" x14ac:dyDescent="0.3">
      <c r="A8" s="21">
        <f t="shared" si="4"/>
        <v>7</v>
      </c>
      <c r="B8" s="22">
        <f>+data!B8</f>
        <v>9145.9853519999997</v>
      </c>
      <c r="C8" s="22"/>
      <c r="D8" s="22">
        <f t="shared" si="1"/>
        <v>18075.376</v>
      </c>
      <c r="E8" s="23">
        <f t="shared" si="0"/>
        <v>8929.3906480000005</v>
      </c>
      <c r="F8" s="22">
        <f t="shared" si="2"/>
        <v>8929.3906480000005</v>
      </c>
      <c r="G8" s="22">
        <f>+SUMSQ($E$2:E8)/(A8)</f>
        <v>56143704.344903484</v>
      </c>
      <c r="H8" s="22">
        <f>+SUM($F$2:F8)/(A8)</f>
        <v>6468.0099309999996</v>
      </c>
      <c r="I8" s="10">
        <f t="shared" si="3"/>
        <v>97.631805697648147</v>
      </c>
      <c r="J8" s="10">
        <f>+AVERAGE($I$2:I8)</f>
        <v>76.727758681744049</v>
      </c>
      <c r="K8" s="11">
        <f>+SUM($E$2:E8)/H8</f>
        <v>-1.4701266674663045</v>
      </c>
      <c r="N8" s="4" t="s">
        <v>32</v>
      </c>
      <c r="O8" s="4">
        <v>-9698.2999999999993</v>
      </c>
    </row>
    <row r="9" spans="1:15" x14ac:dyDescent="0.3">
      <c r="A9" s="8">
        <f t="shared" si="4"/>
        <v>8</v>
      </c>
      <c r="B9" s="9">
        <f>+data!B9</f>
        <v>11322.570313</v>
      </c>
      <c r="C9" s="9"/>
      <c r="D9" s="9">
        <f t="shared" si="1"/>
        <v>21135.735199999999</v>
      </c>
      <c r="E9" s="11">
        <f t="shared" si="0"/>
        <v>9813.164886999999</v>
      </c>
      <c r="F9" s="9">
        <f t="shared" si="2"/>
        <v>9813.164886999999</v>
      </c>
      <c r="G9" s="9">
        <f>+SUMSQ($E$2:E9)/(A9)</f>
        <v>61163016.939221762</v>
      </c>
      <c r="H9" s="9">
        <f>+SUM($F$2:F9)/(A9)</f>
        <v>6886.1543004999994</v>
      </c>
      <c r="I9" s="10">
        <f t="shared" si="3"/>
        <v>86.669056722332925</v>
      </c>
      <c r="J9" s="10">
        <f>+AVERAGE($I$2:I9)</f>
        <v>77.970420936817661</v>
      </c>
      <c r="K9" s="11">
        <f>+SUM($E$2:E9)/H9</f>
        <v>4.4200433030945438E-2</v>
      </c>
    </row>
    <row r="10" spans="1:15" x14ac:dyDescent="0.3">
      <c r="A10" s="21">
        <f t="shared" si="4"/>
        <v>9</v>
      </c>
      <c r="B10" s="22">
        <f>+data!B10</f>
        <v>11679.316406</v>
      </c>
      <c r="C10" s="22"/>
      <c r="D10" s="22">
        <f t="shared" si="1"/>
        <v>23958.893800000002</v>
      </c>
      <c r="E10" s="23">
        <f t="shared" si="0"/>
        <v>12279.577394000002</v>
      </c>
      <c r="F10" s="22">
        <f t="shared" si="2"/>
        <v>12279.577394000002</v>
      </c>
      <c r="G10" s="22">
        <f>+SUMSQ($E$2:E10)/(A10)</f>
        <v>71121350.721001104</v>
      </c>
      <c r="H10" s="22">
        <f>+SUM($F$2:F10)/(A10)</f>
        <v>7485.4235331111104</v>
      </c>
      <c r="I10" s="10">
        <f t="shared" si="3"/>
        <v>105.13952158785278</v>
      </c>
      <c r="J10" s="10">
        <f>+AVERAGE($I$2:I10)</f>
        <v>80.989209898043782</v>
      </c>
      <c r="K10" s="11">
        <f>+SUM($E$2:E10)/H10</f>
        <v>1.681127105278148</v>
      </c>
    </row>
    <row r="11" spans="1:15" x14ac:dyDescent="0.3">
      <c r="A11" s="8">
        <f t="shared" si="4"/>
        <v>10</v>
      </c>
      <c r="B11" s="9">
        <f>+data!B11</f>
        <v>10795.254883</v>
      </c>
      <c r="C11" s="9"/>
      <c r="D11" s="9">
        <f t="shared" si="1"/>
        <v>26543.800000000007</v>
      </c>
      <c r="E11" s="11">
        <f t="shared" si="0"/>
        <v>15748.545117000007</v>
      </c>
      <c r="F11" s="9">
        <f t="shared" si="2"/>
        <v>15748.545117000007</v>
      </c>
      <c r="G11" s="9">
        <f>+SUMSQ($E$2:E11)/(A11)</f>
        <v>88810882.979119465</v>
      </c>
      <c r="H11" s="9">
        <f>+SUM($F$2:F11)/(A11)</f>
        <v>8311.7356915</v>
      </c>
      <c r="I11" s="10">
        <f t="shared" si="3"/>
        <v>145.88395816202802</v>
      </c>
      <c r="J11" s="10">
        <f>+AVERAGE($I$2:I11)</f>
        <v>87.478684724442203</v>
      </c>
      <c r="K11" s="11">
        <f>+SUM($E$2:E11)/H11</f>
        <v>3.4087336946931859</v>
      </c>
    </row>
    <row r="12" spans="1:15" x14ac:dyDescent="0.3">
      <c r="A12" s="21">
        <f t="shared" si="4"/>
        <v>11</v>
      </c>
      <c r="B12" s="22">
        <f>+data!B12</f>
        <v>13780.995117</v>
      </c>
      <c r="C12" s="22"/>
      <c r="D12" s="22">
        <f t="shared" si="1"/>
        <v>28890.364399999995</v>
      </c>
      <c r="E12" s="23">
        <f t="shared" si="0"/>
        <v>15109.369282999995</v>
      </c>
      <c r="F12" s="22">
        <f t="shared" si="2"/>
        <v>15109.369282999995</v>
      </c>
      <c r="G12" s="22">
        <f>+SUMSQ($E$2:E12)/(A12)</f>
        <v>101491079.08375077</v>
      </c>
      <c r="H12" s="22">
        <f>+SUM($F$2:F12)/(A12)</f>
        <v>8929.7023816363635</v>
      </c>
      <c r="I12" s="10">
        <f t="shared" si="3"/>
        <v>109.63917449155277</v>
      </c>
      <c r="J12" s="10">
        <f>+AVERAGE($I$2:I12)</f>
        <v>89.493274703270444</v>
      </c>
      <c r="K12" s="11">
        <f>+SUM($E$2:E12)/H12</f>
        <v>4.8648724156066789</v>
      </c>
    </row>
    <row r="13" spans="1:15" x14ac:dyDescent="0.3">
      <c r="A13" s="8">
        <f t="shared" si="4"/>
        <v>12</v>
      </c>
      <c r="B13" s="9">
        <f>+data!B13</f>
        <v>19633.769531000002</v>
      </c>
      <c r="C13" s="9"/>
      <c r="D13" s="9">
        <f t="shared" si="1"/>
        <v>30999.459999999995</v>
      </c>
      <c r="E13" s="11">
        <f t="shared" si="0"/>
        <v>11365.690468999994</v>
      </c>
      <c r="F13" s="9">
        <f t="shared" si="2"/>
        <v>11365.690468999994</v>
      </c>
      <c r="G13" s="9">
        <f>+SUMSQ($E$2:E13)/(A13)</f>
        <v>103798399.1465313</v>
      </c>
      <c r="H13" s="9">
        <f>+SUM($F$2:F13)/(A13)</f>
        <v>9132.7013889166647</v>
      </c>
      <c r="I13" s="10">
        <f t="shared" si="3"/>
        <v>57.888478577965195</v>
      </c>
      <c r="J13" s="10">
        <f>+AVERAGE($I$2:I13)</f>
        <v>86.85954169282833</v>
      </c>
      <c r="K13" s="11">
        <f>+SUM($E$2:E13)/H13</f>
        <v>6.0012422317359224</v>
      </c>
    </row>
    <row r="14" spans="1:15" x14ac:dyDescent="0.3">
      <c r="A14" s="21">
        <f t="shared" si="4"/>
        <v>13</v>
      </c>
      <c r="B14" s="22">
        <f>+data!B14</f>
        <v>28994.009765999999</v>
      </c>
      <c r="C14" s="22"/>
      <c r="D14" s="22">
        <f t="shared" si="1"/>
        <v>32872.922200000001</v>
      </c>
      <c r="E14" s="23">
        <f t="shared" si="0"/>
        <v>3878.9124340000017</v>
      </c>
      <c r="F14" s="22">
        <f t="shared" si="2"/>
        <v>3878.9124340000017</v>
      </c>
      <c r="G14" s="22">
        <f>+SUMSQ($E$2:E14)/(A14)</f>
        <v>96971288.571462721</v>
      </c>
      <c r="H14" s="22">
        <f>+SUM($F$2:F14)/(A14)</f>
        <v>8728.5637769999994</v>
      </c>
      <c r="I14" s="10">
        <f t="shared" si="3"/>
        <v>13.378323540984082</v>
      </c>
      <c r="J14" s="10">
        <f>+AVERAGE($I$2:I14)</f>
        <v>81.207140296532629</v>
      </c>
      <c r="K14" s="11">
        <f>+SUM($E$2:E14)/H14</f>
        <v>6.7234962358458583</v>
      </c>
    </row>
    <row r="15" spans="1:15" x14ac:dyDescent="0.3">
      <c r="A15" s="8">
        <f t="shared" si="4"/>
        <v>14</v>
      </c>
      <c r="B15" s="9">
        <f>+data!B15</f>
        <v>33114.578125</v>
      </c>
      <c r="C15" s="9"/>
      <c r="D15" s="9">
        <f t="shared" si="1"/>
        <v>34513.54879999999</v>
      </c>
      <c r="E15" s="11">
        <f t="shared" si="0"/>
        <v>1398.9706749999896</v>
      </c>
      <c r="F15" s="9">
        <f t="shared" si="2"/>
        <v>1398.9706749999896</v>
      </c>
      <c r="G15" s="9">
        <f>+SUMSQ($E$2:E15)/(A15)</f>
        <v>90184562.169894665</v>
      </c>
      <c r="H15" s="9">
        <f>+SUM($F$2:F15)/(A15)</f>
        <v>8205.0214125714265</v>
      </c>
      <c r="I15" s="10">
        <f t="shared" si="3"/>
        <v>4.2246368645229104</v>
      </c>
      <c r="J15" s="10">
        <f>+AVERAGE($I$2:I15)</f>
        <v>75.708390051389074</v>
      </c>
      <c r="K15" s="11">
        <f>+SUM($E$2:E15)/H15</f>
        <v>7.3230078695394187</v>
      </c>
    </row>
    <row r="16" spans="1:15" x14ac:dyDescent="0.3">
      <c r="A16" s="21">
        <f t="shared" si="4"/>
        <v>15</v>
      </c>
      <c r="B16" s="22">
        <f>+data!B16</f>
        <v>45159.503905999998</v>
      </c>
      <c r="C16" s="22"/>
      <c r="D16" s="22">
        <f t="shared" si="1"/>
        <v>35925.099999999991</v>
      </c>
      <c r="E16" s="23">
        <f t="shared" si="0"/>
        <v>-9234.4039060000068</v>
      </c>
      <c r="F16" s="22">
        <f t="shared" si="2"/>
        <v>9234.4039060000068</v>
      </c>
      <c r="G16" s="22">
        <f>+SUMSQ($E$2:E16)/(A16)</f>
        <v>89857205.725178227</v>
      </c>
      <c r="H16" s="22">
        <f>+SUM($F$2:F16)/(A16)</f>
        <v>8273.6469121333321</v>
      </c>
      <c r="I16" s="10">
        <f t="shared" si="3"/>
        <v>20.448417514110695</v>
      </c>
      <c r="J16" s="10">
        <f>+AVERAGE($I$2:I16)</f>
        <v>72.024391882237168</v>
      </c>
      <c r="K16" s="11">
        <f>+SUM($E$2:E16)/H16</f>
        <v>6.1461448630865272</v>
      </c>
    </row>
    <row r="17" spans="1:11" x14ac:dyDescent="0.3">
      <c r="A17" s="8">
        <f t="shared" si="4"/>
        <v>16</v>
      </c>
      <c r="B17" s="9">
        <f>+data!B17</f>
        <v>58926.5625</v>
      </c>
      <c r="C17" s="9"/>
      <c r="D17" s="9">
        <f t="shared" si="1"/>
        <v>37112.2984</v>
      </c>
      <c r="E17" s="11">
        <f t="shared" si="0"/>
        <v>-21814.2641</v>
      </c>
      <c r="F17" s="9">
        <f t="shared" si="2"/>
        <v>21814.2641</v>
      </c>
      <c r="G17" s="9">
        <f>+SUMSQ($E$2:E17)/(A17)</f>
        <v>113982512.75638889</v>
      </c>
      <c r="H17" s="9">
        <f>+SUM($F$2:F17)/(A17)</f>
        <v>9119.9354863749977</v>
      </c>
      <c r="I17" s="10">
        <f t="shared" si="3"/>
        <v>37.019407164638189</v>
      </c>
      <c r="J17" s="10">
        <f>+AVERAGE($I$2:I17)</f>
        <v>69.836580337387232</v>
      </c>
      <c r="K17" s="11">
        <f>+SUM($E$2:E17)/H17</f>
        <v>3.1838787030215667</v>
      </c>
    </row>
    <row r="18" spans="1:11" x14ac:dyDescent="0.3">
      <c r="A18" s="21">
        <f t="shared" si="4"/>
        <v>17</v>
      </c>
      <c r="B18" s="22">
        <f>+data!B18</f>
        <v>57714.664062999997</v>
      </c>
      <c r="C18" s="22"/>
      <c r="D18" s="22">
        <f t="shared" si="1"/>
        <v>38080.828999999998</v>
      </c>
      <c r="E18" s="23">
        <f t="shared" si="0"/>
        <v>-19633.835062999999</v>
      </c>
      <c r="F18" s="22">
        <f t="shared" si="2"/>
        <v>19633.835062999999</v>
      </c>
      <c r="G18" s="22">
        <f>+SUMSQ($E$2:E18)/(A18)</f>
        <v>129953393.14019473</v>
      </c>
      <c r="H18" s="22">
        <f>+SUM($F$2:F18)/(A18)</f>
        <v>9738.4001673529401</v>
      </c>
      <c r="I18" s="10">
        <f t="shared" si="3"/>
        <v>34.018798136931295</v>
      </c>
      <c r="J18" s="10">
        <f>+AVERAGE($I$2:I18)</f>
        <v>67.729651972654537</v>
      </c>
      <c r="K18" s="11">
        <f>+SUM($E$2:E18)/H18</f>
        <v>0.96555215881582179</v>
      </c>
    </row>
    <row r="19" spans="1:11" x14ac:dyDescent="0.3">
      <c r="A19" s="8">
        <f t="shared" si="4"/>
        <v>18</v>
      </c>
      <c r="B19" s="9">
        <f>+data!B19</f>
        <v>37293.792969000002</v>
      </c>
      <c r="C19" s="9"/>
      <c r="D19" s="9">
        <f t="shared" si="1"/>
        <v>38837.339200000002</v>
      </c>
      <c r="E19" s="11">
        <f t="shared" si="0"/>
        <v>1543.5462310000003</v>
      </c>
      <c r="F19" s="9">
        <f t="shared" si="2"/>
        <v>1543.5462310000003</v>
      </c>
      <c r="G19" s="9">
        <f>+SUMSQ($E$2:E19)/(A19)</f>
        <v>122866123.24169691</v>
      </c>
      <c r="H19" s="9">
        <f>+SUM($F$2:F19)/(A19)</f>
        <v>9283.1305042222211</v>
      </c>
      <c r="I19" s="10">
        <f t="shared" si="3"/>
        <v>4.138882393332997</v>
      </c>
      <c r="J19" s="10">
        <f>+AVERAGE($I$2:I19)</f>
        <v>64.196831440470007</v>
      </c>
      <c r="K19" s="11">
        <f>+SUM($E$2:E19)/H19</f>
        <v>1.1791797531038946</v>
      </c>
    </row>
    <row r="20" spans="1:11" x14ac:dyDescent="0.3">
      <c r="A20" s="21">
        <f t="shared" si="4"/>
        <v>19</v>
      </c>
      <c r="B20" s="22">
        <f>+data!B20</f>
        <v>35035.984375</v>
      </c>
      <c r="C20" s="22"/>
      <c r="D20" s="22">
        <f t="shared" si="1"/>
        <v>39389.438800000004</v>
      </c>
      <c r="E20" s="23">
        <f t="shared" si="0"/>
        <v>4353.4544250000035</v>
      </c>
      <c r="F20" s="22">
        <f t="shared" si="2"/>
        <v>4353.4544250000035</v>
      </c>
      <c r="G20" s="22">
        <f>+SUMSQ($E$2:E20)/(A20)</f>
        <v>117396988.6200577</v>
      </c>
      <c r="H20" s="22">
        <f>+SUM($F$2:F20)/(A20)</f>
        <v>9023.6738684736829</v>
      </c>
      <c r="I20" s="10">
        <f t="shared" si="3"/>
        <v>12.425666076350977</v>
      </c>
      <c r="J20" s="10">
        <f>+AVERAGE($I$2:I20)</f>
        <v>61.472033263411106</v>
      </c>
      <c r="K20" s="11">
        <f>+SUM($E$2:E20)/H20</f>
        <v>1.6955326825866233</v>
      </c>
    </row>
    <row r="21" spans="1:11" x14ac:dyDescent="0.3">
      <c r="A21" s="8">
        <f t="shared" si="4"/>
        <v>20</v>
      </c>
      <c r="B21" s="9">
        <f>+data!B21</f>
        <v>41460.84375</v>
      </c>
      <c r="C21" s="9"/>
      <c r="D21" s="9">
        <f t="shared" si="1"/>
        <v>39745.700000000012</v>
      </c>
      <c r="E21" s="11">
        <f t="shared" si="0"/>
        <v>-1715.1437499999884</v>
      </c>
      <c r="F21" s="9">
        <f t="shared" si="2"/>
        <v>1715.1437499999884</v>
      </c>
      <c r="G21" s="9">
        <f>+SUMSQ($E$2:E21)/(A21)</f>
        <v>111674225.09321304</v>
      </c>
      <c r="H21" s="9">
        <f>+SUM($F$2:F21)/(A21)</f>
        <v>8658.2473625499988</v>
      </c>
      <c r="I21" s="10">
        <f t="shared" si="3"/>
        <v>4.1367796573121796</v>
      </c>
      <c r="J21" s="10">
        <f>+AVERAGE($I$2:I21)</f>
        <v>58.605270583106162</v>
      </c>
      <c r="K21" s="11">
        <f>+SUM($E$2:E21)/H21</f>
        <v>1.5690000114525555</v>
      </c>
    </row>
    <row r="22" spans="1:11" x14ac:dyDescent="0.3">
      <c r="A22" s="21">
        <f t="shared" si="4"/>
        <v>21</v>
      </c>
      <c r="B22" s="22">
        <f>+data!B22</f>
        <v>47099.773437999997</v>
      </c>
      <c r="C22" s="22"/>
      <c r="D22" s="22">
        <f t="shared" si="1"/>
        <v>39915.657399999996</v>
      </c>
      <c r="E22" s="23">
        <f t="shared" si="0"/>
        <v>-7184.1160380000001</v>
      </c>
      <c r="F22" s="22">
        <f t="shared" si="2"/>
        <v>7184.1160380000001</v>
      </c>
      <c r="G22" s="22">
        <f>+SUMSQ($E$2:E22)/(A22)</f>
        <v>108814096.43389094</v>
      </c>
      <c r="H22" s="22">
        <f>+SUM($F$2:F22)/(A22)</f>
        <v>8588.0506328095234</v>
      </c>
      <c r="I22" s="10">
        <f t="shared" si="3"/>
        <v>15.252973663359217</v>
      </c>
      <c r="J22" s="10">
        <f>+AVERAGE($I$2:I22)</f>
        <v>56.54087549168964</v>
      </c>
      <c r="K22" s="11">
        <f>+SUM($E$2:E22)/H22</f>
        <v>0.74530000423461273</v>
      </c>
    </row>
    <row r="23" spans="1:11" x14ac:dyDescent="0.3">
      <c r="A23" s="8">
        <f t="shared" si="4"/>
        <v>22</v>
      </c>
      <c r="B23" s="9">
        <f>+data!B23</f>
        <v>43816.742187999997</v>
      </c>
      <c r="C23" s="9"/>
      <c r="D23" s="9">
        <f t="shared" si="1"/>
        <v>39909.80799999999</v>
      </c>
      <c r="E23" s="11">
        <f t="shared" si="0"/>
        <v>-3906.9341880000065</v>
      </c>
      <c r="F23" s="9">
        <f t="shared" si="2"/>
        <v>3906.9341880000065</v>
      </c>
      <c r="G23" s="9">
        <f>+SUMSQ($E$2:E23)/(A23)</f>
        <v>104561825.44823059</v>
      </c>
      <c r="H23" s="9">
        <f>+SUM($F$2:F23)/(A23)</f>
        <v>8375.2726125909085</v>
      </c>
      <c r="I23" s="10">
        <f t="shared" si="3"/>
        <v>8.916532797525031</v>
      </c>
      <c r="J23" s="10">
        <f>+AVERAGE($I$2:I23)</f>
        <v>54.376132641954882</v>
      </c>
      <c r="K23" s="11">
        <f>+SUM($E$2:E23)/H23</f>
        <v>0.29775030621105436</v>
      </c>
    </row>
    <row r="24" spans="1:11" x14ac:dyDescent="0.3">
      <c r="A24" s="21">
        <f t="shared" si="4"/>
        <v>23</v>
      </c>
      <c r="B24" s="22">
        <f>+data!B24</f>
        <v>61320.449219000002</v>
      </c>
      <c r="C24" s="22"/>
      <c r="D24" s="22">
        <f t="shared" si="1"/>
        <v>39739.611199999999</v>
      </c>
      <c r="E24" s="23">
        <f t="shared" si="0"/>
        <v>-21580.838019000003</v>
      </c>
      <c r="F24" s="22">
        <f t="shared" si="2"/>
        <v>21580.838019000003</v>
      </c>
      <c r="G24" s="22">
        <f>+SUMSQ($E$2:E24)/(A24)</f>
        <v>120264901.28101692</v>
      </c>
      <c r="H24" s="22">
        <f>+SUM($F$2:F24)/(A24)</f>
        <v>8949.4276302608705</v>
      </c>
      <c r="I24" s="10">
        <f t="shared" si="3"/>
        <v>35.19354194866731</v>
      </c>
      <c r="J24" s="10">
        <f>+AVERAGE($I$2:I24)</f>
        <v>53.542106959638033</v>
      </c>
      <c r="K24" s="11">
        <f>+SUM($E$2:E24)/H24</f>
        <v>-2.1327730467879795</v>
      </c>
    </row>
    <row r="25" spans="1:11" x14ac:dyDescent="0.3">
      <c r="A25" s="8">
        <f t="shared" si="4"/>
        <v>24</v>
      </c>
      <c r="B25" s="9">
        <f>+data!B25</f>
        <v>56907.964844000002</v>
      </c>
      <c r="C25" s="9"/>
      <c r="D25" s="9">
        <f t="shared" si="1"/>
        <v>39417.488799999992</v>
      </c>
      <c r="E25" s="11">
        <f t="shared" si="0"/>
        <v>-17490.47604400001</v>
      </c>
      <c r="F25" s="9">
        <f t="shared" si="2"/>
        <v>17490.47604400001</v>
      </c>
      <c r="G25" s="9">
        <f>+SUMSQ($E$2:E25)/(A25)</f>
        <v>128000395.07121365</v>
      </c>
      <c r="H25" s="9">
        <f>+SUM($F$2:F25)/(A25)</f>
        <v>9305.304647500001</v>
      </c>
      <c r="I25" s="10">
        <f t="shared" si="3"/>
        <v>30.734671485698172</v>
      </c>
      <c r="J25" s="10">
        <f>+AVERAGE($I$2:I25)</f>
        <v>52.591797148223868</v>
      </c>
      <c r="K25" s="11">
        <f>+SUM($E$2:E25)/H25</f>
        <v>-3.9308303665078914</v>
      </c>
    </row>
    <row r="26" spans="1:11" x14ac:dyDescent="0.3">
      <c r="A26" s="21">
        <f t="shared" si="4"/>
        <v>25</v>
      </c>
      <c r="B26" s="22">
        <f>+data!B26</f>
        <v>46311.746094000002</v>
      </c>
      <c r="C26" s="22"/>
      <c r="D26" s="22">
        <f t="shared" si="1"/>
        <v>38956.824999999997</v>
      </c>
      <c r="E26" s="23">
        <f t="shared" si="0"/>
        <v>-7354.9210940000048</v>
      </c>
      <c r="F26" s="22">
        <f t="shared" si="2"/>
        <v>7354.9210940000048</v>
      </c>
      <c r="G26" s="22">
        <f>+SUMSQ($E$2:E26)/(A26)</f>
        <v>125044173.84032375</v>
      </c>
      <c r="H26" s="22">
        <f>+SUM($F$2:F26)/(A26)</f>
        <v>9227.2893053600001</v>
      </c>
      <c r="I26" s="10">
        <f t="shared" si="3"/>
        <v>15.881329715082551</v>
      </c>
      <c r="J26" s="10">
        <f>+AVERAGE($I$2:I26)</f>
        <v>51.123378450898215</v>
      </c>
      <c r="K26" s="11">
        <f>+SUM($E$2:E26)/H26</f>
        <v>-4.7611485581665098</v>
      </c>
    </row>
    <row r="27" spans="1:11" x14ac:dyDescent="0.3">
      <c r="A27" s="8">
        <f t="shared" si="4"/>
        <v>26</v>
      </c>
      <c r="B27" s="9">
        <f>+data!B27</f>
        <v>38481.765625</v>
      </c>
      <c r="C27" s="9"/>
      <c r="D27" s="9">
        <f t="shared" si="1"/>
        <v>38371.966400000005</v>
      </c>
      <c r="E27" s="11">
        <f t="shared" si="0"/>
        <v>-109.7992249999952</v>
      </c>
      <c r="F27" s="9">
        <f t="shared" si="2"/>
        <v>109.7992249999952</v>
      </c>
      <c r="G27" s="9">
        <f>+SUMSQ($E$2:E27)/(A27)</f>
        <v>120235246.22607325</v>
      </c>
      <c r="H27" s="9">
        <f>+SUM($F$2:F27)/(A27)</f>
        <v>8876.6166099615384</v>
      </c>
      <c r="I27" s="10">
        <f t="shared" si="3"/>
        <v>0.28532792925869083</v>
      </c>
      <c r="J27" s="10">
        <f>+AVERAGE($I$2:I27)</f>
        <v>49.168068815450546</v>
      </c>
      <c r="K27" s="11">
        <f>+SUM($E$2:E27)/H27</f>
        <v>-4.9616082717343861</v>
      </c>
    </row>
    <row r="28" spans="1:11" x14ac:dyDescent="0.3">
      <c r="A28" s="21">
        <f t="shared" si="4"/>
        <v>27</v>
      </c>
      <c r="B28" s="22">
        <f>+data!B28</f>
        <v>43194.503905999998</v>
      </c>
      <c r="C28" s="22"/>
      <c r="D28" s="22">
        <f t="shared" si="1"/>
        <v>37678.221999999994</v>
      </c>
      <c r="E28" s="23">
        <f t="shared" si="0"/>
        <v>-5516.2819060000038</v>
      </c>
      <c r="F28" s="22">
        <f t="shared" si="2"/>
        <v>5516.2819060000038</v>
      </c>
      <c r="G28" s="22">
        <f>+SUMSQ($E$2:E28)/(A28)</f>
        <v>116909102.51645805</v>
      </c>
      <c r="H28" s="22">
        <f>+SUM($F$2:F28)/(A28)</f>
        <v>8752.1597690740746</v>
      </c>
      <c r="I28" s="10">
        <f t="shared" si="3"/>
        <v>12.77079583551776</v>
      </c>
      <c r="J28" s="10">
        <f>+AVERAGE($I$2:I28)</f>
        <v>47.820021668045626</v>
      </c>
      <c r="K28" s="11">
        <f>+SUM($E$2:E28)/H28</f>
        <v>-5.6624396275438436</v>
      </c>
    </row>
    <row r="29" spans="1:11" x14ac:dyDescent="0.3">
      <c r="A29" s="8">
        <f t="shared" si="4"/>
        <v>28</v>
      </c>
      <c r="B29" s="9">
        <f>+data!B29</f>
        <v>45554.164062999997</v>
      </c>
      <c r="C29" s="9"/>
      <c r="D29" s="9">
        <f t="shared" si="1"/>
        <v>36891.863199999978</v>
      </c>
      <c r="E29" s="11">
        <f t="shared" si="0"/>
        <v>-8662.3008630000186</v>
      </c>
      <c r="F29" s="9">
        <f t="shared" si="2"/>
        <v>8662.3008630000186</v>
      </c>
      <c r="G29" s="9">
        <f>+SUMSQ($E$2:E29)/(A29)</f>
        <v>115413615.14948209</v>
      </c>
      <c r="H29" s="9">
        <f>+SUM($F$2:F29)/(A29)</f>
        <v>8748.9505224285731</v>
      </c>
      <c r="I29" s="10">
        <f t="shared" si="3"/>
        <v>19.015387596664766</v>
      </c>
      <c r="J29" s="10">
        <f>+AVERAGE($I$2:I29)</f>
        <v>46.791284736924879</v>
      </c>
      <c r="K29" s="11">
        <f>+SUM($E$2:E29)/H29</f>
        <v>-6.6546126894587605</v>
      </c>
    </row>
    <row r="30" spans="1:11" x14ac:dyDescent="0.3">
      <c r="A30" s="21">
        <f t="shared" si="4"/>
        <v>29</v>
      </c>
      <c r="B30" s="22">
        <f>+data!B30</f>
        <v>37713.265625</v>
      </c>
      <c r="C30" s="22"/>
      <c r="D30" s="22">
        <f t="shared" si="1"/>
        <v>36030.123800000016</v>
      </c>
      <c r="E30" s="23">
        <f t="shared" si="0"/>
        <v>-1683.1418249999842</v>
      </c>
      <c r="F30" s="22">
        <f t="shared" si="2"/>
        <v>1683.1418249999842</v>
      </c>
      <c r="G30" s="22">
        <f>+SUMSQ($E$2:E30)/(A30)</f>
        <v>111531523.8133987</v>
      </c>
      <c r="H30" s="22">
        <f>+SUM($F$2:F30)/(A30)</f>
        <v>8505.3019466551723</v>
      </c>
      <c r="I30" s="10">
        <f t="shared" si="3"/>
        <v>4.4629967654782856</v>
      </c>
      <c r="J30" s="10">
        <f>+AVERAGE($I$2:I30)</f>
        <v>45.331688599978449</v>
      </c>
      <c r="K30" s="11">
        <f>+SUM($E$2:E30)/H30</f>
        <v>-7.0431384290310941</v>
      </c>
    </row>
    <row r="31" spans="1:11" x14ac:dyDescent="0.3">
      <c r="A31" s="8">
        <f t="shared" si="4"/>
        <v>30</v>
      </c>
      <c r="B31" s="9">
        <f>+data!B31</f>
        <v>31792.554688</v>
      </c>
      <c r="C31" s="9"/>
      <c r="D31" s="9">
        <f t="shared" si="1"/>
        <v>35111.199999999983</v>
      </c>
      <c r="E31" s="11">
        <f t="shared" si="0"/>
        <v>3318.6453119999824</v>
      </c>
      <c r="F31" s="9">
        <f t="shared" si="2"/>
        <v>3318.6453119999824</v>
      </c>
      <c r="G31" s="9">
        <f>+SUMSQ($E$2:E31)/(A31)</f>
        <v>108180919.90984741</v>
      </c>
      <c r="H31" s="9">
        <f>+SUM($F$2:F31)/(A31)</f>
        <v>8332.4133921666671</v>
      </c>
      <c r="I31" s="10">
        <f t="shared" si="3"/>
        <v>10.438435490849669</v>
      </c>
      <c r="J31" s="10">
        <f>+AVERAGE($I$2:I31)</f>
        <v>44.168580163007491</v>
      </c>
      <c r="K31" s="11">
        <f>+SUM($E$2:E31)/H31</f>
        <v>-6.7909945193305177</v>
      </c>
    </row>
    <row r="32" spans="1:11" x14ac:dyDescent="0.3">
      <c r="A32" s="21">
        <f t="shared" si="4"/>
        <v>31</v>
      </c>
      <c r="B32" s="22">
        <f>+data!B32</f>
        <v>19820.470702999999</v>
      </c>
      <c r="C32" s="22"/>
      <c r="D32" s="22">
        <f t="shared" si="1"/>
        <v>34154.250400000004</v>
      </c>
      <c r="E32" s="23">
        <f t="shared" si="0"/>
        <v>14333.779697000005</v>
      </c>
      <c r="F32" s="22">
        <f t="shared" si="2"/>
        <v>14333.779697000005</v>
      </c>
      <c r="G32" s="22">
        <f>+SUMSQ($E$2:E32)/(A32)</f>
        <v>111318865.73217909</v>
      </c>
      <c r="H32" s="22">
        <f>+SUM($F$2:F32)/(A32)</f>
        <v>8526.0058536129036</v>
      </c>
      <c r="I32" s="10">
        <f t="shared" si="3"/>
        <v>72.318058999630438</v>
      </c>
      <c r="J32" s="10">
        <f>+AVERAGE($I$2:I32)</f>
        <v>45.076627867414679</v>
      </c>
      <c r="K32" s="11">
        <f>+SUM($E$2:E32)/H32</f>
        <v>-4.9556140011440268</v>
      </c>
    </row>
    <row r="33" spans="1:11" x14ac:dyDescent="0.3">
      <c r="A33" s="8">
        <f t="shared" si="4"/>
        <v>32</v>
      </c>
      <c r="B33" s="9">
        <f>+data!B33</f>
        <v>23336.71875</v>
      </c>
      <c r="C33" s="9"/>
      <c r="D33" s="9">
        <f t="shared" si="1"/>
        <v>33179.395999999993</v>
      </c>
      <c r="E33" s="11">
        <f t="shared" si="0"/>
        <v>9842.6772499999934</v>
      </c>
      <c r="F33" s="9">
        <f t="shared" si="2"/>
        <v>9842.6772499999934</v>
      </c>
      <c r="G33" s="9">
        <f>+SUMSQ($E$2:E33)/(A33)</f>
        <v>110867597.9107881</v>
      </c>
      <c r="H33" s="9">
        <f>+SUM($F$2:F33)/(A33)</f>
        <v>8567.1518347500005</v>
      </c>
      <c r="I33" s="10">
        <f t="shared" si="3"/>
        <v>42.176783100666171</v>
      </c>
      <c r="J33" s="10">
        <f>+AVERAGE($I$2:I33)</f>
        <v>44.986007718453791</v>
      </c>
      <c r="K33" s="11">
        <f>+SUM($E$2:E33)/H33</f>
        <v>-3.782927787102278</v>
      </c>
    </row>
    <row r="34" spans="1:11" x14ac:dyDescent="0.3">
      <c r="A34" s="21">
        <f t="shared" si="4"/>
        <v>33</v>
      </c>
      <c r="B34" s="22">
        <f>+data!B34</f>
        <v>20050.498047000001</v>
      </c>
      <c r="C34" s="22"/>
      <c r="D34" s="22">
        <f t="shared" si="1"/>
        <v>32207.7202</v>
      </c>
      <c r="E34" s="23">
        <f t="shared" si="0"/>
        <v>12157.222152999999</v>
      </c>
      <c r="F34" s="22">
        <f t="shared" si="2"/>
        <v>12157.222152999999</v>
      </c>
      <c r="G34" s="22">
        <f>+SUMSQ($E$2:E34)/(A34)</f>
        <v>111986702.53401859</v>
      </c>
      <c r="H34" s="22">
        <f>+SUM($F$2:F34)/(A34)</f>
        <v>8675.9418443939394</v>
      </c>
      <c r="I34" s="10">
        <f t="shared" si="3"/>
        <v>60.633018314569945</v>
      </c>
      <c r="J34" s="10">
        <f>+AVERAGE($I$2:I34)</f>
        <v>45.460159554699736</v>
      </c>
      <c r="K34" s="11">
        <f>+SUM($E$2:E34)/H34</f>
        <v>-2.3342358607539433</v>
      </c>
    </row>
    <row r="35" spans="1:11" x14ac:dyDescent="0.3">
      <c r="A35" s="8">
        <f t="shared" si="4"/>
        <v>34</v>
      </c>
      <c r="B35" s="9">
        <f>+data!B35</f>
        <v>19431.105468999998</v>
      </c>
      <c r="C35" s="9"/>
      <c r="D35" s="9">
        <f t="shared" si="1"/>
        <v>31261.268799999994</v>
      </c>
      <c r="E35" s="11">
        <f t="shared" si="0"/>
        <v>11830.163330999996</v>
      </c>
      <c r="F35" s="9">
        <f t="shared" si="2"/>
        <v>11830.163330999996</v>
      </c>
      <c r="G35" s="9">
        <f>+SUMSQ($E$2:E35)/(A35)</f>
        <v>112809233.76649266</v>
      </c>
      <c r="H35" s="9">
        <f>+SUM($F$2:F35)/(A35)</f>
        <v>8768.7130645882371</v>
      </c>
      <c r="I35" s="10">
        <f t="shared" si="3"/>
        <v>60.882605726542963</v>
      </c>
      <c r="J35" s="10">
        <f>+AVERAGE($I$2:I35)</f>
        <v>45.913760912695125</v>
      </c>
      <c r="K35" s="11">
        <f>+SUM($E$2:E35)/H35</f>
        <v>-0.96040675364435668</v>
      </c>
    </row>
    <row r="36" spans="1:11" x14ac:dyDescent="0.3">
      <c r="A36" s="21">
        <f t="shared" si="4"/>
        <v>35</v>
      </c>
      <c r="B36" s="22">
        <f>+data!B36</f>
        <v>20494.898438</v>
      </c>
      <c r="C36" s="22"/>
      <c r="D36" s="22">
        <f t="shared" si="1"/>
        <v>30363.049999999977</v>
      </c>
      <c r="E36" s="23">
        <f t="shared" si="0"/>
        <v>9868.1515619999773</v>
      </c>
      <c r="F36" s="22">
        <f t="shared" si="2"/>
        <v>9868.1515619999773</v>
      </c>
      <c r="G36" s="22">
        <f>+SUMSQ($E$2:E36)/(A36)</f>
        <v>112368410.38032438</v>
      </c>
      <c r="H36" s="22">
        <f>+SUM($F$2:F36)/(A36)</f>
        <v>8800.1255930857151</v>
      </c>
      <c r="I36" s="10">
        <f t="shared" si="3"/>
        <v>48.149306969500472</v>
      </c>
      <c r="J36" s="10">
        <f>+AVERAGE($I$2:I36)</f>
        <v>45.977633657175275</v>
      </c>
      <c r="K36" s="11">
        <f>+SUM($E$2:E36)/H36</f>
        <v>0.16438632593340993</v>
      </c>
    </row>
    <row r="37" spans="1:11" x14ac:dyDescent="0.3">
      <c r="A37" s="8">
        <f t="shared" si="4"/>
        <v>36</v>
      </c>
      <c r="B37" s="9">
        <f>+data!B37</f>
        <v>17168.001952999999</v>
      </c>
      <c r="C37" s="9"/>
      <c r="D37" s="9">
        <f t="shared" si="1"/>
        <v>29537.034400000008</v>
      </c>
      <c r="E37" s="11">
        <f t="shared" si="0"/>
        <v>12369.032447000009</v>
      </c>
      <c r="F37" s="9">
        <f t="shared" si="2"/>
        <v>12369.032447000009</v>
      </c>
      <c r="G37" s="9">
        <f>+SUMSQ($E$2:E37)/(A37)</f>
        <v>113496870.19406368</v>
      </c>
      <c r="H37" s="9">
        <f>+SUM($F$2:F37)/(A37)</f>
        <v>8899.2618945833347</v>
      </c>
      <c r="I37" s="10">
        <f t="shared" si="3"/>
        <v>72.047012115108714</v>
      </c>
      <c r="J37" s="10">
        <f>+AVERAGE($I$2:I37)</f>
        <v>46.701783058784535</v>
      </c>
      <c r="K37" s="11">
        <f>+SUM($E$2:E37)/H37</f>
        <v>1.5524492845197688</v>
      </c>
    </row>
    <row r="38" spans="1:11" x14ac:dyDescent="0.3">
      <c r="A38" s="21">
        <f t="shared" si="4"/>
        <v>37</v>
      </c>
      <c r="B38" s="22">
        <f>+data!B38</f>
        <v>16547.914063</v>
      </c>
      <c r="C38" s="22"/>
      <c r="D38" s="22">
        <f t="shared" si="1"/>
        <v>28808.154999999988</v>
      </c>
      <c r="E38" s="23">
        <f t="shared" si="0"/>
        <v>12260.240936999988</v>
      </c>
      <c r="F38" s="22">
        <f t="shared" si="2"/>
        <v>12260.240936999988</v>
      </c>
      <c r="G38" s="22">
        <f>+SUMSQ($E$2:E38)/(A38)</f>
        <v>114491914.45458332</v>
      </c>
      <c r="H38" s="22">
        <f>+SUM($F$2:F38)/(A38)</f>
        <v>8990.099166</v>
      </c>
      <c r="I38" s="10">
        <f t="shared" si="3"/>
        <v>74.089343770602753</v>
      </c>
      <c r="J38" s="10">
        <f>+AVERAGE($I$2:I38)</f>
        <v>47.441987402347188</v>
      </c>
      <c r="K38" s="11">
        <f>+SUM($E$2:E38)/H38</f>
        <v>2.9005123543706111</v>
      </c>
    </row>
    <row r="39" spans="1:11" x14ac:dyDescent="0.3">
      <c r="A39" s="8">
        <f t="shared" si="4"/>
        <v>38</v>
      </c>
      <c r="B39" s="9">
        <f>+data!B39</f>
        <v>23137.835938</v>
      </c>
      <c r="C39" s="9"/>
      <c r="D39" s="9">
        <f t="shared" si="1"/>
        <v>28202.307199999999</v>
      </c>
      <c r="E39" s="11">
        <f t="shared" si="0"/>
        <v>5064.4712619999991</v>
      </c>
      <c r="F39" s="9">
        <f t="shared" si="2"/>
        <v>5064.4712619999991</v>
      </c>
      <c r="G39" s="9">
        <f>+SUMSQ($E$2:E39)/(A39)</f>
        <v>112153939.57850544</v>
      </c>
      <c r="H39" s="9">
        <f>+SUM($F$2:F39)/(A39)</f>
        <v>8886.7931685263156</v>
      </c>
      <c r="I39" s="10">
        <f t="shared" si="3"/>
        <v>21.888266800623551</v>
      </c>
      <c r="J39" s="10">
        <f>+AVERAGE($I$2:I39)</f>
        <v>46.769521070722881</v>
      </c>
      <c r="K39" s="11">
        <f>+SUM($E$2:E39)/H39</f>
        <v>3.5041172186033771</v>
      </c>
    </row>
    <row r="40" spans="1:11" x14ac:dyDescent="0.3">
      <c r="A40" s="21">
        <f t="shared" si="4"/>
        <v>39</v>
      </c>
      <c r="B40" s="22">
        <f>+data!B40</f>
        <v>23150.929688</v>
      </c>
      <c r="C40" s="22"/>
      <c r="D40" s="22">
        <f t="shared" si="1"/>
        <v>27746.348799999967</v>
      </c>
      <c r="E40" s="23">
        <f t="shared" si="0"/>
        <v>4595.4191119999668</v>
      </c>
      <c r="F40" s="22">
        <f t="shared" si="2"/>
        <v>4595.4191119999668</v>
      </c>
      <c r="G40" s="22">
        <f>+SUMSQ($E$2:E40)/(A40)</f>
        <v>109819681.5589267</v>
      </c>
      <c r="H40" s="22">
        <f>+SUM($F$2:F40)/(A40)</f>
        <v>8776.7579363076911</v>
      </c>
      <c r="I40" s="10">
        <f t="shared" si="3"/>
        <v>19.84982535877143</v>
      </c>
      <c r="J40" s="10">
        <f>+AVERAGE($I$2:I40)</f>
        <v>46.079272462724127</v>
      </c>
      <c r="K40" s="11">
        <f>+SUM($E$2:E40)/H40</f>
        <v>4.0716383351725023</v>
      </c>
    </row>
    <row r="41" spans="1:11" x14ac:dyDescent="0.3">
      <c r="A41" s="8">
        <f t="shared" si="4"/>
        <v>40</v>
      </c>
      <c r="B41" s="9">
        <f>+data!B41</f>
        <v>28473.332031000002</v>
      </c>
      <c r="C41" s="9"/>
      <c r="D41" s="9">
        <f t="shared" si="1"/>
        <v>27468.099999999995</v>
      </c>
      <c r="E41" s="11">
        <f t="shared" si="0"/>
        <v>-1005.2320310000068</v>
      </c>
      <c r="F41" s="9">
        <f t="shared" si="2"/>
        <v>1005.2320310000068</v>
      </c>
      <c r="G41" s="9">
        <f>+SUMSQ($E$2:E41)/(A41)</f>
        <v>107099451.80585724</v>
      </c>
      <c r="H41" s="9">
        <f>+SUM($F$2:F41)/(A41)</f>
        <v>8582.469788675</v>
      </c>
      <c r="I41" s="10">
        <f t="shared" si="3"/>
        <v>3.5304334241794124</v>
      </c>
      <c r="J41" s="10">
        <f>+AVERAGE($I$2:I41)</f>
        <v>45.015551486760508</v>
      </c>
      <c r="K41" s="11">
        <f>+SUM($E$2:E41)/H41</f>
        <v>4.0466850331158284</v>
      </c>
    </row>
    <row r="42" spans="1:11" x14ac:dyDescent="0.3">
      <c r="A42" s="21">
        <f t="shared" si="4"/>
        <v>41</v>
      </c>
      <c r="B42" s="22">
        <f>+data!B42</f>
        <v>29227.103515999999</v>
      </c>
      <c r="C42" s="22"/>
      <c r="D42" s="22">
        <f t="shared" si="1"/>
        <v>27396.343399999972</v>
      </c>
      <c r="E42" s="23">
        <f t="shared" si="0"/>
        <v>-1830.7601160000268</v>
      </c>
      <c r="F42" s="22">
        <f t="shared" si="2"/>
        <v>1830.7601160000268</v>
      </c>
      <c r="G42" s="22">
        <f>+SUMSQ($E$2:E42)/(A42)</f>
        <v>104569018.41064942</v>
      </c>
      <c r="H42" s="22">
        <f>+SUM($F$2:F42)/(A42)</f>
        <v>8417.7939430000006</v>
      </c>
      <c r="I42" s="10">
        <f t="shared" si="3"/>
        <v>6.2639122450084752</v>
      </c>
      <c r="J42" s="10">
        <f>+AVERAGE($I$2:I42)</f>
        <v>44.070389554034847</v>
      </c>
      <c r="K42" s="11">
        <f>+SUM($E$2:E42)/H42</f>
        <v>3.908362707352607</v>
      </c>
    </row>
    <row r="43" spans="1:11" x14ac:dyDescent="0.3">
      <c r="A43" s="8">
        <f t="shared" si="4"/>
        <v>42</v>
      </c>
      <c r="B43" s="9">
        <f>+data!B43</f>
        <v>27218.412109000001</v>
      </c>
      <c r="C43" s="9"/>
      <c r="D43" s="9">
        <f t="shared" si="1"/>
        <v>27560.823999999953</v>
      </c>
      <c r="E43" s="11">
        <f t="shared" si="0"/>
        <v>342.41189099995245</v>
      </c>
      <c r="F43" s="9">
        <f t="shared" si="2"/>
        <v>342.41189099995245</v>
      </c>
      <c r="G43" s="9">
        <f>+SUMSQ($E$2:E43)/(A43)</f>
        <v>102082071.44618391</v>
      </c>
      <c r="H43" s="9">
        <f>+SUM($F$2:F43)/(A43)</f>
        <v>8225.522941761903</v>
      </c>
      <c r="I43" s="10">
        <f t="shared" si="3"/>
        <v>1.2580156756709955</v>
      </c>
      <c r="J43" s="10">
        <f>+AVERAGE($I$2:I43)</f>
        <v>43.051047318835707</v>
      </c>
      <c r="K43" s="11">
        <f>+SUM($E$2:E43)/H43</f>
        <v>4.0413483800799357</v>
      </c>
    </row>
    <row r="44" spans="1:11" x14ac:dyDescent="0.3">
      <c r="A44" s="21">
        <f t="shared" si="4"/>
        <v>43</v>
      </c>
      <c r="B44" s="22">
        <f>+data!B44</f>
        <v>30471.847656000002</v>
      </c>
      <c r="C44" s="22"/>
      <c r="D44" s="22">
        <f t="shared" si="1"/>
        <v>27992.249200000009</v>
      </c>
      <c r="E44" s="23">
        <f t="shared" si="0"/>
        <v>-2479.5984559999924</v>
      </c>
      <c r="F44" s="22">
        <f t="shared" si="2"/>
        <v>2479.5984559999924</v>
      </c>
      <c r="G44" s="22">
        <f>+SUMSQ($E$2:E44)/(A44)</f>
        <v>99851056.028900504</v>
      </c>
      <c r="H44" s="22">
        <f>+SUM($F$2:F44)/(A44)</f>
        <v>8091.896790930231</v>
      </c>
      <c r="I44" s="10">
        <f t="shared" si="3"/>
        <v>8.137341995117751</v>
      </c>
      <c r="J44" s="10">
        <f>+AVERAGE($I$2:I44)</f>
        <v>42.239100683400409</v>
      </c>
      <c r="K44" s="11">
        <f>+SUM($E$2:E44)/H44</f>
        <v>3.8016556754010948</v>
      </c>
    </row>
    <row r="45" spans="1:11" x14ac:dyDescent="0.3">
      <c r="A45" s="8">
        <f t="shared" si="4"/>
        <v>44</v>
      </c>
      <c r="B45" s="9">
        <f>+data!B45</f>
        <v>29230.873047000001</v>
      </c>
      <c r="C45" s="9"/>
      <c r="D45" s="9">
        <f t="shared" si="1"/>
        <v>28722.288799999969</v>
      </c>
      <c r="E45" s="11">
        <f t="shared" si="0"/>
        <v>-508.58424700003161</v>
      </c>
      <c r="F45" s="9">
        <f t="shared" si="2"/>
        <v>508.58424700003161</v>
      </c>
      <c r="G45" s="9">
        <f>+SUMSQ($E$2:E45)/(A45)</f>
        <v>97587592.43588677</v>
      </c>
      <c r="H45" s="9">
        <f>+SUM($F$2:F45)/(A45)</f>
        <v>7919.5487785681817</v>
      </c>
      <c r="I45" s="10">
        <f t="shared" si="3"/>
        <v>1.7398872971815951</v>
      </c>
      <c r="J45" s="10">
        <f>+AVERAGE($I$2:I45)</f>
        <v>41.318664015531802</v>
      </c>
      <c r="K45" s="11">
        <f>+SUM($E$2:E45)/H45</f>
        <v>3.8201698049859827</v>
      </c>
    </row>
    <row r="46" spans="1:11" x14ac:dyDescent="0.3">
      <c r="A46" s="21">
        <f t="shared" si="4"/>
        <v>45</v>
      </c>
      <c r="B46" s="22">
        <f>+data!B46</f>
        <v>25934.021484000001</v>
      </c>
      <c r="C46" s="22"/>
      <c r="D46" s="22">
        <f t="shared" si="1"/>
        <v>29783.575000000001</v>
      </c>
      <c r="E46" s="23">
        <f t="shared" si="0"/>
        <v>3849.5535159999999</v>
      </c>
      <c r="F46" s="22">
        <f t="shared" si="2"/>
        <v>3849.5535159999999</v>
      </c>
      <c r="G46" s="22">
        <f>+SUMSQ($E$2:E46)/(A46)</f>
        <v>95748291.765590355</v>
      </c>
      <c r="H46" s="22">
        <f>+SUM($F$2:F46)/(A46)</f>
        <v>7829.1044393999991</v>
      </c>
      <c r="I46" s="10">
        <f t="shared" si="3"/>
        <v>14.843642812492398</v>
      </c>
      <c r="J46" s="10">
        <f>+AVERAGE($I$2:I46)</f>
        <v>40.730330211019812</v>
      </c>
      <c r="K46" s="11">
        <f>+SUM($E$2:E46)/H46</f>
        <v>4.3559994496143668</v>
      </c>
    </row>
    <row r="47" spans="1:11" x14ac:dyDescent="0.3">
      <c r="A47" s="8">
        <f t="shared" si="4"/>
        <v>46</v>
      </c>
      <c r="B47" s="9">
        <f>+data!B47</f>
        <v>26967.396484000001</v>
      </c>
      <c r="C47" s="9"/>
      <c r="D47" s="9">
        <f t="shared" si="1"/>
        <v>31209.702399999969</v>
      </c>
      <c r="E47" s="11">
        <f t="shared" si="0"/>
        <v>4242.3059159999684</v>
      </c>
      <c r="F47" s="9">
        <f t="shared" si="2"/>
        <v>4242.3059159999684</v>
      </c>
      <c r="G47" s="9">
        <f>+SUMSQ($E$2:E47)/(A47)</f>
        <v>94058049.759489</v>
      </c>
      <c r="H47" s="9">
        <f>+SUM($F$2:F47)/(A47)</f>
        <v>7751.1305584565207</v>
      </c>
      <c r="I47" s="10">
        <f t="shared" si="3"/>
        <v>15.731240197832841</v>
      </c>
      <c r="J47" s="10">
        <f>+AVERAGE($I$2:I47)</f>
        <v>40.18687173247227</v>
      </c>
      <c r="K47" s="11">
        <f>+SUM($E$2:E47)/H47</f>
        <v>4.9471338736726889</v>
      </c>
    </row>
    <row r="48" spans="1:11" x14ac:dyDescent="0.3">
      <c r="A48" s="21">
        <f t="shared" si="4"/>
        <v>47</v>
      </c>
      <c r="B48" s="22">
        <f>+data!B48</f>
        <v>34657.273437999997</v>
      </c>
      <c r="C48" s="22"/>
      <c r="D48" s="22">
        <f t="shared" si="1"/>
        <v>33035.228000000017</v>
      </c>
      <c r="E48" s="23">
        <f t="shared" si="0"/>
        <v>-1622.0454379999792</v>
      </c>
      <c r="F48" s="22">
        <f t="shared" si="2"/>
        <v>1622.0454379999792</v>
      </c>
      <c r="G48" s="22">
        <f>+SUMSQ($E$2:E48)/(A48)</f>
        <v>92112794.049775124</v>
      </c>
      <c r="H48" s="22">
        <f>+SUM($F$2:F48)/(A48)</f>
        <v>7620.7244920638286</v>
      </c>
      <c r="I48" s="10">
        <f t="shared" si="3"/>
        <v>4.6802453773570258</v>
      </c>
      <c r="J48" s="10">
        <f>+AVERAGE($I$2:I48)</f>
        <v>39.431411597257053</v>
      </c>
      <c r="K48" s="11">
        <f>+SUM($E$2:E48)/H48</f>
        <v>4.8189427586896407</v>
      </c>
    </row>
    <row r="49" spans="1:11" x14ac:dyDescent="0.3">
      <c r="A49" s="8">
        <f t="shared" si="4"/>
        <v>48</v>
      </c>
      <c r="B49" s="9">
        <f>+data!B49</f>
        <v>37718.007812999997</v>
      </c>
      <c r="C49" s="9"/>
      <c r="D49" s="9">
        <f t="shared" si="1"/>
        <v>35295.671199999968</v>
      </c>
      <c r="E49" s="11">
        <f t="shared" si="0"/>
        <v>-2422.3366130000286</v>
      </c>
      <c r="F49" s="9">
        <f t="shared" si="2"/>
        <v>2422.3366130000286</v>
      </c>
      <c r="G49" s="9">
        <f>+SUMSQ($E$2:E49)/(A49)</f>
        <v>90316021.562627316</v>
      </c>
      <c r="H49" s="9">
        <f>+SUM($F$2:F49)/(A49)</f>
        <v>7512.4247445833325</v>
      </c>
      <c r="I49" s="10">
        <f t="shared" si="3"/>
        <v>6.4222284088003692</v>
      </c>
      <c r="J49" s="10">
        <f>+AVERAGE($I$2:I49)</f>
        <v>38.743720280830871</v>
      </c>
      <c r="K49" s="11">
        <f>+SUM($E$2:E49)/H49</f>
        <v>4.5659689993875929</v>
      </c>
    </row>
    <row r="50" spans="1:11" x14ac:dyDescent="0.3">
      <c r="A50" s="21">
        <f t="shared" si="4"/>
        <v>49</v>
      </c>
      <c r="B50" s="22">
        <f>+data!B50</f>
        <v>42280.234375</v>
      </c>
      <c r="C50" s="22"/>
      <c r="D50" s="22">
        <f t="shared" si="1"/>
        <v>38027.513800000001</v>
      </c>
      <c r="E50" s="23">
        <f t="shared" si="0"/>
        <v>-4252.7205749999994</v>
      </c>
      <c r="F50" s="22">
        <f t="shared" si="2"/>
        <v>4252.7205749999994</v>
      </c>
      <c r="G50" s="22">
        <f>+SUMSQ($E$2:E50)/(A50)</f>
        <v>88841931.98561509</v>
      </c>
      <c r="H50" s="22">
        <f>+SUM($F$2:F50)/(A50)</f>
        <v>7445.9001696938767</v>
      </c>
      <c r="I50" s="10">
        <f t="shared" si="3"/>
        <v>10.058412962617357</v>
      </c>
      <c r="J50" s="10">
        <f>+AVERAGE($I$2:I50)</f>
        <v>38.158305845765291</v>
      </c>
      <c r="K50" s="11">
        <f>+SUM($E$2:E50)/H50</f>
        <v>4.0356138591950996</v>
      </c>
    </row>
    <row r="51" spans="1:11" x14ac:dyDescent="0.3">
      <c r="A51" s="8">
        <f t="shared" si="4"/>
        <v>50</v>
      </c>
      <c r="B51" s="9">
        <f>+data!B51</f>
        <v>42569.761719000002</v>
      </c>
      <c r="C51" s="9"/>
      <c r="D51" s="9">
        <f t="shared" si="1"/>
        <v>41268.199999999968</v>
      </c>
      <c r="E51" s="11">
        <f t="shared" si="0"/>
        <v>-1301.5617190000339</v>
      </c>
      <c r="F51" s="9">
        <f t="shared" si="2"/>
        <v>1301.5617190000339</v>
      </c>
      <c r="G51" s="9">
        <f>+SUMSQ($E$2:E51)/(A51)</f>
        <v>87098974.604070112</v>
      </c>
      <c r="H51" s="9">
        <f>+SUM($F$2:F51)/(A51)</f>
        <v>7323.0134006799999</v>
      </c>
      <c r="I51" s="10">
        <f t="shared" si="3"/>
        <v>3.0574794559376466</v>
      </c>
      <c r="J51" s="10">
        <f>+AVERAGE($I$2:I51)</f>
        <v>37.456289317968739</v>
      </c>
      <c r="K51" s="11">
        <f>+SUM($E$2:E51)/H51</f>
        <v>3.9255992891301159</v>
      </c>
    </row>
    <row r="52" spans="1:11" x14ac:dyDescent="0.3">
      <c r="A52" s="21">
        <f t="shared" si="4"/>
        <v>51</v>
      </c>
      <c r="B52" s="22">
        <f>+data!B52</f>
        <v>61168.0625</v>
      </c>
      <c r="C52" s="22"/>
      <c r="D52" s="22">
        <f t="shared" si="1"/>
        <v>45056.136400000003</v>
      </c>
      <c r="E52" s="23">
        <f t="shared" si="0"/>
        <v>-16111.926099999997</v>
      </c>
      <c r="F52" s="22">
        <f t="shared" si="2"/>
        <v>16111.926099999997</v>
      </c>
      <c r="G52" s="22">
        <f>+SUMSQ($E$2:E52)/(A52)</f>
        <v>90481233.19324249</v>
      </c>
      <c r="H52" s="22">
        <f>+SUM($F$2:F52)/(A52)</f>
        <v>7495.345022235294</v>
      </c>
      <c r="I52" s="10">
        <f t="shared" si="3"/>
        <v>26.340422503982364</v>
      </c>
      <c r="J52" s="10">
        <f>+AVERAGE($I$2:I52)</f>
        <v>37.23833114514548</v>
      </c>
      <c r="K52" s="11">
        <f>+SUM($E$2:E52)/H52</f>
        <v>1.685751631514832</v>
      </c>
    </row>
    <row r="53" spans="1:11" x14ac:dyDescent="0.3">
      <c r="A53" s="8">
        <f t="shared" si="4"/>
        <v>52</v>
      </c>
      <c r="B53" s="9">
        <f>+data!B53</f>
        <v>71333.484375</v>
      </c>
      <c r="C53" s="9"/>
      <c r="D53" s="9">
        <f t="shared" si="1"/>
        <v>49430.691999999966</v>
      </c>
      <c r="E53" s="11">
        <f t="shared" si="0"/>
        <v>-21902.792375000034</v>
      </c>
      <c r="F53" s="9">
        <f t="shared" si="2"/>
        <v>21902.792375000034</v>
      </c>
      <c r="G53" s="9">
        <f>+SUMSQ($E$2:E53)/(A53)</f>
        <v>97966830.897648588</v>
      </c>
      <c r="H53" s="9">
        <f>+SUM($F$2:F53)/(A53)</f>
        <v>7772.4113174807699</v>
      </c>
      <c r="I53" s="10">
        <f t="shared" si="3"/>
        <v>30.704784109321075</v>
      </c>
      <c r="J53" s="10">
        <f>+AVERAGE($I$2:I53)</f>
        <v>37.112686009841163</v>
      </c>
      <c r="K53" s="11">
        <f>+SUM($E$2:E53)/H53</f>
        <v>-1.1923587026534435</v>
      </c>
    </row>
    <row r="54" spans="1:11" x14ac:dyDescent="0.3">
      <c r="A54" s="21">
        <f t="shared" si="4"/>
        <v>53</v>
      </c>
      <c r="B54" s="22">
        <f>+data!B54</f>
        <v>60609.496094000002</v>
      </c>
      <c r="C54" s="22"/>
      <c r="D54" s="22">
        <f t="shared" si="1"/>
        <v>54432.198199999941</v>
      </c>
      <c r="E54" s="23">
        <f t="shared" si="0"/>
        <v>-6177.2978940000612</v>
      </c>
      <c r="F54" s="22">
        <f t="shared" si="2"/>
        <v>6177.2978940000612</v>
      </c>
      <c r="G54" s="22">
        <f>+SUMSQ($E$2:E54)/(A54)</f>
        <v>96838381.43299894</v>
      </c>
      <c r="H54" s="22">
        <f>+SUM($F$2:F54)/(A54)</f>
        <v>7742.3148377924545</v>
      </c>
      <c r="I54" s="10">
        <f t="shared" si="3"/>
        <v>10.191963788017006</v>
      </c>
      <c r="J54" s="10">
        <f>+AVERAGE($I$2:I54)</f>
        <v>36.6047478547124</v>
      </c>
      <c r="K54" s="11">
        <f>+SUM($E$2:E54)/H54</f>
        <v>-1.9948556074741217</v>
      </c>
    </row>
    <row r="55" spans="1:11" x14ac:dyDescent="0.3">
      <c r="A55" s="8">
        <f t="shared" si="4"/>
        <v>54</v>
      </c>
      <c r="B55" s="9">
        <f>+data!B55</f>
        <v>67489.609375</v>
      </c>
      <c r="C55" s="9"/>
      <c r="D55" s="9">
        <f t="shared" si="1"/>
        <v>60101.948799999969</v>
      </c>
      <c r="E55" s="11">
        <f t="shared" si="0"/>
        <v>-7387.6605750000308</v>
      </c>
      <c r="F55" s="9">
        <f t="shared" si="2"/>
        <v>7387.6605750000308</v>
      </c>
      <c r="G55" s="9">
        <f>+SUMSQ($E$2:E55)/(A55)</f>
        <v>96055773.050376922</v>
      </c>
      <c r="H55" s="9">
        <f>+SUM($F$2:F55)/(A55)</f>
        <v>7735.7471662592616</v>
      </c>
      <c r="I55" s="10">
        <f t="shared" si="3"/>
        <v>10.946367364420727</v>
      </c>
      <c r="J55" s="10">
        <f>+AVERAGE($I$2:I55)</f>
        <v>36.129592660447742</v>
      </c>
      <c r="K55" s="11">
        <f>+SUM($E$2:E55)/H55</f>
        <v>-2.9515520935828863</v>
      </c>
    </row>
    <row r="56" spans="1:11" x14ac:dyDescent="0.3">
      <c r="A56" s="21">
        <f t="shared" si="4"/>
        <v>55</v>
      </c>
      <c r="B56" s="22">
        <f>+data!B56</f>
        <v>62673.605469000002</v>
      </c>
      <c r="C56" s="22"/>
      <c r="D56" s="22">
        <f t="shared" si="1"/>
        <v>66482.199999999939</v>
      </c>
      <c r="E56" s="23">
        <f t="shared" si="0"/>
        <v>3808.594530999937</v>
      </c>
      <c r="F56" s="22">
        <f t="shared" si="2"/>
        <v>3808.594530999937</v>
      </c>
      <c r="G56" s="22">
        <f>+SUMSQ($E$2:E56)/(A56)</f>
        <v>94573038.854943931</v>
      </c>
      <c r="H56" s="22">
        <f>+SUM($F$2:F56)/(A56)</f>
        <v>7664.3443910727292</v>
      </c>
      <c r="I56" s="10">
        <f t="shared" si="3"/>
        <v>6.0768715992951243</v>
      </c>
      <c r="J56" s="10">
        <f>+AVERAGE($I$2:I56)</f>
        <v>35.583179550244964</v>
      </c>
      <c r="K56" s="11">
        <f>+SUM($E$2:E56)/H56</f>
        <v>-2.4821257034272985</v>
      </c>
    </row>
    <row r="57" spans="1:11" x14ac:dyDescent="0.3">
      <c r="A57" s="8">
        <f t="shared" si="4"/>
        <v>56</v>
      </c>
      <c r="B57" s="9">
        <f>+data!B57</f>
        <v>64625.839844000002</v>
      </c>
      <c r="C57" s="9"/>
      <c r="D57" s="9">
        <f t="shared" si="1"/>
        <v>73616.17039999993</v>
      </c>
      <c r="E57" s="11">
        <f t="shared" si="0"/>
        <v>8990.330555999928</v>
      </c>
      <c r="F57" s="9">
        <f t="shared" si="2"/>
        <v>8990.330555999928</v>
      </c>
      <c r="G57" s="9">
        <f>+SUMSQ($E$2:E57)/(A57)</f>
        <v>94327556.795143977</v>
      </c>
      <c r="H57" s="9">
        <f>+SUM($F$2:F57)/(A57)</f>
        <v>7688.0227154464292</v>
      </c>
      <c r="I57" s="10">
        <f t="shared" si="3"/>
        <v>13.911355856576321</v>
      </c>
      <c r="J57" s="10">
        <f>+AVERAGE($I$2:I57)</f>
        <v>35.196182698572315</v>
      </c>
      <c r="K57" s="11">
        <f>+SUM($E$2:E57)/H57</f>
        <v>-1.3050866299915596</v>
      </c>
    </row>
    <row r="58" spans="1:11" x14ac:dyDescent="0.3">
      <c r="A58" s="21">
        <f t="shared" si="4"/>
        <v>57</v>
      </c>
      <c r="B58" s="22">
        <f>+data!B58</f>
        <v>58969.800780999998</v>
      </c>
      <c r="C58" s="22"/>
      <c r="D58" s="22">
        <f t="shared" si="1"/>
        <v>81548.040999999954</v>
      </c>
      <c r="E58" s="23">
        <f t="shared" si="0"/>
        <v>22578.240218999956</v>
      </c>
      <c r="F58" s="22">
        <f t="shared" si="2"/>
        <v>22578.240218999956</v>
      </c>
      <c r="G58" s="22">
        <f>+SUMSQ($E$2:E58)/(A58)</f>
        <v>101616142.31429702</v>
      </c>
      <c r="H58" s="22">
        <f>+SUM($F$2:F58)/(A58)</f>
        <v>7949.2546014736845</v>
      </c>
      <c r="I58" s="10">
        <f t="shared" si="3"/>
        <v>38.287801416949399</v>
      </c>
      <c r="J58" s="10">
        <f>+AVERAGE($I$2:I58)</f>
        <v>35.25042162345612</v>
      </c>
      <c r="K58" s="11">
        <f>+SUM($E$2:E58)/H58</f>
        <v>1.5780982231558915</v>
      </c>
    </row>
    <row r="59" spans="1:11" x14ac:dyDescent="0.3">
      <c r="A59" s="8">
        <v>58</v>
      </c>
      <c r="B59" s="9"/>
      <c r="C59" s="9"/>
      <c r="D59" s="9">
        <f t="shared" si="1"/>
        <v>90322.955200000011</v>
      </c>
      <c r="E59" s="11"/>
      <c r="F59" s="9"/>
      <c r="G59" s="9"/>
      <c r="H59" s="9"/>
      <c r="I59" s="10"/>
      <c r="J59" s="10"/>
      <c r="K59" s="10"/>
    </row>
  </sheetData>
  <conditionalFormatting sqref="K2:K58">
    <cfRule type="dataBar" priority="1">
      <dataBar>
        <cfvo type="min"/>
        <cfvo type="max"/>
        <color rgb="FF008AEF"/>
      </dataBar>
      <extLst>
        <ext xmlns:x14="http://schemas.microsoft.com/office/spreadsheetml/2009/9/main" uri="{B025F937-C7B1-47D3-B67F-A62EFF666E3E}">
          <x14:id>{84AFF533-CA3E-4B55-A26F-F74591FFD7D0}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4AFF533-CA3E-4B55-A26F-F74591FFD7D0}">
            <x14:dataBar minLength="0" maxLength="100" border="1" negativeBarBorderColorSameAsPositive="0">
              <x14:cfvo type="autoMin"/>
              <x14:cfvo type="autoMax"/>
              <x14:borderColor rgb="FF008AEF"/>
              <x14:negativeFillColor rgb="FFFF0000"/>
              <x14:negativeBorderColor rgb="FFFF0000"/>
              <x14:axisColor rgb="FF000000"/>
            </x14:dataBar>
          </x14:cfRule>
          <xm:sqref>K2:K58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data</vt:lpstr>
      <vt:lpstr>RESUMEN</vt:lpstr>
      <vt:lpstr>RESUMEN ML</vt:lpstr>
      <vt:lpstr>data (2)</vt:lpstr>
      <vt:lpstr>ESTADÍSTICOS</vt:lpstr>
      <vt:lpstr>01. PROMEDIO MÓVIL</vt:lpstr>
      <vt:lpstr>02. REGRESION LINEAL</vt:lpstr>
      <vt:lpstr>03. CUBICA</vt:lpstr>
      <vt:lpstr>04. 4TO GRADO</vt:lpstr>
      <vt:lpstr>04. SUAVIZACIÓN EXPO</vt:lpstr>
      <vt:lpstr>05. HOLT</vt:lpstr>
      <vt:lpstr>06. WINTER</vt:lpstr>
      <vt:lpstr>07.MARKOV</vt:lpstr>
      <vt:lpstr>RANDOM FOREST</vt:lpstr>
      <vt:lpstr>GAUSSIAN PROCESSES</vt:lpstr>
      <vt:lpstr>MULTILAYER PERCEPTRON</vt:lpstr>
      <vt:lpstr>SMOreg</vt:lpstr>
      <vt:lpstr>MARKOV (2)</vt:lpstr>
      <vt:lpstr>Hoja1</vt:lpstr>
      <vt:lpstr>Hoja7</vt:lpstr>
      <vt:lpstr>Hoja3</vt:lpstr>
      <vt:lpstr>Hoja4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ANTONIO MELILLO</cp:lastModifiedBy>
  <dcterms:created xsi:type="dcterms:W3CDTF">2024-09-04T00:18:25Z</dcterms:created>
  <dcterms:modified xsi:type="dcterms:W3CDTF">2024-09-08T02:39:58Z</dcterms:modified>
</cp:coreProperties>
</file>